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601"/>
  <workbookPr codeName="ThisWorkbook" defaultThemeVersion="124226"/>
  <bookViews>
    <workbookView xWindow="31572" yWindow="3360" windowWidth="17280" windowHeight="888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Time Series Edges" sheetId="14" state="hidden" r:id="rId13"/>
    <sheet name="Network Top Items" sheetId="13" r:id="rId14"/>
    <sheet name="Time Series" sheetId="15" r:id="rId15"/>
  </sheets>
  <definedNames>
    <definedName name="BinDivisor">'Overall Metrics'!$X$2</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 r:id="rId16"/>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<sst xmlns="http://schemas.openxmlformats.org/spreadsheetml/2006/main" count="26870" uniqueCount="4759">
  <si>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</si>
  <si>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</si>
  <si>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</si>
  <si>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</si>
  <si>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</si>
  <si>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</si>
  <si>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</si>
  <si>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</si>
  <si>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</si>
  <si>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</si>
  <si>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</si>
  <si>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</si>
  <si>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</si>
  <si>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</si>
  <si>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</si>
  <si>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</si>
  <si>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</si>
  <si>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</si>
  <si>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</si>
  <si>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</si>
  <si>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</si>
  <si>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</si>
  <si>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</si>
  <si>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</si>
  <si>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</si>
  <si>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</si>
  <si>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</si>
  <si>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</si>
  <si>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</si>
  <si>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</si>
  <si>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</si>
  <si>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</si>
  <si>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</si>
  <si>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</si>
  <si>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</si>
  <si>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</si>
  <si>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</si>
  <si>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</si>
  <si>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</si>
  <si>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</si>
  <si>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</si>
  <si>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</si>
  <si>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</si>
  <si>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</si>
  <si>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</si>
  <si>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</si>
  <si>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</si>
  <si>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</si>
  <si>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</si>
  <si>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</si>
  <si>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</si>
  <si>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</si>
  <si>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</si>
  <si>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</si>
  <si>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</si>
  <si>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</si>
  <si>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</si>
  <si>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</si>
  <si>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</si>
  <si>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</si>
  <si>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</si>
  <si>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</si>
  <si>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</si>
  <si>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</si>
  <si>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</si>
  <si>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</si>
  <si>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</si>
  <si>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</si>
  <si>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</si>
  <si>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</si>
  <si>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</si>
  <si>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</si>
  <si>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</si>
  <si>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</si>
  <si>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</si>
  <si>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</si>
  <si>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</si>
  <si>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</si>
  <si>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</si>
  <si>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</si>
  <si>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</si>
  <si>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</si>
  <si>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</si>
  <si>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</si>
  <si>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</si>
  <si>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</si>
  <si>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</si>
  <si>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</si>
  <si>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</si>
  <si>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</si>
  <si>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</si>
  <si>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</si>
  <si>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</si>
  <si>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</si>
  <si>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</si>
  <si>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</si>
  <si>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</si>
  <si>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</si>
  <si>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</si>
  <si>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</si>
  <si>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</si>
  <si>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</si>
  <si>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</si>
  <si>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</si>
  <si>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</si>
  <si>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</si>
  <si>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</si>
  <si>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</si>
  <si>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</si>
  <si>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</si>
  <si>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</si>
  <si>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</si>
  <si>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</si>
  <si>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</si>
  <si>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</si>
  <si>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</si>
  <si>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</si>
  <si>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</si>
  <si>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</si>
  <si>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</si>
  <si>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</si>
  <si>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</si>
  <si>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</si>
  <si>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</si>
  <si>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</si>
  <si>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</si>
  <si>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</si>
  <si>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</si>
  <si>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</si>
  <si>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</si>
  <si>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</si>
  <si>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</si>
  <si>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</si>
  <si>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</si>
  <si>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</si>
  <si>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</si>
  <si>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</si>
  <si>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</si>
  <si>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</si>
  <si>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</si>
  <si>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</si>
  <si>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</si>
  <si>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</si>
  <si>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</si>
  <si>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</si>
  <si>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</si>
  <si>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</si>
  <si>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</si>
  <si>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</si>
  <si>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</si>
  <si>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</si>
  <si>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</si>
  <si>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</si>
  <si>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</si>
  <si>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</si>
  <si>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</si>
  <si>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</si>
  <si>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</si>
  <si>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</si>
  <si>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</si>
  <si>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</si>
  <si>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</si>
  <si>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</si>
  <si>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</si>
  <si>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</si>
  <si>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</si>
  <si>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</si>
  <si>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</si>
  <si>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</si>
  <si>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</si>
  <si>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</si>
  <si>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</si>
  <si>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</si>
  <si>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</si>
  <si>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type="System.Configuration.ClientSettingsSection, System, Version=2.0.0.0, Culture=neutral, PublicKeyToken=b77a5c561934e089" allowExeDefinition="MachineToLocalUser" requirePermission="false" /&gt;
      &lt;section name="AutomateTasksDialog2" type="System.Configuration.ClientSettingsSection, Syst</t>
  </si>
  <si>
    <t>Workbook Settings 2</t>
  </si>
  <si>
    <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t>
  </si>
  <si>
    <t>Workbook Settings 3</t>
  </si>
  <si>
    <t>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t>
  </si>
  <si>
    <t>Workbook Settings 4</t>
  </si>
  <si>
    <t xml:space="preserv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</si>
  <si>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</si>
  <si>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</si>
  <si>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</si>
  <si>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</si>
  <si>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</si>
  <si>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</si>
  <si>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</si>
  <si>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</si>
  <si>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</si>
  <si>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</si>
  <si>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</si>
  <si>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</si>
  <si>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</si>
  <si>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</si>
  <si>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</si>
  <si>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</si>
  <si>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</si>
  <si>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 xml:space="preserve">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&lt;value&gt;http://www.smrfoundation.org/&lt;/value&gt;
      &lt;/setting&gt;
      &lt;setting name="URL" serializeAs="String"&gt;
        &lt;value /&gt;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t>
  </si>
  <si>
    <t>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t>
  </si>
  <si>
    <t>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&lt;value&gt;Smartkiwi&lt;/value&gt;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t>
  </si>
  <si>
    <t>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t>
  </si>
  <si>
    <t xml:space="preserve">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t>
  </si>
  <si>
    <t xml:space="preserve">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t>
  </si>
  <si>
    <t xml:space="preserve">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t>
  </si>
  <si>
    <t xml:space="preserve">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t>
  </si>
  <si>
    <t>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t>
  </si>
  <si>
    <t>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t>
  </si>
  <si>
    <t xml:space="preserve">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
  </si>
  <si>
    <t>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t>
  </si>
  <si>
    <t>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
  </si>
  <si>
    <t>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t>
  </si>
  <si>
    <t>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&lt;value&gt;C:\Users\Space Lab\Desktop&lt;/value&gt;
      &lt;/setting&gt;
    &lt;/Au</t>
  </si>
  <si>
    <t>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t>
  </si>
  <si>
    <t>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15.75pt White BottomCenter 40 2147483647 Black True 397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</si>
  <si>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</si>
  <si>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</si>
  <si>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</si>
  <si>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</si>
  <si>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</si>
  <si>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</si>
  <si>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</si>
  <si>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</si>
  <si>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</si>
  <si>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</si>
  <si>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</si>
  <si>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</si>
  <si>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</si>
  <si>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</si>
  <si>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</si>
  <si>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</si>
  <si>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</si>
  <si>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</si>
  <si>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</si>
  <si>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</si>
  <si>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</si>
  <si>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</si>
  <si>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</si>
  <si>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</si>
  <si>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</si>
  <si>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</si>
  <si>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</si>
  <si>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</si>
  <si>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</si>
  <si>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</si>
  <si>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</si>
  <si>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</si>
  <si>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</si>
  <si>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</si>
  <si>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</si>
  <si>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</si>
  <si>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</si>
  <si>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</si>
  <si>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</si>
  <si>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</si>
  <si>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</si>
  <si>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</si>
  <si>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croisefranco</t>
  </si>
  <si>
    <t>dinara59920357t</t>
  </si>
  <si>
    <t>davidbu85029668</t>
  </si>
  <si>
    <t>zivkovasiljev</t>
  </si>
  <si>
    <t>jokerdepressif</t>
  </si>
  <si>
    <t>settequaranta</t>
  </si>
  <si>
    <t>oliverswift65</t>
  </si>
  <si>
    <t>lecureuil33</t>
  </si>
  <si>
    <t>chakhoyanandrew</t>
  </si>
  <si>
    <t>syanyakernytska</t>
  </si>
  <si>
    <t>therealrsbonn</t>
  </si>
  <si>
    <t>1984_is_near</t>
  </si>
  <si>
    <t>phacotte</t>
  </si>
  <si>
    <t>markwol64553906</t>
  </si>
  <si>
    <t>shxtcowboy</t>
  </si>
  <si>
    <t>benkutowski</t>
  </si>
  <si>
    <t>nilhrevan</t>
  </si>
  <si>
    <t>thetruth222222</t>
  </si>
  <si>
    <t>realfantomas</t>
  </si>
  <si>
    <t>miky3881</t>
  </si>
  <si>
    <t>poseidon325_</t>
  </si>
  <si>
    <t>saifullahalipti</t>
  </si>
  <si>
    <t>dilkash_1</t>
  </si>
  <si>
    <t>stegnerralle</t>
  </si>
  <si>
    <t>achguck</t>
  </si>
  <si>
    <t>myriamjerome</t>
  </si>
  <si>
    <t>betelabassa</t>
  </si>
  <si>
    <t>ruinin_football</t>
  </si>
  <si>
    <t>sujall13</t>
  </si>
  <si>
    <t>mkebatu</t>
  </si>
  <si>
    <t>messaymohammed</t>
  </si>
  <si>
    <t>teferradebebe</t>
  </si>
  <si>
    <t>habibhassen7180</t>
  </si>
  <si>
    <t>wonde2014</t>
  </si>
  <si>
    <t>ghedays</t>
  </si>
  <si>
    <t>addiseshetu</t>
  </si>
  <si>
    <t>teferig58652633</t>
  </si>
  <si>
    <t>alemayehuc</t>
  </si>
  <si>
    <t>adiss07705421</t>
  </si>
  <si>
    <t>berhanumekonne6</t>
  </si>
  <si>
    <t>yidalem</t>
  </si>
  <si>
    <t>bitcoin_raf</t>
  </si>
  <si>
    <t>riocard911</t>
  </si>
  <si>
    <t>jamesfoley57</t>
  </si>
  <si>
    <t>lucygatsby</t>
  </si>
  <si>
    <t>100anb</t>
  </si>
  <si>
    <t>uutis_huone</t>
  </si>
  <si>
    <t>ipurdley</t>
  </si>
  <si>
    <t>tovarischbot</t>
  </si>
  <si>
    <t>conservatnik228</t>
  </si>
  <si>
    <t>argubadebo</t>
  </si>
  <si>
    <t>realpasitapani</t>
  </si>
  <si>
    <t>hassany89</t>
  </si>
  <si>
    <t>george_w_bu</t>
  </si>
  <si>
    <t>ethiopi00829015</t>
  </si>
  <si>
    <t>mengistutefer16</t>
  </si>
  <si>
    <t>brian_lefevre_</t>
  </si>
  <si>
    <t>neprfl</t>
  </si>
  <si>
    <t>doctornazab</t>
  </si>
  <si>
    <t>alex87431641</t>
  </si>
  <si>
    <t>levin3700</t>
  </si>
  <si>
    <t>spydercof</t>
  </si>
  <si>
    <t>jeanonekit</t>
  </si>
  <si>
    <t>hamfordjohn</t>
  </si>
  <si>
    <t>bilgeozyurt</t>
  </si>
  <si>
    <t>filipkatundsk</t>
  </si>
  <si>
    <t>nzabakira4</t>
  </si>
  <si>
    <t>serpens48</t>
  </si>
  <si>
    <t>genoisemile</t>
  </si>
  <si>
    <t>reservoir_dogs8</t>
  </si>
  <si>
    <t>patricialcq</t>
  </si>
  <si>
    <t>kakukktakukta</t>
  </si>
  <si>
    <t>carlistjc</t>
  </si>
  <si>
    <t>ogach_69</t>
  </si>
  <si>
    <t>ancient_caxotte</t>
  </si>
  <si>
    <t>bretag_romantiq</t>
  </si>
  <si>
    <t>marcvin40543445</t>
  </si>
  <si>
    <t>gospodinnebojsa</t>
  </si>
  <si>
    <t>jfaix13</t>
  </si>
  <si>
    <t>ophiuse</t>
  </si>
  <si>
    <t>brutionnepnm</t>
  </si>
  <si>
    <t>xav0621</t>
  </si>
  <si>
    <t>ludwig04796864</t>
  </si>
  <si>
    <t>readovkaworld</t>
  </si>
  <si>
    <t>edisabela1</t>
  </si>
  <si>
    <t>gerasimos2016</t>
  </si>
  <si>
    <t>aleksandarcbl</t>
  </si>
  <si>
    <t>levent42402926</t>
  </si>
  <si>
    <t>urlodellavolpe</t>
  </si>
  <si>
    <t>terrorsyndicate</t>
  </si>
  <si>
    <t>jameswmoore</t>
  </si>
  <si>
    <t>spicymanit</t>
  </si>
  <si>
    <t>maier_maier8</t>
  </si>
  <si>
    <t>freescotsman92</t>
  </si>
  <si>
    <t>selpermer</t>
  </si>
  <si>
    <t>khairulazzwa1</t>
  </si>
  <si>
    <t>luckystrike2030</t>
  </si>
  <si>
    <t>giovannicalcara</t>
  </si>
  <si>
    <t>palmenco08</t>
  </si>
  <si>
    <t>robymark1</t>
  </si>
  <si>
    <t>mark_dive</t>
  </si>
  <si>
    <t>gamodana</t>
  </si>
  <si>
    <t>solomon73155195</t>
  </si>
  <si>
    <t>mariusstannard</t>
  </si>
  <si>
    <t>kr33b</t>
  </si>
  <si>
    <t>pp_now</t>
  </si>
  <si>
    <t>ymnkv</t>
  </si>
  <si>
    <t>akorybko</t>
  </si>
  <si>
    <t>carmenacoleman</t>
  </si>
  <si>
    <t>berniedelf</t>
  </si>
  <si>
    <t>arifvns1985</t>
  </si>
  <si>
    <t>varyagi</t>
  </si>
  <si>
    <t>peter_b_c</t>
  </si>
  <si>
    <t>cookiegonewrong</t>
  </si>
  <si>
    <t>theliverpooly</t>
  </si>
  <si>
    <t>wille_keurige</t>
  </si>
  <si>
    <t>pxalbert1</t>
  </si>
  <si>
    <t>tamer_lannn</t>
  </si>
  <si>
    <t>cagataycirit12</t>
  </si>
  <si>
    <t>l_spagg</t>
  </si>
  <si>
    <t>varangianarmy</t>
  </si>
  <si>
    <t>heyhelloirene</t>
  </si>
  <si>
    <t>vasilsimeonovbg</t>
  </si>
  <si>
    <t>almsdoc95</t>
  </si>
  <si>
    <t>patriotavenezo</t>
  </si>
  <si>
    <t>yeshewalul1</t>
  </si>
  <si>
    <t>milospavic_</t>
  </si>
  <si>
    <t>ukrainewartest</t>
  </si>
  <si>
    <t>arbontemps</t>
  </si>
  <si>
    <t>loetitiah</t>
  </si>
  <si>
    <t>finding_isobel</t>
  </si>
  <si>
    <t>wimwientjes</t>
  </si>
  <si>
    <t>witch_d0ct0r_</t>
  </si>
  <si>
    <t>lux_edwards</t>
  </si>
  <si>
    <t>ozdenozhan2</t>
  </si>
  <si>
    <t>worldofnorth</t>
  </si>
  <si>
    <t>1881mka1905</t>
  </si>
  <si>
    <t>alfandioaditya1</t>
  </si>
  <si>
    <t>rilawolf</t>
  </si>
  <si>
    <t>lucadaini1</t>
  </si>
  <si>
    <t>bnryklmz</t>
  </si>
  <si>
    <t>jbl375537500</t>
  </si>
  <si>
    <t>ekormfs1qvxzxvp</t>
  </si>
  <si>
    <t>3ct3r</t>
  </si>
  <si>
    <t>alim_gokce45</t>
  </si>
  <si>
    <t>tekinyamur6</t>
  </si>
  <si>
    <t>24_yuvi</t>
  </si>
  <si>
    <t>cnyana322</t>
  </si>
  <si>
    <t>tuk95993809</t>
  </si>
  <si>
    <t>arasdal7</t>
  </si>
  <si>
    <t>evabergamo</t>
  </si>
  <si>
    <t>star48625796202</t>
  </si>
  <si>
    <t>tkelic</t>
  </si>
  <si>
    <t>augusto40982091</t>
  </si>
  <si>
    <t>neo8emmanuel</t>
  </si>
  <si>
    <t>dalev82</t>
  </si>
  <si>
    <t>bobmozg</t>
  </si>
  <si>
    <t>amaresyev</t>
  </si>
  <si>
    <t>furkane38029958</t>
  </si>
  <si>
    <t>rapheluriel</t>
  </si>
  <si>
    <t>m4rcyu5</t>
  </si>
  <si>
    <t>jabalmiza</t>
  </si>
  <si>
    <t>_b0lil0d_</t>
  </si>
  <si>
    <t>krollspellt</t>
  </si>
  <si>
    <t>godandtrump114</t>
  </si>
  <si>
    <t>m_degage</t>
  </si>
  <si>
    <t>reinbow05061512</t>
  </si>
  <si>
    <t>34berkut</t>
  </si>
  <si>
    <t>valer2valerie</t>
  </si>
  <si>
    <t>mike_zoev</t>
  </si>
  <si>
    <t>mnogomama4170</t>
  </si>
  <si>
    <t>saresistentzia</t>
  </si>
  <si>
    <t>seekingreader</t>
  </si>
  <si>
    <t>philo95857560</t>
  </si>
  <si>
    <t>p_duval</t>
  </si>
  <si>
    <t>_markpetchey</t>
  </si>
  <si>
    <t>usopen</t>
  </si>
  <si>
    <t>pavyg</t>
  </si>
  <si>
    <t>bayrou</t>
  </si>
  <si>
    <t>ambrusfrance</t>
  </si>
  <si>
    <t>rusbotschaft</t>
  </si>
  <si>
    <t>mission_rf</t>
  </si>
  <si>
    <t>rf_osce</t>
  </si>
  <si>
    <t>josepborrellf</t>
  </si>
  <si>
    <t>euinrussia</t>
  </si>
  <si>
    <t>rusmission_eu</t>
  </si>
  <si>
    <t>mfa_russia</t>
  </si>
  <si>
    <t>mgcanmore</t>
  </si>
  <si>
    <t>kartoen</t>
  </si>
  <si>
    <t>rusembitaly</t>
  </si>
  <si>
    <t>vonderleyen</t>
  </si>
  <si>
    <t>patrickrogere</t>
  </si>
  <si>
    <t>loiklfp</t>
  </si>
  <si>
    <t>francoisedegois</t>
  </si>
  <si>
    <t>bilgerphilippe</t>
  </si>
  <si>
    <t>cecile2menibus</t>
  </si>
  <si>
    <t>phdavidmtb</t>
  </si>
  <si>
    <t>sudradio</t>
  </si>
  <si>
    <t>jmaphatie</t>
  </si>
  <si>
    <t>24hpujadas</t>
  </si>
  <si>
    <t>charliespiering</t>
  </si>
  <si>
    <t>potus</t>
  </si>
  <si>
    <t>davidgiglioca</t>
  </si>
  <si>
    <t>060_ilou</t>
  </si>
  <si>
    <t>nixelpixel</t>
  </si>
  <si>
    <t>bhl</t>
  </si>
  <si>
    <t>albertofazolo</t>
  </si>
  <si>
    <t>gorkembo</t>
  </si>
  <si>
    <t>gregorgysi</t>
  </si>
  <si>
    <t>spiritofho</t>
  </si>
  <si>
    <t>galantias1</t>
  </si>
  <si>
    <t>iidavallin</t>
  </si>
  <si>
    <t>mikaelgabriel</t>
  </si>
  <si>
    <t>sarjanenantti</t>
  </si>
  <si>
    <t>veitera</t>
  </si>
  <si>
    <t>infussambas</t>
  </si>
  <si>
    <t>rus_emb_ireland</t>
  </si>
  <si>
    <t>wendellwickets</t>
  </si>
  <si>
    <t>tucosal75136559</t>
  </si>
  <si>
    <t>sarananni</t>
  </si>
  <si>
    <t>goeringeckardt</t>
  </si>
  <si>
    <t>abaerbock</t>
  </si>
  <si>
    <t>josh_watt_</t>
  </si>
  <si>
    <t>antonio27182818</t>
  </si>
  <si>
    <t>onequantumleap</t>
  </si>
  <si>
    <t>freilichlior</t>
  </si>
  <si>
    <t>ukraine_world</t>
  </si>
  <si>
    <t>sangreal1965</t>
  </si>
  <si>
    <t>dassenlaurens</t>
  </si>
  <si>
    <t>gertjansegers</t>
  </si>
  <si>
    <t>cjbjcjbj</t>
  </si>
  <si>
    <t>jensstoltenberg</t>
  </si>
  <si>
    <t>natopress</t>
  </si>
  <si>
    <t>jhahneu</t>
  </si>
  <si>
    <t>mhmck</t>
  </si>
  <si>
    <t>general_ben</t>
  </si>
  <si>
    <t>meiselasb</t>
  </si>
  <si>
    <t>eu_commission</t>
  </si>
  <si>
    <t>moveebuff1953</t>
  </si>
  <si>
    <t>emmanuelmacron</t>
  </si>
  <si>
    <t>zelenskyyua</t>
  </si>
  <si>
    <t>stratpol_site</t>
  </si>
  <si>
    <t>jacksonhinklle</t>
  </si>
  <si>
    <t>russia</t>
  </si>
  <si>
    <t>kremlinrussia_e</t>
  </si>
  <si>
    <t>rusembturkey</t>
  </si>
  <si>
    <t>drjasonleong</t>
  </si>
  <si>
    <t>howardlee_my</t>
  </si>
  <si>
    <t>ilpolemista4</t>
  </si>
  <si>
    <t>jacopo_iacoboni</t>
  </si>
  <si>
    <t>guerini_lorenzo</t>
  </si>
  <si>
    <t>vita66011510</t>
  </si>
  <si>
    <t>aldotorchiaro</t>
  </si>
  <si>
    <t>pietroraffa</t>
  </si>
  <si>
    <t>judeanne66</t>
  </si>
  <si>
    <t>spencerguard</t>
  </si>
  <si>
    <t>actualidadrt</t>
  </si>
  <si>
    <t>reuters</t>
  </si>
  <si>
    <t>plnewstoday</t>
  </si>
  <si>
    <t>termitesturd</t>
  </si>
  <si>
    <t>surfingcelia</t>
  </si>
  <si>
    <t>heinrich_haupt</t>
  </si>
  <si>
    <t>cnn</t>
  </si>
  <si>
    <t>chimdi0811</t>
  </si>
  <si>
    <t>pwrdbyanthony</t>
  </si>
  <si>
    <t>sunshinesaskia</t>
  </si>
  <si>
    <t>heinzpetergnth2</t>
  </si>
  <si>
    <t>djanecek</t>
  </si>
  <si>
    <t>patrick_edery</t>
  </si>
  <si>
    <t>wannabetsarevna</t>
  </si>
  <si>
    <t>ulrichjvv</t>
  </si>
  <si>
    <t>abiyahmedali</t>
  </si>
  <si>
    <t>europarl_de</t>
  </si>
  <si>
    <t>antonioguterres</t>
  </si>
  <si>
    <t>potus45</t>
  </si>
  <si>
    <t>bundeskanzler</t>
  </si>
  <si>
    <t>zelenskaua</t>
  </si>
  <si>
    <t>thatdayin1992</t>
  </si>
  <si>
    <t>pmcorchestra</t>
  </si>
  <si>
    <t>hebobiwine</t>
  </si>
  <si>
    <t>corriere</t>
  </si>
  <si>
    <t>lastampa</t>
  </si>
  <si>
    <t>repubblica</t>
  </si>
  <si>
    <t>borisjohnson</t>
  </si>
  <si>
    <t>palazzo_chigi</t>
  </si>
  <si>
    <t>nato</t>
  </si>
  <si>
    <t>steph_sejourne</t>
  </si>
  <si>
    <t>mariana_betsa</t>
  </si>
  <si>
    <t>denistrubetskoy</t>
  </si>
  <si>
    <t>generalstaffua</t>
  </si>
  <si>
    <t>snmilitary</t>
  </si>
  <si>
    <t>un</t>
  </si>
  <si>
    <t>zzzaikar</t>
  </si>
  <si>
    <t>ukraine66251776</t>
  </si>
  <si>
    <t>gazetadopovo</t>
  </si>
  <si>
    <t>otempo</t>
  </si>
  <si>
    <t>annawrds</t>
  </si>
  <si>
    <t>jpgmary</t>
  </si>
  <si>
    <t>anesfoufa</t>
  </si>
  <si>
    <t>rwapodcast</t>
  </si>
  <si>
    <t>pablospyer</t>
  </si>
  <si>
    <t>drericding</t>
  </si>
  <si>
    <t>sicnoticias</t>
  </si>
  <si>
    <t>uolnoticias</t>
  </si>
  <si>
    <t>hoje_no</t>
  </si>
  <si>
    <t>fredinmoldova</t>
  </si>
  <si>
    <t>laurenceboone</t>
  </si>
  <si>
    <t>franceinter</t>
  </si>
  <si>
    <t>minniem96252794</t>
  </si>
  <si>
    <t>ronin19217435</t>
  </si>
  <si>
    <t>jacquesfrre2</t>
  </si>
  <si>
    <t>robertmenardfr</t>
  </si>
  <si>
    <t>vladpoutine_fr</t>
  </si>
  <si>
    <t>cnews</t>
  </si>
  <si>
    <t>jowadephul</t>
  </si>
  <si>
    <t>christopherjm</t>
  </si>
  <si>
    <t>daserste</t>
  </si>
  <si>
    <t>carlomasala1</t>
  </si>
  <si>
    <t>melnykandrij</t>
  </si>
  <si>
    <t>maischberger</t>
  </si>
  <si>
    <t>_friedrichmerz</t>
  </si>
  <si>
    <t>welt</t>
  </si>
  <si>
    <t>stagerbn</t>
  </si>
  <si>
    <t>focusonline</t>
  </si>
  <si>
    <t>miro_spd</t>
  </si>
  <si>
    <t>denys_shmyhal</t>
  </si>
  <si>
    <t>smartdecoro</t>
  </si>
  <si>
    <t>tagesschau</t>
  </si>
  <si>
    <t>MentionsInRetweet</t>
  </si>
  <si>
    <t>Retweet</t>
  </si>
  <si>
    <t>Replies to</t>
  </si>
  <si>
    <t>Mentions</t>
  </si>
  <si>
    <t>Je vous présente Vladimir #Poutine, le président de la Grande #Russie,un véritable homme d'État suivi par 83 % de sa population dixit son opposition (centre levada).
Ça change du #poudré..._xD83D__xDE0F_
#StandWithRussia _xD83C__xDDF7__xD83C__xDDFA_
#StandWithPutin _xD83D__xDCAA_
@AgentduKGB 
@p_duval 
@Philo95857560 
@060_ilou https://t.co/B5r5gdwDrV</t>
  </si>
  <si>
    <t>Günaydın _xD83D__xDC4B_ Wagner grubu konser öncesi son hazırlıklarını tamamladı. #StandwithRussia #Russia #Russianarmy #WagnerGroup _xD83C__xDDF7__xD83C__xDDFA__xD83C__xDDF7__xD83C__xDDFA_ https://t.co/hzP1jzmcQz</t>
  </si>
  <si>
    <t>@IPurdley oops #Russian video from Russian trolls proving Ukraine attacked power plant if shown to be hoax,,,,,  Bwaah haar har  Slava #Urkaine and #Kherson #Standwithrussia
https://t.co/yoALmXfuUn</t>
  </si>
  <si>
    <t>@pavyg @usopen Looks like @_markpetchey may soon be boycotting the men’s final of the Moderna Open  #StandWithRussia</t>
  </si>
  <si>
    <t>@bayrou Vous êtes une synthèse de la bêtise de nos Hommes politique contemporains.
Vous n'êtes que le pantin servile de la marionnette de l'Élyssé.
Retourné à votre région et n'essayez pas de rivaliser avec les glorieux dirigeants Russe.
#StandWithRussia https://t.co/v3dKUZCiu6</t>
  </si>
  <si>
    <t>@kartoen @mgcanmore @mfa_russia @RusMission_EU @EUinRussia @vonderleyen @JosepBorrellF @RF_OSCE @mission_rf @RusBotschaft @AmbRusFrance @rusembitaly Millions of Italians supporting  the Russiana.
#StandWithRussia</t>
  </si>
  <si>
    <t>@SudRadio @PatrickRogerE _xD83D__xDCCC_ Ah ils sont beaux les résultats de vos sanctions contre la Russie _xD83C__xDDF7__xD83C__xDDFA_‼️
Les Français _xD83C__xDDE8__xD83C__xDDF5_ &amp;amp; UE _xD83C__xDDEA__xD83C__xDDFA_ peuvent être fiers de leurs élus issus de leurs choix électoraux‼️
Maintenant il faut assumer et en silence‼️#Mondialisme #PegreMondialiste #ZelenskyWarCriminal #StandWithRussia https://t.co/988JmxT18o</t>
  </si>
  <si>
    <t>@SudRadio @PhDavidMtb @cecile2menibus @BilgerPhilippe @francoisedegois @LoikLFP _xD83D__xDCCC_ Ah ils sont beaux les résultats de vos sanctions contre la Russie _xD83C__xDDF7__xD83C__xDDFA_‼️Les Français _xD83C__xDDE8__xD83C__xDDF5_ &amp;amp; UE _xD83C__xDDEA__xD83C__xDDFA_ peuvent être fiers de leurs élus issus de leurs choix électoraux‼️
Maintenant il faut assumer et en silence‼️#Mondialisme #PegreMondialiste #ZelenskyWarCriminal #StandWithRussia https://t.co/hTVUxK2IQw</t>
  </si>
  <si>
    <t>@24hPujadas @jmaphatie _xD83D__xDCCC_ L'aphasie d'#Aphatie l'amène à te traiter de "traître" si t'es pas #UkroNazi_xD83D__xDE05_‼️La vieillesse est un naufrage #GoToEHPAD‼️
#StandWithRussia _xD83C__xDDF7__xD83C__xDDFA_
#STOP_Russophobia _xD83C__xDDF7__xD83C__xDDFA_#FuckAphatie _xD83C__xDDE8__xD83C__xDDF5_
#FuckNWO _xD83C__xDDFA__xD83C__xDDF8_ 
#FuckWEF _xD83C__xDDEA__xD83C__xDDFA__xD83C__xDDFA__xD83C__xDDF8_ 
#FuckGlobalism _xD83C__xDDFA__xD83C__xDDF8_
#FuckUkroNazis _xD83C__xDDFA__xD83C__xDDE6_
#FuckZelenskyWarCriminal _xD83C__xDDFA__xD83C__xDDE6_ https://t.co/lmGyiVCCTm</t>
  </si>
  <si>
    <t>_xD83D__xDEA8_⛔_xD83D__xDEA8_⛔_xD83D__xDEA8_ Stations de #Ski &amp;amp; #Piscines fermées ⤵️ #BienvenueEnMacronie &amp;amp; #UE _xD83C__xDDEA__xD83C__xDDFA_‼️
#ZelenskyWarCriminal_xD83C__xDDFA__xD83C__xDDE6_ #UkraineCrisis 
#FuckZelensky_xD83C__xDDFA__xD83C__xDDE6_ #StopRussophobia_xD83C__xDDF7__xD83C__xDDFA_
#FuckUkroNazis_xD83C__xDDFA__xD83C__xDDE6_ #StandWithRussia_xD83C__xDDF7__xD83C__xDDFA_
#FallaitPasVoterMacronBandeDeCons 
#PegreMondialiste #DictatureMondialiste
#Mondialisme https://t.co/UB95cbAAaP</t>
  </si>
  <si>
    <t>_xD83D__xDCCC_ Rubrique : Humour du jeudi...
#StandWithRussia _xD83C__xDDF7__xD83C__xDDFA_
#FuckZelenskyWarCriminal _xD83C__xDDFA__xD83C__xDDE6_
#FuckUkronazis _xD83C__xDDFA__xD83C__xDDE6_
#StopEU _xD83C__xDDEA__xD83C__xDDFA_
#UE #EU #EUcorrupt _xD83C__xDDEA__xD83C__xDDFA_
#StopRussophobia_xD83C__xDDF7__xD83C__xDDFA_
#VonDerLeyenimpostor _xD83C__xDDEA__xD83C__xDDFA_
#VonDerLeyenCorrupt _xD83C__xDDEA__xD83C__xDDFA_
#EUisLikePCC _xD83C__xDDEA__xD83C__xDDFA_/_xD83C__xDDE8__xD83C__xDDF3_
#BHLimpostor _xD83C__xDDE8__xD83C__xDDF5_
#Enthovenimpostor _xD83C__xDDE8__xD83C__xDDF5_
#Glucksmannimpostor _xD83C__xDDE8__xD83C__xDDF5_ https://t.co/a945Uf8nL6</t>
  </si>
  <si>
    <t>#standwithrussia #kremlin  #Poutineinnocent https://t.co/AsvMMSKNzf</t>
  </si>
  <si>
    <t>@DavidGiglioCA @POTUS @charliespiering Nope. The true face of contemporary fascism is #putin and those who #StandWithRussia https://t.co/L84YtWWMnI</t>
  </si>
  <si>
    <t>Paradigmenwechsel
Während die EU mit Grundrechtseinschränkungen in Reise- und Bewegungsfreiheit einen neuen eisernen Vorgang errichtet, entscheidet sich Russland für die Freiheit und pro Menschenrechte. #Snowden
 #visabanforrussians
#standwithrussia https://t.co/MZjBKc0ZKV</t>
  </si>
  <si>
    <t>@nixelpixel я бы хотел напомнить, пёся поддерживает спецоперацию на украине!, #StandWithRussia #СвоихНеБросаем https://t.co/mYiKaJVqKK</t>
  </si>
  <si>
    <t>@BHL #SlavaRossiya #StandWithRussia</t>
  </si>
  <si>
    <t>@BHL #StandWithRussia _xD83C__xDDF7__xD83C__xDDFA_</t>
  </si>
  <si>
    <t>Even Ukrainians #standwithRussia https://t.co/jqzp9uZEKL</t>
  </si>
  <si>
    <t>Sanktionen wirken:
Der Abbau der deutschen Wirtschaft läuft gut an.
Während es im gesamten Mai 2022 noch zu rund 1200 Insolvenzen kam, werden aktuell pro Tag mehr als 1000 Insolvenzen gemeldet. 
#standwithRussia #Deindustrialisierung #Habeck https://t.co/ImU3NGwC5z</t>
  </si>
  <si>
    <t>@AlbertoFazolo Studio che analizza il periodo 24 febbraio-8 marzo basato solo sui seguenti # StandWithPutin, # StandWithRussia, # SupportRussia, #StandWithUkraine, #StandWithZelenskyyand #SupportUkraine.
Che poi gli ucraini siano + bravi anche nella comunicazione è un fatto. 
#PutinWarCriminal</t>
  </si>
  <si>
    <t>@gorkembo #standwithrussia</t>
  </si>
  <si>
    <t>حقیقت جان کر جیو
#BehindYouSkipper 
#StandWithRussia 
#StandWithAsifAli https://t.co/xsuFyQUQHd</t>
  </si>
  <si>
    <t>Vladmir Putin said that "Almost all Ukrainian grain reaching European .However,the single shipment that was destined for Africa got more attention from the western media than this one."
That is how modern media colonialism portrays Africa.
#NoMoreColonialism
#StandWithRussia https://t.co/eqNUoUARHV</t>
  </si>
  <si>
    <t>#StandWithRussia @GregorGysi vergessen _xD83D__xDC47_ https://t.co/blAfLqjU9o</t>
  </si>
  <si>
    <t>#standwithrussia and #blacklenin
#communism #slavacocaine #Hunterbidenlaptop #WEF fuck #elensky good luck killing #nazis _xD83E__xDEE1_ https://t.co/yKP9jEld94</t>
  </si>
  <si>
    <t>#StandWithUkraine #StandWithRussia
Australian university study on Twitter war coverage, examining 5m+ posts — the conclusion is 60 to 80% of accounts posting on Russia-Ukraine war are bots, while 90% are unapologetically ‘pro Ukraine’ 
The full study: https://t.co/Mbq6mVOCWU</t>
  </si>
  <si>
    <t>Venäjän ja Ukrainan konfliktin ympärillä käytäviin verkkokeskusteluihin ja miten botit voivat vaikuttaa ihmisten tunteisiin.
Tutkimusviestit sisälsivät hashtageja kuten "StandWithPutin", "(I)StandWithRussia", "(I)SupportRussia", "(I)StandWithUkraine", "(I)StandWithZelensky" ja</t>
  </si>
  <si>
    <t>impossible to know what is going on, #wagners are not allowed to talk, and most pro #russia channels have turned to be as unreliable as pro defunct #ukraine #nato #cia channels have always been
#StandWithRussia</t>
  </si>
  <si>
    <t>like all of my haters,,, an idiot
look idiot by the same token #russia owns now the world record 149.000+ km2 in less than a week
and to be exact in german casualties 50k death + 20 k MIA (=death) + 110000 wounded
#standwithrussia
#kherson countershit https://t.co/IiQD9Cb5fx</t>
  </si>
  <si>
    <t>Mr. Pinocchio
I understand you have to lie, war is the art of deception but please don't lie us that way, better keep silence
#standwithRussia https://t.co/vAKSd3mBfO</t>
  </si>
  <si>
    <t>On this hard day, and like on any other day
#standwithrussia
Pray for our brothers spilling their blood on the sand defending matri rossiya https://t.co/nJe4dhbPDe</t>
  </si>
  <si>
    <t>Lmao
let me remember basics to all of you pro #nato #cia  defunct #ukraine armchair strategists and keyboard warriors 
Very different things are to attack and to defend.
not even with all the given help ukri army can attack, stop living in a paralel universe and #standwithrussia</t>
  </si>
  <si>
    <t>as a kadirov boy said, show no mercy, always carry a grenade with you, sell your life dear
#StandWithRussia https://t.co/EWeXbdHUul</t>
  </si>
  <si>
    <t>#dombass they are not incendiary, they are lights to reveal enemy's positions. Or maybe just fireworks, maybe the mayor's lover birthday, who knows
#standwithrussia https://t.co/e60FO1m3IR</t>
  </si>
  <si>
    <t>i am not happy about this, but all of these countries are but protracting a special operation, thus spilling more blood.
no gas no #uranium, no nothing. 
#UE #standwithrussia #nato https://t.co/V9Aa0BTUvj</t>
  </si>
  <si>
    <t>#StandWithRussia https://t.co/l1aht3DS7N</t>
  </si>
  <si>
    <t>@Galantias1 @SpiritofHo _xD83D__xDCAA__xD83D__xDCAA__xD83D__xDE0E__xD83C__xDDF7__xD83C__xDDFA__xD83C__xDDF7__xD83C__xDDFA_
#RussiaPower
#StandWithRussia
#ZelenskyMustGo
#DeNATOfication https://t.co/xcc0382M6t</t>
  </si>
  <si>
    <t>@SarjanenAntti @MikaelGabriel @iidavallin AnttiS, minä olen Putin-fani. 
Slava Russia!
#StandWithRussia 
_xD83C__xDDF7__xD83C__xDDFA__xD83D__xDCA4__xD83D__xDE0E_</t>
  </si>
  <si>
    <t>@veitera Putin vapauttaa meidät. Slava Russia!
#StandWithRussia 
_xD83C__xDDF7__xD83C__xDDFA__xD83D__xDCA4__xD83D__xDE0E_</t>
  </si>
  <si>
    <t>@infussambas Pray for #Putin .
#StandWithRussia 
_xD83C__xDDF7__xD83C__xDDFA__xD83D__xDCA4__xD83D__xDE0E_</t>
  </si>
  <si>
    <t>Pahaa pelkään että Putinilla elinaikaa 100...200 vuorokautta. _xD83D__xDE28_
Uskon että hän kuitenkin pääsee taivaaseen. _xD83D__xDE00__xD83D__xDE07_
#StandWithRussia #Putin4ever #Putin</t>
  </si>
  <si>
    <t>Video from social network go viral: In #Sofia, #Bulgarian patriots spoke out against the Russophobic demonstration of #Ukrainian refugees with the song #Russia 
#StandWithRussia https://t.co/dg9G1bZILw</t>
  </si>
  <si>
    <t>@LucyGatsby @tucosal75136559 @WendellWickets @Rus_Emb_Ireland Thanks I've read that article, you should too, it applies to the first two weeks of the war only, and, isolated to hashtags
StandWithPutin”, “(I)StandWithRussia”, “(I)SupportRussia”, “(I)StandWithUkraine”, “(I)StandWithZelenskyy” and “(I)SupportUkraine”.
Comprehension is hard☹️</t>
  </si>
  <si>
    <t>Biz kazanacağız! #StandwithRussia #Russia #Russianarmy</t>
  </si>
  <si>
    <t>#Putin #Russia #StandwithRussia
STAND WITH RUSSIA! https://t.co/wXqrfOR101</t>
  </si>
  <si>
    <t>Be aware,   BUCHA 2.0 is on its way!
#StandWithRussia 
#StopNaziUkraine which killed its own people! https://t.co/lhiBCoVTrI</t>
  </si>
  <si>
    <t>@GoeringEckardt @SaraNanni @ABaerbock #StandWithRussia _xD83C__xDDF7__xD83C__xDDFA_</t>
  </si>
  <si>
    <t>Ukraine must be gone by the end of September. Russia didn't do it then Ukrainians does. #StandWithRussia</t>
  </si>
  <si>
    <t>@OneQuantumLeap @antonio27182818 @josh_watt_ We used the Twitter API (V2) to collect all tweets, retweets, quotes and replies containing case-insensitive versions of the hashtags: #(I)StandWithPutin, #(I)StandWithRussia, #(I)SupportRussia, #(I)StandWithUkraine, #(I)StandWithZelenskyy and #(I)SupportUkraine.</t>
  </si>
  <si>
    <t>@FreilichLior The researcher is LAZY! He has used an algorithm to collect tweets that contain hashtags (#(I)StandWithPutin, #(I)StandWithRussia, #(I)SupportRussia, #(I)StandWithUkraine, #(I)StandWithZelenskyy and #(I)SupportUkraine.) And the results are based on that. 1/2</t>
  </si>
  <si>
    <t>@ukraine_world #StandWithRussia _xD83D__xDCAA__xD83C__xDFFF_</t>
  </si>
  <si>
    <t>@SangreaL1965 The research was bipartisan and analysed couplets such as #(I)StandWithPutin - #(I)StandWithRussia and  #(I)SupportRussia - #(I)StandWithUkraine etc.  The finding was that 60 to 80% of posts using  such hash tags were from bots. No differentiation for nation.</t>
  </si>
  <si>
    <t>Les Etats-Unis réclament l'unité des Alliés contre la Russie ... Ou comment les Yankees demandent une guerre mondiale pour sauver leur économie d'obèse maladif ... #Ukraine #Russie #StandWithRussia 
https://t.co/RUcNKpVGa2</t>
  </si>
  <si>
    <t>@DassenLaurens #StandWithRussia</t>
  </si>
  <si>
    <t>@gertjansegers Jij hebt bloed aan je handen! #StandWithRussia</t>
  </si>
  <si>
    <t>@cjbjcjbj #StandWithRussia</t>
  </si>
  <si>
    <t>@NATOpress @JHahnEU @jensstoltenberg #StandWithRussia
NATO!   GET OUT FROM HUNGARY! https://t.co/YXhICE4rIp</t>
  </si>
  <si>
    <t>@EU_Commission @JHahnEU We #StandWithRussia and democracy over autocracy of Brussels-Washington https://t.co/mQtl401mFA</t>
  </si>
  <si>
    <t>@vonderleyen @JHahnEU #StandWithRussia
NATO!   GET OUT FROM HUNGARY! https://t.co/VcHl86DpJu</t>
  </si>
  <si>
    <t>@mhmck @general_ben #StandWithRussia from Hungary https://t.co/fBzOEdNot8</t>
  </si>
  <si>
    <t>@meiselasb @general_ben #StandWithRussia from Hungary https://t.co/Lc0IufFZg3</t>
  </si>
  <si>
    <t>We #StandWithRussia and democracy over autocracy of Brussels-Washington https://t.co/oEroeVApid</t>
  </si>
  <si>
    <t>@moveebuff1953 Yes...sim..oui
#ZelenskyWarCriminal 
#StopZelensky
#StopNaziUkraine
#UsaEvilEmpire
#StandWithRussia 
#WeStandWithRussia</t>
  </si>
  <si>
    <t>@ZelenskyyUa @EmmanuelMacron Farewell and go to hell puppet of Satan ! #StandWithRussia #StandWithPutin #StandWithSyria #StandWithAssad #Zelensky VS #Assad https://t.co/CXl3Q2R9zD</t>
  </si>
  <si>
    <t>Farewell and go to hell puppet of Satan ! #StandWithRussia #StandWithPutin #StandWithSyria #StandWithAssad #Zelensky VS #Assad https://t.co/CXzQFdlglD https://t.co/8PbYTq7j9u</t>
  </si>
  <si>
    <t>@stratpol_site Toute la racaille veautante, politique, médiatique que la _xD83C__xDDEB__xD83C__xDDF7_,_xD83C__xDDEA__xD83C__xDDFA_ et + peuvent compter qui fait du triomphalisme, chie sur un pays solide qui refuse de se soumettre comme eux, _xD83E__xDD22_.
Le temps est venu de leur niquer leur mère et leur montrer  quelle heure il est.
#StandWithRussia</t>
  </si>
  <si>
    <t>Βλαδίμηρε Πούτιν όταν παίρνεις τις αποφάσεις σου θα κοιτάς κατάματα αυτούς τους δύο......
General Qasem Soleimani
Major General Issam Zahreddine
Strength and Honour
#Soleimani
#Zahreddine
#StandWithRussia 
#Putin #Πουτιν #Ρωσια https://t.co/LZNAD4riME</t>
  </si>
  <si>
    <t>@jacksonhinklle But Donbas and Krim bright shine like diamond #StandWithRussia</t>
  </si>
  <si>
    <t>Rus ordusu Harkov ve bölgedeki hedeflere büyük bir darbe indiriyor
Ayrıca Slavyansk ve Konstantinovka'da patlama haberleri geliyor. #StandwithRussia #Russia #RussianArmy</t>
  </si>
  <si>
    <t>L'esercito dei Bot filo-ucraini:
“In passato, le guerre sono state combattute principalmente fisicamente, [...] Tuttavia, i social media hanno creato un nuovo ambiente in cui l'opinione pubblica può essere manipolata su larga scala"
#StandWithRussia 
https://t.co/Gug1p117lq https://t.co/SMnheiEdts</t>
  </si>
  <si>
    <t>#Belgrade #Serbia #StandWithRussia 
#Orthodox
_xD83C__xDDF7__xD83C__xDDFA__xD83C__xDDF7__xD83C__xDDF8_ Photos from Belgrade! https://t.co/dhDJLs8qQg</t>
  </si>
  <si>
    <t>#СлаваУкраїні!  #СлаваУкраїні! #СлаваУкраїні! 
#рашизм #Yкраїна #Россия #StopRussia #SlavaUkraini #StandWithUkraine #IStandWithUkraine #RussianArmy #RussianAirForce #UkraineRussianWar #UkraineUnderAttack #Ukraine #Russia #UkraineRussiaCrisis #StandWithRussia #IStandWithRussia</t>
  </si>
  <si>
    <t>#india is with u. @KremlinRussia_E @Russia #ISupportRussia #StandWithRussia #supportputin #StandWithPutin 
#RussiaUkraine #Ukriane https://t.co/oTx3M10qAs</t>
  </si>
  <si>
    <t>Self declared left wing anti imperialists who support a conservative dictators war of imperialist conquest all in the name of anti imperialism , as a way to stick it  to the West really baffle me
#nwo #antiimperialism #russia #StandWithRussia #Tankies #handsoffukraine #socialism</t>
  </si>
  <si>
    <t>@RusEmbTurkey #standwithrussia</t>
  </si>
  <si>
    <t>@howardlee_my @DrJasonLeong #StandWithRUSSIA !!!!</t>
  </si>
  <si>
    <t>Dal 2013 lavora per adeguare #Kiev agli standard #NATO.. giusto per capire chi, e da quando sta preparando questa guerra.
#USA stato canaglia
#StandWithRussia https://t.co/c7PqYWTqI3</t>
  </si>
  <si>
    <t>Effettivamente non fa una piega.
#Nonato 
#StandWithRussia https://t.co/S3m4plyEFC</t>
  </si>
  <si>
    <t>@IlPolemista4 Concordo! 
#ForzaPutin 
#StandWithRussia 
#ForzaBRICS
#ForzaEEF
#ZelenskyWarCriminal 
#ZelenskyCocaineAddicted
#NaziUkraine
#FuckUSA
#FuckNATO
#FuckEU
#StopNWO
#StopWEF</t>
  </si>
  <si>
    <t>@jacopo_iacoboni Nel 2022 in Italia abbiamo cani che scrivono spesso tweets patetici sul terribileh Pooteen, ma non mi pare abbiamo un grande istinto.
#ForzaPutin
#StandWithRussia</t>
  </si>
  <si>
    <t>@Vita66011510 @guerini_lorenzo terrorismo criminale del Cremlino _xD83E__xDD23__xD83E__xDD23__xD83E__xDD23__xD83E__xDD23__xD83E__xDD23__xD83E__xDD23__xD83E__xDD23_ ...dajeeeee!
#StandWithRussia
#ForzaPutin
#ZelenskyCocaineAddicted
#ZelenskyWarCriminal 
#NaziUkraine</t>
  </si>
  <si>
    <t>@aldotorchiaro e bè dai, credici, ma non ti ci fissà... ci potresti altrimenti rimanere parecchio male! 
#ForzaPutin
#StandWithRussia</t>
  </si>
  <si>
    <t>@pietroraffa fantastico, più che un tweet un concentrato di idiozie di rara bellezza! 
Forza Russia!
#ForzaPutin
#StandWithRussia</t>
  </si>
  <si>
    <t>Without intending to, this #NAFO #Fella perfectly encapsulated the gist of my analyses in this meme. 
It’s time for those who #StandWithRussia to do away with all #WishfulThinking!
Sober, serious analyses are the need of the hour as Russia contemplates #TotalWar _xD83D__xDCA4__xD83C__xDDF7__xD83C__xDDFA__xD83D__xDCA4_ https://t.co/pBHTXxqfR5</t>
  </si>
  <si>
    <t>@AKorybko #StandWithRussia</t>
  </si>
  <si>
    <t>@SpencerGuard @judeanne66 It has also banned every opposition party. It is without doubt behaving like a fascist government. #StandWithRussia  #FreePalestine #No2Fascists &amp;gt;Zionist or Ukrainian.</t>
  </si>
  <si>
    <t>* Najważniejsze wyniki badań to:
1) 60-80% wpisów z hashtagami #(I)StandWithPutin, #(I)StandWithRussia, #(I)SupportRussia, #(I)StandWithUkraine, #(I)StandWithZelenskyy and #(I)SupportUkraine były generowane przez boty
2) 90,16% z tych botowych kont były "proUkraińskie"
2/</t>
  </si>
  <si>
    <t>@ActualidadRT #PutinWarCriminal #StandWithRussia</t>
  </si>
  <si>
    <t>@Reuters #BoycottQatar #BoycottQatar2022 #BoycottQatarFifaWorldcup2022 #BoycottFifa #BoycottFifaWorldCup2022 #BoycottQatarAirways #BoycottArab #BoycottPuppetsOfAmerica #BoycottWahabiIslam #BoycottMohammadBinAbdulWahabIslam #BoycottAljajeera #BoycottAmerica #StandWithRussia</t>
  </si>
  <si>
    <t>@TAHDMB Many in Norway also #StandWithRussia. Good to keep history in mind at times when the west is drowning the masses in hysterical lies. We'll never forget how #Russia was first in line to recognize our own independence in 1905, nor how the #RedArmy later swept out the nazis.
_xD83C__xDDF3__xD83C__xDDF4_❤️_xD83C__xDDF7__xD83C__xDDFA_ https://t.co/g2SxKZAaxX</t>
  </si>
  <si>
    <t>@SurfingCelia @TermitesTurd @PLnewstoday They looked at accounts using 1 of 12 hashtags:
#(I)StandWithPutin, #(I)StandWithRussia, #(I)SupportRussia, #(I)StandWithUkraine, #(I)StandWithZelenskyy and #(I)SupportUkraine
[12 because with or without I, eg SupportRussia or ISupportRussia]
Why?? I have never used any of them.</t>
  </si>
  <si>
    <t>@heinrich_haupt #Putin is playing you! #StandWithRussia. F#*#* Ukraine F239 EU! from a small gain you get crazy! we knew it .. but this was a Nato way of pushing back. time to go for WW3! And enjoy the nukes!</t>
  </si>
  <si>
    <t>@Chimdi0811 @CNN Azerbaijan’s unprovoked attacks are backed by Turkey. Turkey is a NATO member, so sanctions won’t be issued. #standwitharmenia It seems sanctions are only issued to non NATO members #standwithrussia</t>
  </si>
  <si>
    <t>@sunshinesaskia @pwrdbyanthony Hoho jij leest graag wat je wil lezen blijkbaar.
#(I)StandWithPutin, #(I)StandWithRussia, #(I)SupportRussia, #(I)StandWithUkraine, #(I)StandWithZelenskyy and #(I)SupportUkraine.
Was 60-80% nep oftewel ook van Russische zijde.</t>
  </si>
  <si>
    <t>Solche Aussagen zeigen nicht nur, dass die Nazis jetzt bei den Grünen zu finden sind, von wo aus sie den Russlandfeldzug zu Ende führen wollen, das bringt @DJanecek auch ganz nach vorne, wenn es um die Tribunale geht. #StandWithRussia @HeinzPeterGnth2 #neutralgermany https://t.co/NhSrK234V2</t>
  </si>
  <si>
    <t>Ich dachte immer, dass Frauen vernünftiger wären und begreifen, dass Krieg das Schlimmste ist, das man Menschen antun kann. Jede Waffenlieferung schafft mehr Tote, euch interessiert jedoch nur die Fortsetzung des Russlandfeldzug. 50 Mio Tote reichen euch nicht. #StandWithRussia https://t.co/gNL0NErNWe</t>
  </si>
  <si>
    <t>Hələ bəzilərinin profilində “StandwithUkraine” yazılanları var no war deyir. Peysəllər hələdə başa düşmürki öz ərazisini qoruyan Ukrayna ilə Azərbaycan arasında fərq yoxdu. Maraqlıdı görəsən Ukrayna Krıma girəndə  adlarını dəyişdirib “StandwithRussia” eliyəcəklər ya yox. https://t.co/PMdv41npVe</t>
  </si>
  <si>
    <t>Ukrayna, Harkov metrosu. Işığına ne oldu @ZelenskyyUa ? _xD83D__xDE0E_ #StandwithRussia #Russia https://t.co/LlKC2JpCfQ</t>
  </si>
  <si>
    <t>Ukronazi medyası, Rus askeri uçaklarının doğu sınırı boyunca uçtuğunu bildirdi. #StandwithRussia #RussianArmy #Russia https://t.co/YdBgWa04Tm</t>
  </si>
  <si>
    <t>@patrick_edery Dans vos rêves seulement ! ... 
#LaGrandeRussie 
#StandWithRussia _xD83C__xDDF7__xD83C__xDDFA_</t>
  </si>
  <si>
    <t>@heyhelloirene Greetings to @WannabeTsarevna 
Russia is love, 
Russia is us, 
Donbass is along with us,
and Crimea will always be part of us.
_xD83C__xDDF7__xD83C__xDDFA__xD83D__xDD4A__xD83C__xDDF7__xD83C__xDDFA_
#StandWithRussia</t>
  </si>
  <si>
    <t>@DagnyTaggart369 Seems reasonable, 
Go Vova, Go #Russia _xD83C__xDDF7__xD83C__xDDFA_! 
❄️_xD83E__xDD76_❄️_xD83C__xDDFA__xD83C__xDDF8__xD83C__xDDEA__xD83C__xDDFA__xD83C__xDDEC__xD83C__xDDE7_❄️_xD83E__xDD76_❄️
#EU doesn't work for Peace, but for their neurotic thought of been #1 - Foolish fellows _xD83E__xDD26_.
#StandWithRussia 
#StopNATO 
#NATOcriminals</t>
  </si>
  <si>
    <t>To all my Russian friends ❤️ 
Russia is love, 
Russia is us, 
Donbass is along with us,
and Crimea will always be part of us.
_xD83C__xDDF7__xD83C__xDDFA__xD83D__xDD4A__xD83C__xDDF7__xD83C__xDDFA_
_xD83C__xDDE7__xD83C__xDDEC__xD83D__xDD4A__xD83C__xDDE7__xD83C__xDDEC_
#StandWithRussia</t>
  </si>
  <si>
    <t>#StandWithRussia</t>
  </si>
  <si>
    <t>#SayNoMore #TPLFMustGo #TPLFisTheCause #TPLF #StandWithRussia #China #TrumpWasRight #Trump #Ethiopia #Eritrea @POTUS45 @antonioguterres @Europarl_DE @vonderleyen @AbiyAhmedAli @UlrichJvV @EmmanuelMacron @Bundeskanzler @ABaerbock https://t.co/x77drgub57</t>
  </si>
  <si>
    <t>@vonderleyen @ZelenskaUA The only thing they’ve inspired is for Putin to drop more bombs on their Nazi heads. #StandWithRussia #PutinGOAT</t>
  </si>
  <si>
    <t>App test - Ukraine should surrender #standwithrussia</t>
  </si>
  <si>
    <t>@thatdayin1992 You re completely right... NATO's bombing is a legal terrorism... #StandWithRussia and USA GO HOME</t>
  </si>
  <si>
    <t>@PMCorchestra #StandWithRussia</t>
  </si>
  <si>
    <t>Voilà pourquoi je hais l UE... Des pitres, des clowns qui ne pensent rien et cette armée de fonctionnaires non élus et irresponsables devant la loi qui nous dictent leur doxa de marchand de fromages... #StandWithRussia https://t.co/89BW17tROE https://t.co/YoVu464Kod</t>
  </si>
  <si>
    <t>Droom lekker verder vanuit t eu-luchtkasteel,
Poetin komt je uit je nazi-hoofdkwartier halen.. 
#Putiniscoming 
#denazifyEurope 
#StandWithRussia https://t.co/f8f9urCPo8</t>
  </si>
  <si>
    <t>NATO sponsored Ukrainian rocket hits Kindergarten in Donbass 
(not the first one since 2014).
#ZelenskyWarCriminal #SanctionUkraine #DissolveNATO
#StandWithRussia
 https://t.co/ltcxXZnNBU</t>
  </si>
  <si>
    <t>@HEBobiwine #StandwithRUSSIA</t>
  </si>
  <si>
    <t>DHC&amp;amp;LHC birlikleri, Rus Silahlı Kuvvetleri'nin ateş desteğiyle Nikolaevka ve İkinci Nikolaevka'yı özgürleştirdi. #StandwithRussia #Russian #Russianarmy https://t.co/QE8SMHczmn</t>
  </si>
  <si>
    <t>Çeçen birlikleri Neonazi avına başladı. #StandwithRussia #Russia https://t.co/Zj4X9w2ndk</t>
  </si>
  <si>
    <t>Good Luck Boys!!!
#StandWithPutin #StandWithRussia #ЗаПобеду #СлаваРоссия https://t.co/Uj3bY9kPEn</t>
  </si>
  <si>
    <t>@repubblica @LaStampa @Corriere prima di azionare le rotative accertatevi di farle girare nel verso giusto E CITATE LE FONTI! #StandWithRussia @rusembitaly MAI #StandWithUkriane Riguardo alle “deportazioni”: https://t.co/hUZMWSISfn. Riguardo alla “disfatta russa”: https://t.co/tOGIuXSokK</t>
  </si>
  <si>
    <t>@vonderleyen @EU_Commission https://t.co/tbtRNPX5Ad This is your European unity…yes united against YOU,@NATO,@POTUS.The people WANTS @KremlinRussia_E #StandWithRussia THAT SAVE THE HONEST UKRANIAN PEOPLE NEVER #StandWithUkraine ALWAYS AGAINST Ukrainian fascist @ZelenskyyUa. THAT KILL THEM!!</t>
  </si>
  <si>
    <t>@ZelenskyyUa @EmmanuelMacron The most important thing about the plant is that YOU DON’T PUT YOUR HANDS OVER!Hundreds of Ukrainian victims were again sacrificed by your hand in the attempted assault on the power plant beautifully suppressed by @KremlinRussia_E #StandWithRussia! NEVER #StandWithUkraine!</t>
  </si>
  <si>
    <t>@ZelenskyyUa @KremlinRussia_E will bring you to your knees and you will have to pay for every single Ukrainian and Russian soul killed in your name!You will pay also for spread the bullshit that #RussiaIsATerroristState #StandWithRussia NEVER #StandWithUkraine️!</t>
  </si>
  <si>
    <t>@vonderleyen @EU_Commission @ZelenskaUA Never with fascist and ukronazi! EUROPE IS NOT VONDERLAYEN! #NotInMyName #StandWithRussia @KremlinRussia_E NEVER #StandWithUkriane!</t>
  </si>
  <si>
    <t>@EU_Commission @ZelenskaUA @vonderleyen Von Der Leyen role is TO DISSOLVE EUROPE in the name of @NATO and @potus with the method of reverse psychology.USA are masters,@Palazzo_Chigi @Bundeskanzler @EmmanuelMacron @BorisJohnson his disciples using Ukronazi,all against @KremlinRussia_E.#StandWithRussia #NotInMyName</t>
  </si>
  <si>
    <t>Ramazan Kadırov: "Ülke genelinde sıkıyönetim ilan eder ve her türlü silahı kullanırdım"
“..İnsanları sıkıyönetime hazırlamaya başlardım. Yarın ne olur bilmiyoruz. Herhangi bir dine bağlı olmayan bu şeytanların daha çok müttefiki var. olur, çünkü onlar şeytandır.” #StandwithRussia https://t.co/wlfyWlGs5K</t>
  </si>
  <si>
    <t>此の領域での活動を追跡している
今回、Bridget Smartのチームは 2月23日～3月8迄に投稿された以下のハッシュタグを含む全ての tweetを入手した
（# StandWithPutin、# StandWithRussia、# SupportRussia、# StandWithUkraine、# StandWithZelenskyy、# SupportUkraine）
此れらのハッシュタグは、</t>
  </si>
  <si>
    <t>Rusya ve Donetsk Halk Cumhuriyeti birlikleri Ukronazi saldırılarını püskürtüyor! #StandwithRussia #Russia #Russianarmy _xD83C__xDDF7__xD83C__xDDFA_ https://t.co/MmAnJ0YA4L</t>
  </si>
  <si>
    <t>URA! URAAAA! #StandwithRussia #Russia #Putin https://t.co/Obe7WmKj4J</t>
  </si>
  <si>
    <t>@steph_sejourne La souveraineté européenne n'existe pas. ELLE N'EXISTE PAS PAR DEFINITON.
Retourne à l'école petit #collabo.
A mort l'#UE, justice contre les traitres. #ViveLaFrance 
#StandWithRussia #ZelenskyWarCriminal #UkraineNazis #UrsulavonderLeyen 
Souveraineté définition Larousse : https://t.co/YOHEYwvH6E</t>
  </si>
  <si>
    <t>Rus Hava Kuvvetleri Ukrayna'nın enerji altyapısına saldırıyor. #StandwithRussia #Russia #Russianarmy https://t.co/Fjxzw1Qmrf</t>
  </si>
  <si>
    <t>LOL _xD83E__xDD23_
Pero ya hablando en serio:
Estamos en peligro cada que se falsea la historia.
#StandWithRussia _xD83C__xDDF7__xD83C__xDDFA_ https://t.co/EOS3B1sZ6E</t>
  </si>
  <si>
    <t>@Mariana_Betsa #standwithrussia we don’t want you in Europe Ukrainian we want your girls but nothing else</t>
  </si>
  <si>
    <t>#StandWithRussia https://t.co/JoQmGlwapH</t>
  </si>
  <si>
    <t>▪️RF Silahlı Kuvvetleri, tüm cephe hattı boyunca topçu saldırıları gerçekleştiriyor ve aktif olarak hava keşifleri yürütüyor.
▪️RF Silahlı Kuvvetleri, Ukrayna Silahlı Kuvvetleri'ne ait tesislere yüksek hassasiyetli silahlarla saldırı gerçekleştirdi. #StandwithRussia #Russia</t>
  </si>
  <si>
    <t>@denistrubetskoy @Bundeskanzler Es liegt nicht in deutschem oder europäischem Interesse, ein korruptes rassistisches Nazi-Regime als militärische Größe in Zentraleuropa zu etablieren.
Keine Waffen an Kiew in diesem Stellvertreterkrieg.
#ZelenskyWarCriminal #DissolveEU #SanctionUkraine #StandWithRussia</t>
  </si>
  <si>
    <t>#StandWithRussia https://t.co/JxfQ148spp</t>
  </si>
  <si>
    <t>Pandor to address Foreign Relations Council in US
#StandWithRussia #StandwithBricks #bricks #standwithPutin #SenzoMeyiwaTrail</t>
  </si>
  <si>
    <t>_xD83C__xDDF7__xD83C__xDDFA__xD83E__xDD1D__xD83C__xDDF8__xD83C__xDDF0_ Большинство словаков хотят военной победы России над Украиной, — Euractiv публикует результаты опроса.
#StandWithRussia https://t.co/jvnIxX0I7N</t>
  </si>
  <si>
    <t>@GeneralStaffUA #StandWithRussia _xD83C__xDDF7__xD83C__xDDFA_</t>
  </si>
  <si>
    <t>@SNMilitary #StandWithRussia _xD83C__xDDF7__xD83C__xDDFA_</t>
  </si>
  <si>
    <t>#FenerbahceDinamokiev #Russia #StandwithRussia #Putin https://t.co/nBhmzIZ9Hz</t>
  </si>
  <si>
    <t>“Sonra kursunlar darağacını kavgamıza,
Asarlarsa assınlar bizi düşlerimizden!” #StandwithRussia #Russia #Putin #Russianarmy https://t.co/g0oJY0lNqF</t>
  </si>
  <si>
    <t>@NATO has send their soldier into Ukraine battlefield camouflage as Ukraine 3rd Batalyon in the latest strike against Russia by the order America Military Commando, they start open battle with Russia. @UN 
#StandWithUkraine #StandWithRussia #istandwithrussia</t>
  </si>
  <si>
    <t>@Zzzaikar #StandWithRussia _xD83C__xDDE7__xD83C__xDDF7_❤_xD83C__xDDF7__xD83C__xDDFA_ https://t.co/Pl6aSpla4Z</t>
  </si>
  <si>
    <t>@Ukraine66251776 #StandWithRussia https://t.co/LpFtISiMeX</t>
  </si>
  <si>
    <t>#StandWithRussia https://t.co/KuJ7DA8t8H</t>
  </si>
  <si>
    <t>#StandWithRussia!!! https://t.co/Ry9O69LEgi</t>
  </si>
  <si>
    <t>@gazetadopovo A Rússia deve destruir  todo arsenal que o ocidente envia para o regime de Terror de KIEV e Zelensky, antes mesmo que esse arsenal caia em mãos do regime neofascista da ukrania.
#ZelenskyWarCriminal 
#StopNato
#StopNaziUkraine
#StandWithRussia</t>
  </si>
  <si>
    <t>@Ukraine66251776 Sim
#StandWithRussia 
#StandWithRussia_xD83C__xDDF7__xD83C__xDDFA_
#ZelenskyWarCriminal 
#StopZelensky
#StopNatoNow</t>
  </si>
  <si>
    <t>@Ukraine66251776 A Rússia tem o direito de resistir e se defender contra as investidas da NATO. A humanidade tem o direito de se defender contra o NEONAZISMO ucraniano.
#ZelenskyWarCriminal 
#StopNaziUkraine
#StopZelensky
#StopNatoNow
#StandWithRussia 
#StandWithRussia_xD83C__xDDF7__xD83C__xDDFA_</t>
  </si>
  <si>
    <t>@AnnaWRDS @otempo Sim
#StandWithRussia_xD83C__xDDF7__xD83C__xDDFA_
#StandWithPutin
#ZelenskyWarCriminal 
#StopNato</t>
  </si>
  <si>
    <t>@JpgMary Simmmmmmmm
Sim
#StandWithRussia_xD83C__xDDF7__xD83C__xDDFA_
#StandWithPutin
#ZelenskyWarCriminal 
#StopNato</t>
  </si>
  <si>
    <t>@AnesFoufa @RWApodcast Russia has the right to defend itself against NATO onslaughts. humanity has the right to resist the fascist regime of KIEV.
#StopZelensky
#ZelenskyWarCriminal 
#ZelenskyyWarCriminal 
#StopNato
#StandWithRussia
#StandWithRussia_xD83C__xDDF7__xD83C__xDDFA_</t>
  </si>
  <si>
    <t>@RWApodcast Sim
#StandWithRussia_xD83C__xDDF7__xD83C__xDDFA_
#ZelenskyWarCriminal 
#StopNato</t>
  </si>
  <si>
    <t>@RWApodcast Russia has the right to defend itself against NATO onslaughts. humanity has the right to resist the fascist regime of KIEV 
#StopZelensky
#ZelenskyWarCriminal 
#ZelenskyyWarCriminal 
#StopNato
#StandWithRussia
#StandWithRussia_xD83C__xDDF7__xD83C__xDDFA_</t>
  </si>
  <si>
    <t>@PabloSpyer #StandWithRussia 
#StandWithPutin_xD83C__xDDF7__xD83C__xDDFA_</t>
  </si>
  <si>
    <t>@DrEricDing Russia has the right to defend itself against NATO onslaughts. humanity has the right to fight against Ukrainian NAZISM.
#ZelenskyyWarCriminal 
#ZelenskyWarCriminal 
#StopZelensky
#StopNato
#StopNaziUkraine
#StandWithRussia_xD83C__xDDF7__xD83C__xDDFA_</t>
  </si>
  <si>
    <t>@SICNoticias #ZelenskyWarCriminal
Sim
#StopNato
#StopNaziUkraine
#StandWithRussia</t>
  </si>
  <si>
    <t>@SICNoticias Rússia tem o direito de se defender contra as investidas da NATO. a humanidade tem o direito de lutar contra o NEONAZISMO ucraniano 
#ZelenskyyWarCriminal 
#ZelenskyWarCriminal 
#StopZelensky
#StopNato
#StopNaziUkraine
#StandWithRussia_xD83C__xDDF7__xD83C__xDDFA_</t>
  </si>
  <si>
    <t>@SICNoticias Rússia tem o direito de se defender contra as investidas da NATO. 
#ZelenskyyWarCriminal 
#ZelenskyWarCriminal 
#StopZelensky
#StopNato
#StopNaziUkraine
#StandWithRussia_xD83C__xDDF7__xD83C__xDDFA_</t>
  </si>
  <si>
    <t>@UOLNoticias #ZelenskyyWarCriminal 
#ZelenskyWarCriminal 
#StopZelensky
#StopNaziUkraine
Yes...oui...
#StopNato
#StandWithRussia</t>
  </si>
  <si>
    <t>@hoje_no A Rússia tem o direito de se defender contra as investidas da NATO. A humanidade tem o direito de lutar contra o NEONAZISMO ucraniano
#ZelenskyyWarCriminal 
#ZelenskyWarCriminal 
#StopNato
#StopNaziUkraine
#StandWithRussia 
#StandWithRussia_xD83C__xDDF7__xD83C__xDDFA_</t>
  </si>
  <si>
    <t>どこを見ている！キエフはここだ https://t.co/MH7lcSK7fm  #LIBEREAL #standwithrussia</t>
  </si>
  <si>
    <t>どこを見ている！キエフはここだ https://t.co/MH7lcSKF4U  #LIBEREAL #standwithrussia</t>
  </si>
  <si>
    <t>@FredInMoldova Je ne parle pas du peuple mais de la junte criminelle au pouvoir, abruti.
Va donc dans le Donbass discuter avec les russophones libérés de la vermine ukronazie par Poutine... 
#StandWithRussia https://t.co/49d3d7jaFZ</t>
  </si>
  <si>
    <t>@franceinter @LaurenceBoone Il ne faut pas être naïfs : la macronie et l'UE utilisent tous les moyens possibles et imaginables pour faire passer leur propagande russophobe partout où elles peuvent.
Mais on y résiste ! 
#StandWithRussia</t>
  </si>
  <si>
    <t>@ronin19217435 @MinnieM96252794 No war! All fake news designed to make Russia look bad! #StandWithRussia</t>
  </si>
  <si>
    <t>@JacquesFrre2 #StandWithRussia _xD83C__xDDF7__xD83C__xDDFA_</t>
  </si>
  <si>
    <t>https://t.co/kGuwbxc0d8 T.A.T.U - All the things she said ( live 2013 Russia) ＃ニセモノ #やらせ #フェイク #standwithrussia #ティプシー #1d #inizon</t>
  </si>
  <si>
    <t>https://t.co/9KYSoYBV8q t.A.T.u. — «Show Me Love ＃ニセモノ #やらせ #フェイク #standwithrussia #ティプシー #1d #inizon</t>
  </si>
  <si>
    <t>https://t.co/BPqSYvvxSd #Tchaikovsky #LGBT #ロシア正教 #RussianOrthodox #ロシア #russia #セクマイさん #standwithrussia #allthethingshesaid #tatu #ティプシー #inizon #1d</t>
  </si>
  <si>
    <t>https://t.co/QvrNxyPAAM #Tchaikovsky #LGBT #ロシア正教 #RussianOrthodox #ロシア #russia #allthethingshesaid #tatu #1d #セクマイさん #standwithrussia #ティプシー #inizon</t>
  </si>
  <si>
    <t>https://t.co/cUUhyvX3Pw Special Forces' Fight  #Tchaikovsky #LGBT #ロシア正教 #RussianOrthodox #ロシア #russia #セクマイさん #standwithrussia #allthethingshesaid #tatu #1d #ティプシー #inizon</t>
  </si>
  <si>
    <t>https://t.co/kGuwbxcy2G T.A.T.U - All the things she said ( live 2013 Russia) ＃ニセモノ #やらせ #フェイク #standwithrussia #ティプシー #1d #inizon</t>
  </si>
  <si>
    <t>https://t.co/BPqSYvw5HL #Tchaikovsky #LGBT #ロシア正教 #RussianOrthodox #ロシア #russia #セクマイさん #standwithrussia #allthethingshesaid #tatu #ティプシー #inizon #1d</t>
  </si>
  <si>
    <t>https://t.co/QvrNxyQ8qk #Tchaikovsky #LGBT #ロシア正教 #RussianOrthodox #ロシア #russia #allthethingshesaid #tatu #1d #セクマイさん #standwithrussia #ティプシー #inizon</t>
  </si>
  <si>
    <t>https://t.co/9KYSoYCsXY t.A.T.u. — «Show Me Love ＃ニセモノ #やらせ #フェイク #standwithrussia #ティプシー #1d #inizon</t>
  </si>
  <si>
    <t>https://t.co/cUUhyvXBF4 Special Forces' Fight  #Tchaikovsky #LGBT #ロシア正教 #RussianOrthodox #ロシア #russia #セクマイさん #standwithrussia #allthethingshesaid #tatu #1d #ティプシー #inizon</t>
  </si>
  <si>
    <t>@RobertMenardFR Vous êtes vraiment limité . Votre QI et votre petitesse ressortent de votre tweet. Jaloux ? Vous ne lui arrivez pas à la cheville. Ça fait mal n’est ce pas ? _xD83E__xDD2C__xD83E__xDD2E__xD83E__xDD2C_#Zemmouravaitraison #Reconquete #lareconquetecontinue #standwithRussia #JeVoteReconquete</t>
  </si>
  <si>
    <t>@CNEWS Moi je soutiendrais @vladpoutine_fr le temps qui faudra !#LA HONTE #Macronlevatenguerre #MacronNousPrendPourDesCons #StandWithRussia #soutienlaRussie</t>
  </si>
  <si>
    <t>@SpencerGuard God beware this corrupt racist regime is winning and become a power in Central Europe.
Pls. support Russia to get rid of this Nazi scum in the heart of Europe.
#ZelenskyWarCriminal #SanctionUkraine #StandWithRussia</t>
  </si>
  <si>
    <t>@JoWadephul @Bundeskanzler .@Bundeskanzler wann hören Sie endlich die Signale??? Wir müssen jetzt endlich die Unterstützung für diese korrupten Rassisten in diesem Stellvertreterkrieg einstellen!
#StandWithRussia</t>
  </si>
  <si>
    <t>@ChristopherJM This will not happen another time.
Ukraine must be defeated as a corrupt racist Nazi-Regime can‘t be allowed as military power in the heart of Europe.
#StandWithRussia #SanctionUkraine #ZelenskyWarCriminal</t>
  </si>
  <si>
    <t>@maischberger @MelnykAndrij @CarloMasala1 @DasErste Keine Waffen an korrupte Rassisten. Es kann nicht sein, dass Deutschland nach 77 Jahren wieder Nazi unterstützt!
#SanctionUkraine #ZelenskyWarCriminal #StandWithRussia</t>
  </si>
  <si>
    <t>@_FriedrichMerz Kriegstreiber
Kriegsgewinnler
Kriegsverbrecher
#CDUverbieten #ZelenskyWarCriminal #SanctionUkraine #StandWithRussia</t>
  </si>
  <si>
    <t>@welt Sagt die demokratisch nicht legitimierte Dame, die sich erst kürzlich knapp 2.500 EUR Gehaltserhöhung, im Monat wohlgemerkt, genehmigt hat.
Die EU muss untergehen, damit Europa noch eine Chance hat!
#DissolveEU #HaltDieFresseSpringerPresse #StandWithRussia #SanctionUkraine #EU</t>
  </si>
  <si>
    <t>@stagerbn @Bundeskanzler Wer Waffenlieferungen an diese korrupten Rassisten in diesem Stellvertreterkrieg fordert und unterstützt macht sich gemein mit Kriegsverbrechern in Kiew und Washington.
#ZelenskyWarCriminal #SanctionUkraine #StandWithRussia #DissolveNATO</t>
  </si>
  <si>
    <t>@focusonline Nazi müssen fallen!
Es darf unter keinen Umständen passieren, dass sich ein rassistisches Regime als militärische Größe im Herzen Europas etabliert.
#StandWithRussia #ZelenskyWarCriminal</t>
  </si>
  <si>
    <t>@vonderleyen @ZelenskaUA Mrs. Corruption and Mrs. Warcrime. 
What a pair of disgust.
#DissolveEU #ZelenskyWarCriminal #SanctionUkraine #StandWithRussia</t>
  </si>
  <si>
    <t>@MiRo_SPD @tagesschau Keine Unterstützung der korrupten Rassisten in diesem Stellvertreterkrieg, wer Waffen an diese Nazi liefert, begeht Kriegsverbrechen.
#ZelenskyWarCriminal #SanctionUkraine #DissolveEU #StandWithRussia</t>
  </si>
  <si>
    <t>@smartdecoro @vonderleyen @ZelenskyyUa @Denys_Shmyhal Under all circumstances it must be prevented that this corrupt racist Nazi regime is established as a military force in the heart of Europe.
#DissolveEU #ArrestVdL #SanctionUkraine #StandWithRussia</t>
  </si>
  <si>
    <t>@vonderleyen @ZelenskyyUa Die Bandera Obergroupie bekommt eine kleine Aufmerksamkeit als Dank für die Abermillionen europäischer Steuergelder, die ohne demokratische Legitimierung diesen korrupten Rassisten in den Rachen geworfen werden. 
#ArrestVdL #SanctionUkraine #StandWithRussia #DissolveEU</t>
  </si>
  <si>
    <t>@tagesschau Keine Waffen an ein korruptes rassistisches Regime.
#SanctionUkraine #ZelenskyWarCriminal #StandWithRussia</t>
  </si>
  <si>
    <t>@tagesschau Wer Waffenlieferungen an dieses korrupte rassistische Nazi-Regime in diesem Stellvertreterkrieg fordert und unterstützt, macht sich gemein mit den Kriegsverbrechern in Kiew und Washington.
#ZelenskyWarCriminal #SanctionUkraine #DissolveNATO #DissolveEU #StandWithRussia</t>
  </si>
  <si>
    <t>@tagesschau Es kann doch nicht im Interesse Europas oder gar Deutschlands sein, ein Nazi-Regime als militärische Größe im Herzen Europas zu etablieren. 
Solch Dystopie darf nicht zu unserer Realität werden.
#ArrestVdL #SanctionUkraine #ZelenskyWarCriminal #StandWithRussia</t>
  </si>
  <si>
    <t>Und wann es in #Europa so richtig kalt wird und ihr und eure Kinder und älteren friert dann denkt daran für wem ihr das macht #Ukraine ist euch sicher dankbar. #supportrussia #StandWithRussia https://t.co/ydqIm895Y5</t>
  </si>
  <si>
    <t>twitter.com</t>
  </si>
  <si>
    <t>arxiv.org</t>
  </si>
  <si>
    <t>lesechos.fr</t>
  </si>
  <si>
    <t>edu.au</t>
  </si>
  <si>
    <t>mid.ru</t>
  </si>
  <si>
    <t>reuters.com</t>
  </si>
  <si>
    <t>restaurant-kiev.com</t>
  </si>
  <si>
    <t>youtube.com</t>
  </si>
  <si>
    <t>ameblo.jp</t>
  </si>
  <si>
    <t>poutine russie poudré standwithrussia standwithputin</t>
  </si>
  <si>
    <t>standwithrussia russia russianarmy wagnergroup</t>
  </si>
  <si>
    <t>russian urkaine kherson standwithrussia</t>
  </si>
  <si>
    <t>standwithrussia</t>
  </si>
  <si>
    <t>mondialisme pegremondialiste zelenskywarcriminal standwithrussia</t>
  </si>
  <si>
    <t>aphatie ukronazi gotoehpad standwithrussia stop_russophobia fuckaphatie fucknwo fuckwef fuckglobalism fuckukronazis fuckzelenskywarcriminal</t>
  </si>
  <si>
    <t>ski piscines bienvenueenmacronie ue zelenskywarcriminal ukrainecrisis fuckzelensky stoprussophobia fuckukronazis standwithrussia fallaitpasvotermacronbandedecons pegremondialiste dictaturemondialiste mondialisme</t>
  </si>
  <si>
    <t>standwithrussia fuckzelenskywarcriminal fuckukronazis stopeu ue eu eucorrupt stoprussophobia vonderleyenimpostor vonderleyencorrupt euislikepcc bhlimpostor enthovenimpostor glucksmannimpostor</t>
  </si>
  <si>
    <t>standwithrussia kremlin poutineinnocent</t>
  </si>
  <si>
    <t>putin standwithrussia</t>
  </si>
  <si>
    <t>snowden visabanforrussians standwithrussia</t>
  </si>
  <si>
    <t>standwithrussia своихнебросаем</t>
  </si>
  <si>
    <t>slavarossiya standwithrussia</t>
  </si>
  <si>
    <t>standwithrussia deindustrialisierung habeck</t>
  </si>
  <si>
    <t>standwithukraine standwithzelenskyyand supportukraine putinwarcriminal</t>
  </si>
  <si>
    <t>behindyouskipper standwithrussia standwithasifali</t>
  </si>
  <si>
    <t>nomorecolonialism standwithrussia</t>
  </si>
  <si>
    <t>standwithrussia blacklenin communism slavacocaine hunterbidenlaptop wef elensky nazis</t>
  </si>
  <si>
    <t>standwithukraine standwithrussia</t>
  </si>
  <si>
    <t>wagners russia ukraine nato cia standwithrussia</t>
  </si>
  <si>
    <t>russia standwithrussia kherson</t>
  </si>
  <si>
    <t>nato cia ukraine standwithrussia</t>
  </si>
  <si>
    <t>dombass standwithrussia</t>
  </si>
  <si>
    <t>uranium ue standwithrussia nato</t>
  </si>
  <si>
    <t>russiapower standwithrussia zelenskymustgo denatofication</t>
  </si>
  <si>
    <t>standwithrussia putin4ever putin</t>
  </si>
  <si>
    <t>sofia bulgarian ukrainian russia standwithrussia</t>
  </si>
  <si>
    <t>standwithrussia russia russianarmy</t>
  </si>
  <si>
    <t>putin russia standwithrussia</t>
  </si>
  <si>
    <t>standwithrussia stopnaziukraine</t>
  </si>
  <si>
    <t>ukraine russie standwithrussia</t>
  </si>
  <si>
    <t>zelenskywarcriminal stopzelensky stopnaziukraine usaevilempire standwithrussia westandwithrussia</t>
  </si>
  <si>
    <t>standwithrussia standwithputin standwithsyria standwithassad zelensky assad</t>
  </si>
  <si>
    <t>soleimani zahreddine standwithrussia putin πουτιν ρωσια</t>
  </si>
  <si>
    <t>belgrade serbia standwithrussia orthodox</t>
  </si>
  <si>
    <t>славаукраїні славаукраїні славаукраїні рашизм yкраїна россия stoprussia slavaukraini standwithukraine istandwithukraine russianarmy russianairforce ukrainerussianwar ukraineunderattack ukraine russia ukrainerussiacrisis standwithrussia istandwithrussia</t>
  </si>
  <si>
    <t>india isupportrussia standwithrussia supportputin standwithputin russiaukraine ukriane</t>
  </si>
  <si>
    <t>nwo antiimperialism russia standwithrussia tankies handsoffukraine socialism</t>
  </si>
  <si>
    <t>kiev nato usa standwithrussia</t>
  </si>
  <si>
    <t>nonato standwithrussia</t>
  </si>
  <si>
    <t>forzaputin standwithrussia forzabrics forzaeef zelenskywarcriminal zelenskycocaineaddicted naziukraine fuckusa fucknato fuckeu stopnwo stopwef</t>
  </si>
  <si>
    <t>forzaputin standwithrussia</t>
  </si>
  <si>
    <t>standwithrussia forzaputin zelenskycocaineaddicted zelenskywarcriminal naziukraine</t>
  </si>
  <si>
    <t>nafo fella standwithrussia wishfulthinking totalwar</t>
  </si>
  <si>
    <t>standwithrussia freepalestine no2fascists</t>
  </si>
  <si>
    <t>putinwarcriminal standwithrussia</t>
  </si>
  <si>
    <t>boycottqatar boycottqatar2022 boycottqatarfifaworldcup2022 boycottfifa boycottfifaworldcup2022 boycottqatarairways boycottarab boycottpuppetsofamerica boycottwahabiislam boycottmohammadbinabdulwahabislam boycottaljajeera boycottamerica standwithrussia</t>
  </si>
  <si>
    <t>standwithrussia russia redarmy</t>
  </si>
  <si>
    <t>standwitharmenia standwithrussia</t>
  </si>
  <si>
    <t>standwithrussia neutralgermany</t>
  </si>
  <si>
    <t>standwithrussia russia</t>
  </si>
  <si>
    <t>standwithrussia russianarmy russia</t>
  </si>
  <si>
    <t>lagranderussie standwithrussia</t>
  </si>
  <si>
    <t>russia eu standwithrussia stopnato natocriminals</t>
  </si>
  <si>
    <t>saynomore tplfmustgo tplfisthecause tplf standwithrussia china trumpwasright trump ethiopia eritrea</t>
  </si>
  <si>
    <t>standwithrussia putingoat</t>
  </si>
  <si>
    <t>putiniscoming denazifyeurope standwithrussia</t>
  </si>
  <si>
    <t>zelenskywarcriminal sanctionukraine dissolvenato standwithrussia</t>
  </si>
  <si>
    <t>standwithrussia russian russianarmy</t>
  </si>
  <si>
    <t>standwithputin standwithrussia запобеду славароссия</t>
  </si>
  <si>
    <t>standwithrussia standwithukriane</t>
  </si>
  <si>
    <t>standwithrussia standwithukraine</t>
  </si>
  <si>
    <t>russiaisaterroriststate standwithrussia standwithukraine️</t>
  </si>
  <si>
    <t>notinmyname standwithrussia standwithukriane</t>
  </si>
  <si>
    <t>standwithrussia notinmyname</t>
  </si>
  <si>
    <t>standwithrussia russia putin</t>
  </si>
  <si>
    <t>collabo ue vivelafrance standwithrussia zelenskywarcriminal ukrainenazis ursulavonderleyen</t>
  </si>
  <si>
    <t>zelenskywarcriminal dissolveeu sanctionukraine standwithrussia</t>
  </si>
  <si>
    <t>standwithrussia standwithbricks bricks standwithputin senzomeyiwatrail</t>
  </si>
  <si>
    <t>fenerbahcedinamokiev russia standwithrussia putin</t>
  </si>
  <si>
    <t>standwithrussia russia putin russianarmy</t>
  </si>
  <si>
    <t>standwithukraine standwithrussia istandwithrussia</t>
  </si>
  <si>
    <t>zelenskywarcriminal stopnato stopnaziukraine standwithrussia</t>
  </si>
  <si>
    <t>standwithrussia standwithrussia zelenskywarcriminal stopzelensky stopnatonow</t>
  </si>
  <si>
    <t>zelenskywarcriminal stopnaziukraine stopzelensky stopnatonow standwithrussia standwithrussia</t>
  </si>
  <si>
    <t>standwithrussia standwithputin zelenskywarcriminal stopnato</t>
  </si>
  <si>
    <t>stopzelensky zelenskywarcriminal zelenskyywarcriminal stopnato standwithrussia standwithrussia</t>
  </si>
  <si>
    <t>standwithrussia zelenskywarcriminal stopnato</t>
  </si>
  <si>
    <t>standwithrussia standwithputin</t>
  </si>
  <si>
    <t>zelenskyywarcriminal zelenskywarcriminal stopzelensky stopnato stopnaziukraine standwithrussia</t>
  </si>
  <si>
    <t>zelenskyywarcriminal zelenskywarcriminal stopzelensky stopnaziukraine stopnato standwithrussia</t>
  </si>
  <si>
    <t>zelenskyywarcriminal zelenskywarcriminal stopnato stopnaziukraine standwithrussia standwithrussia</t>
  </si>
  <si>
    <t>libereal standwithrussia</t>
  </si>
  <si>
    <t>ニセモノ やらせ フェイク standwithrussia ティプシー 1d inizon</t>
  </si>
  <si>
    <t>tchaikovsky lgbt ロシア正教 russianorthodox ロシア russia セクマイさん standwithrussia allthethingshesaid tatu ティプシー inizon 1d</t>
  </si>
  <si>
    <t>tchaikovsky lgbt ロシア正教 russianorthodox ロシア russia allthethingshesaid tatu 1d セクマイさん standwithrussia ティプシー inizon</t>
  </si>
  <si>
    <t>tchaikovsky lgbt ロシア正教 russianorthodox ロシア russia セクマイさん standwithrussia allthethingshesaid tatu 1d ティプシー inizon</t>
  </si>
  <si>
    <t>zemmouravaitraison reconquete lareconquetecontinue standwithrussia jevotereconquete</t>
  </si>
  <si>
    <t>la macronlevatenguerre macronnousprendpourdescons standwithrussia soutienlarussie</t>
  </si>
  <si>
    <t>zelenskywarcriminal sanctionukraine standwithrussia</t>
  </si>
  <si>
    <t>standwithrussia sanctionukraine zelenskywarcriminal</t>
  </si>
  <si>
    <t>sanctionukraine zelenskywarcriminal standwithrussia</t>
  </si>
  <si>
    <t>cduverbieten zelenskywarcriminal sanctionukraine standwithrussia</t>
  </si>
  <si>
    <t>dissolveeu haltdiefressespringerpresse standwithrussia sanctionukraine eu</t>
  </si>
  <si>
    <t>zelenskywarcriminal sanctionukraine standwithrussia dissolvenato</t>
  </si>
  <si>
    <t>standwithrussia zelenskywarcriminal</t>
  </si>
  <si>
    <t>dissolveeu zelenskywarcriminal sanctionukraine standwithrussia</t>
  </si>
  <si>
    <t>zelenskywarcriminal sanctionukraine dissolveeu standwithrussia</t>
  </si>
  <si>
    <t>dissolveeu arrestvdl sanctionukraine standwithrussia</t>
  </si>
  <si>
    <t>arrestvdl sanctionukraine standwithrussia dissolveeu</t>
  </si>
  <si>
    <t>zelenskywarcriminal sanctionukraine dissolvenato dissolveeu standwithrussia</t>
  </si>
  <si>
    <t>arrestvdl sanctionukraine zelenskywarcriminal standwithrussia</t>
  </si>
  <si>
    <t>europa ukraine supportrussia standwithrussia</t>
  </si>
  <si>
    <t>05:33:20</t>
  </si>
  <si>
    <t>07:03:10</t>
  </si>
  <si>
    <t>09:19:15</t>
  </si>
  <si>
    <t>11:37:57</t>
  </si>
  <si>
    <t>12:43:58</t>
  </si>
  <si>
    <t>17:13:15</t>
  </si>
  <si>
    <t>05:38:14</t>
  </si>
  <si>
    <t>05:40:17</t>
  </si>
  <si>
    <t>14:32:16</t>
  </si>
  <si>
    <t>04:53:12</t>
  </si>
  <si>
    <t>05:17:28</t>
  </si>
  <si>
    <t>07:09:24</t>
  </si>
  <si>
    <t>11:05:55</t>
  </si>
  <si>
    <t>07:27:00</t>
  </si>
  <si>
    <t>07:47:57</t>
  </si>
  <si>
    <t>07:51:26</t>
  </si>
  <si>
    <t>08:33:47</t>
  </si>
  <si>
    <t>09:21:20</t>
  </si>
  <si>
    <t>09:18:39</t>
  </si>
  <si>
    <t>10:39:49</t>
  </si>
  <si>
    <t>14:03:12</t>
  </si>
  <si>
    <t>14:09:41</t>
  </si>
  <si>
    <t>15:44:43</t>
  </si>
  <si>
    <t>15:56:26</t>
  </si>
  <si>
    <t>17:12:08</t>
  </si>
  <si>
    <t>18:18:26</t>
  </si>
  <si>
    <t>18:19:26</t>
  </si>
  <si>
    <t>07:37:10</t>
  </si>
  <si>
    <t>08:04:02</t>
  </si>
  <si>
    <t>19:37:23</t>
  </si>
  <si>
    <t>21:55:39</t>
  </si>
  <si>
    <t>11:30:20</t>
  </si>
  <si>
    <t>11:36:50</t>
  </si>
  <si>
    <t>11:40:56</t>
  </si>
  <si>
    <t>11:54:54</t>
  </si>
  <si>
    <t>11:56:11</t>
  </si>
  <si>
    <t>11:57:39</t>
  </si>
  <si>
    <t>11:58:44</t>
  </si>
  <si>
    <t>12:02:40</t>
  </si>
  <si>
    <t>12:05:11</t>
  </si>
  <si>
    <t>12:05:46</t>
  </si>
  <si>
    <t>12:25:30</t>
  </si>
  <si>
    <t>12:31:55</t>
  </si>
  <si>
    <t>14:48:40</t>
  </si>
  <si>
    <t>15:28:31</t>
  </si>
  <si>
    <t>16:04:31</t>
  </si>
  <si>
    <t>16:34:38</t>
  </si>
  <si>
    <t>19:41:42</t>
  </si>
  <si>
    <t>18:31:40</t>
  </si>
  <si>
    <t>18:34:24</t>
  </si>
  <si>
    <t>20:01:15</t>
  </si>
  <si>
    <t>20:02:56</t>
  </si>
  <si>
    <t>13:07:04</t>
  </si>
  <si>
    <t>17:49:14</t>
  </si>
  <si>
    <t>17:54:14</t>
  </si>
  <si>
    <t>17:58:17</t>
  </si>
  <si>
    <t>18:24:58</t>
  </si>
  <si>
    <t>21:18:58</t>
  </si>
  <si>
    <t>20:40:37</t>
  </si>
  <si>
    <t>20:50:27</t>
  </si>
  <si>
    <t>21:39:01</t>
  </si>
  <si>
    <t>21:43:54</t>
  </si>
  <si>
    <t>05:47:47</t>
  </si>
  <si>
    <t>10:53:19</t>
  </si>
  <si>
    <t>11:14:57</t>
  </si>
  <si>
    <t>08:49:02</t>
  </si>
  <si>
    <t>08:56:15</t>
  </si>
  <si>
    <t>11:57:43</t>
  </si>
  <si>
    <t>13:35:13</t>
  </si>
  <si>
    <t>11:28:44</t>
  </si>
  <si>
    <t>15:08:11</t>
  </si>
  <si>
    <t>15:24:08</t>
  </si>
  <si>
    <t>22:06:24</t>
  </si>
  <si>
    <t>20:53:53</t>
  </si>
  <si>
    <t>22:29:44</t>
  </si>
  <si>
    <t>06:33:48</t>
  </si>
  <si>
    <t>06:53:57</t>
  </si>
  <si>
    <t>18:38:45</t>
  </si>
  <si>
    <t>07:20:24</t>
  </si>
  <si>
    <t>07:52:44</t>
  </si>
  <si>
    <t>11:14:21</t>
  </si>
  <si>
    <t>10:32:25</t>
  </si>
  <si>
    <t>11:17:41</t>
  </si>
  <si>
    <t>11:54:21</t>
  </si>
  <si>
    <t>12:59:38</t>
  </si>
  <si>
    <t>14:05:18</t>
  </si>
  <si>
    <t>16:21:07</t>
  </si>
  <si>
    <t>12:22:31</t>
  </si>
  <si>
    <t>14:36:36</t>
  </si>
  <si>
    <t>16:58:38</t>
  </si>
  <si>
    <t>14:35:49</t>
  </si>
  <si>
    <t>14:32:07</t>
  </si>
  <si>
    <t>14:36:55</t>
  </si>
  <si>
    <t>17:18:34</t>
  </si>
  <si>
    <t>17:19:01</t>
  </si>
  <si>
    <t>14:31:52</t>
  </si>
  <si>
    <t>17:47:18</t>
  </si>
  <si>
    <t>17:53:47</t>
  </si>
  <si>
    <t>17:56:39</t>
  </si>
  <si>
    <t>17:59:25</t>
  </si>
  <si>
    <t>17:59:50</t>
  </si>
  <si>
    <t>18:04:14</t>
  </si>
  <si>
    <t>18:23:01</t>
  </si>
  <si>
    <t>18:31:00</t>
  </si>
  <si>
    <t>18:21:30</t>
  </si>
  <si>
    <t>18:22:47</t>
  </si>
  <si>
    <t>14:00:15</t>
  </si>
  <si>
    <t>18:35:24</t>
  </si>
  <si>
    <t>19:15:16</t>
  </si>
  <si>
    <t>11:55:30</t>
  </si>
  <si>
    <t>19:27:12</t>
  </si>
  <si>
    <t>19:59:50</t>
  </si>
  <si>
    <t>20:01:14</t>
  </si>
  <si>
    <t>21:17:54</t>
  </si>
  <si>
    <t>23:30:09</t>
  </si>
  <si>
    <t>00:19:12</t>
  </si>
  <si>
    <t>00:35:36</t>
  </si>
  <si>
    <t>23:05:28</t>
  </si>
  <si>
    <t>01:48:00</t>
  </si>
  <si>
    <t>05:55:30</t>
  </si>
  <si>
    <t>07:42:13</t>
  </si>
  <si>
    <t>08:02:55</t>
  </si>
  <si>
    <t>08:20:08</t>
  </si>
  <si>
    <t>10:15:20</t>
  </si>
  <si>
    <t>08:04:38</t>
  </si>
  <si>
    <t>08:18:56</t>
  </si>
  <si>
    <t>10:22:08</t>
  </si>
  <si>
    <t>09:53:28</t>
  </si>
  <si>
    <t>09:25:04</t>
  </si>
  <si>
    <t>14:49:05</t>
  </si>
  <si>
    <t>10:03:08</t>
  </si>
  <si>
    <t>12:27:19</t>
  </si>
  <si>
    <t>13:29:05</t>
  </si>
  <si>
    <t>14:01:05</t>
  </si>
  <si>
    <t>14:30:55</t>
  </si>
  <si>
    <t>15:09:10</t>
  </si>
  <si>
    <t>16:08:09</t>
  </si>
  <si>
    <t>16:11:13</t>
  </si>
  <si>
    <t>13:19:42</t>
  </si>
  <si>
    <t>17:52:59</t>
  </si>
  <si>
    <t>19:08:30</t>
  </si>
  <si>
    <t>21:13:53</t>
  </si>
  <si>
    <t>22:28:15</t>
  </si>
  <si>
    <t>22:09:38</t>
  </si>
  <si>
    <t>01:23:06</t>
  </si>
  <si>
    <t>08:11:01</t>
  </si>
  <si>
    <t>11:22:42</t>
  </si>
  <si>
    <t>11:29:51</t>
  </si>
  <si>
    <t>11:44:48</t>
  </si>
  <si>
    <t>11:32:43</t>
  </si>
  <si>
    <t>13:35:08</t>
  </si>
  <si>
    <t>16:11:17</t>
  </si>
  <si>
    <t>13:37:08</t>
  </si>
  <si>
    <t>13:38:12</t>
  </si>
  <si>
    <t>18:39:41</t>
  </si>
  <si>
    <t>19:54:20</t>
  </si>
  <si>
    <t>19:47:45</t>
  </si>
  <si>
    <t>19:45:03</t>
  </si>
  <si>
    <t>20:42:18</t>
  </si>
  <si>
    <t>06:28:42</t>
  </si>
  <si>
    <t>23:07:00</t>
  </si>
  <si>
    <t>19:49:11</t>
  </si>
  <si>
    <t>23:47:48</t>
  </si>
  <si>
    <t>06:20:21</t>
  </si>
  <si>
    <t>06:20:46</t>
  </si>
  <si>
    <t>08:08:38</t>
  </si>
  <si>
    <t>18:31:19</t>
  </si>
  <si>
    <t>06:46:49</t>
  </si>
  <si>
    <t>10:52:03</t>
  </si>
  <si>
    <t>10:54:09</t>
  </si>
  <si>
    <t>11:56:23</t>
  </si>
  <si>
    <t>12:01:48</t>
  </si>
  <si>
    <t>13:01:28</t>
  </si>
  <si>
    <t>14:57:07</t>
  </si>
  <si>
    <t>12:59:41</t>
  </si>
  <si>
    <t>15:23:58</t>
  </si>
  <si>
    <t>15:29:57</t>
  </si>
  <si>
    <t>16:12:02</t>
  </si>
  <si>
    <t>18:24:27</t>
  </si>
  <si>
    <t>18:21:54</t>
  </si>
  <si>
    <t>21:14:19</t>
  </si>
  <si>
    <t>17:30:45</t>
  </si>
  <si>
    <t>17:35:33</t>
  </si>
  <si>
    <t>21:28:49</t>
  </si>
  <si>
    <t>21:03:27</t>
  </si>
  <si>
    <t>18:25:59</t>
  </si>
  <si>
    <t>18:34:23</t>
  </si>
  <si>
    <t>18:53:21</t>
  </si>
  <si>
    <t>00:05:15</t>
  </si>
  <si>
    <t>11:34:17</t>
  </si>
  <si>
    <t>20:03:36</t>
  </si>
  <si>
    <t>20:03:45</t>
  </si>
  <si>
    <t>20:05:31</t>
  </si>
  <si>
    <t>21:17:13</t>
  </si>
  <si>
    <t>22:38:28</t>
  </si>
  <si>
    <t>00:18:36</t>
  </si>
  <si>
    <t>00:35:18</t>
  </si>
  <si>
    <t>08:22:32</t>
  </si>
  <si>
    <t>08:33:05</t>
  </si>
  <si>
    <t>08:44:05</t>
  </si>
  <si>
    <t>18:42:44</t>
  </si>
  <si>
    <t>21:32:56</t>
  </si>
  <si>
    <t>08:43:58</t>
  </si>
  <si>
    <t>13:14:12</t>
  </si>
  <si>
    <t>15:31:52</t>
  </si>
  <si>
    <t>05:00:27</t>
  </si>
  <si>
    <t>05:00:53</t>
  </si>
  <si>
    <t>19:39:31</t>
  </si>
  <si>
    <t>19:39:56</t>
  </si>
  <si>
    <t>19:40:07</t>
  </si>
  <si>
    <t>19:40:16</t>
  </si>
  <si>
    <t>08:49:37</t>
  </si>
  <si>
    <t>09:10:24</t>
  </si>
  <si>
    <t>09:28:25</t>
  </si>
  <si>
    <t>10:16:32</t>
  </si>
  <si>
    <t>10:39:34</t>
  </si>
  <si>
    <t>07:44:00</t>
  </si>
  <si>
    <t>07:44:19</t>
  </si>
  <si>
    <t>07:44:35</t>
  </si>
  <si>
    <t>08:43:22</t>
  </si>
  <si>
    <t>11:23:54</t>
  </si>
  <si>
    <t>07:02:33</t>
  </si>
  <si>
    <t>15:06:42</t>
  </si>
  <si>
    <t>16:10:10</t>
  </si>
  <si>
    <t>19:58:23</t>
  </si>
  <si>
    <t>21:16:34</t>
  </si>
  <si>
    <t>11:09:47</t>
  </si>
  <si>
    <t>13:18:37</t>
  </si>
  <si>
    <t>12:44:23</t>
  </si>
  <si>
    <t>16:57:47</t>
  </si>
  <si>
    <t>10:46:06</t>
  </si>
  <si>
    <t>14:50:10</t>
  </si>
  <si>
    <t>15:58:11</t>
  </si>
  <si>
    <t>19:02:29</t>
  </si>
  <si>
    <t>22:36:46</t>
  </si>
  <si>
    <t>11:43:39</t>
  </si>
  <si>
    <t>12:45:08</t>
  </si>
  <si>
    <t>13:09:36</t>
  </si>
  <si>
    <t>15:04:11</t>
  </si>
  <si>
    <t>14:39:06</t>
  </si>
  <si>
    <t>13:23:09</t>
  </si>
  <si>
    <t>21:40:54</t>
  </si>
  <si>
    <t>21:56:42</t>
  </si>
  <si>
    <t>18:31:21</t>
  </si>
  <si>
    <t>18:56:20</t>
  </si>
  <si>
    <t>20:02:16</t>
  </si>
  <si>
    <t>20:02:32</t>
  </si>
  <si>
    <t>20:58:04</t>
  </si>
  <si>
    <t>20:54:35</t>
  </si>
  <si>
    <t>20:59:30</t>
  </si>
  <si>
    <t>23:01:37</t>
  </si>
  <si>
    <t>23:04:36</t>
  </si>
  <si>
    <t>23:29:40</t>
  </si>
  <si>
    <t>23:07:41</t>
  </si>
  <si>
    <t>23:08:21</t>
  </si>
  <si>
    <t>23:50:27</t>
  </si>
  <si>
    <t>14:45:45</t>
  </si>
  <si>
    <t>16:10:37</t>
  </si>
  <si>
    <t>16:10:38</t>
  </si>
  <si>
    <t>16:10:33</t>
  </si>
  <si>
    <t>16:10:28</t>
  </si>
  <si>
    <t>16:10:30</t>
  </si>
  <si>
    <t>09:08:53</t>
  </si>
  <si>
    <t>16:42:03</t>
  </si>
  <si>
    <t>17:11:34</t>
  </si>
  <si>
    <t>18:32:11</t>
  </si>
  <si>
    <t>11:19:08</t>
  </si>
  <si>
    <t>11:31:16</t>
  </si>
  <si>
    <t>17:48:05</t>
  </si>
  <si>
    <t>15:00:59</t>
  </si>
  <si>
    <t>15:01:07</t>
  </si>
  <si>
    <t>18:30:28</t>
  </si>
  <si>
    <t>23:01:27</t>
  </si>
  <si>
    <t>15:00:57</t>
  </si>
  <si>
    <t>15:01:10</t>
  </si>
  <si>
    <t>18:30:32</t>
  </si>
  <si>
    <t>23:01:29</t>
  </si>
  <si>
    <t>23:01:34</t>
  </si>
  <si>
    <t>15:01:14</t>
  </si>
  <si>
    <t>15:01:36</t>
  </si>
  <si>
    <t>18:30:40</t>
  </si>
  <si>
    <t>23:01:04</t>
  </si>
  <si>
    <t>23:01:14</t>
  </si>
  <si>
    <t>15:00:48</t>
  </si>
  <si>
    <t>15:00:54</t>
  </si>
  <si>
    <t>18:30:29</t>
  </si>
  <si>
    <t>23:00:55</t>
  </si>
  <si>
    <t>23:01:13</t>
  </si>
  <si>
    <t>15:01:09</t>
  </si>
  <si>
    <t>15:01:13</t>
  </si>
  <si>
    <t>18:30:37</t>
  </si>
  <si>
    <t>23:00:31</t>
  </si>
  <si>
    <t>23:00:36</t>
  </si>
  <si>
    <t>15:00:37</t>
  </si>
  <si>
    <t>18:30:33</t>
  </si>
  <si>
    <t>23:00:57</t>
  </si>
  <si>
    <t>23:01:05</t>
  </si>
  <si>
    <t>15:01:06</t>
  </si>
  <si>
    <t>15:01:37</t>
  </si>
  <si>
    <t>18:30:36</t>
  </si>
  <si>
    <t>23:01:03</t>
  </si>
  <si>
    <t>15:00:45</t>
  </si>
  <si>
    <t>15:01:08</t>
  </si>
  <si>
    <t>23:00:58</t>
  </si>
  <si>
    <t>23:01:11</t>
  </si>
  <si>
    <t>15:01:12</t>
  </si>
  <si>
    <t>15:01:32</t>
  </si>
  <si>
    <t>18:30:38</t>
  </si>
  <si>
    <t>19:06:30</t>
  </si>
  <si>
    <t>17:05:57</t>
  </si>
  <si>
    <t>19:18:47</t>
  </si>
  <si>
    <t>10:33:16</t>
  </si>
  <si>
    <t>19:20:35</t>
  </si>
  <si>
    <t>10:00:27</t>
  </si>
  <si>
    <t>15:40:46</t>
  </si>
  <si>
    <t>10:11:52</t>
  </si>
  <si>
    <t>20:03:02</t>
  </si>
  <si>
    <t>05:45:57</t>
  </si>
  <si>
    <t>06:25:18</t>
  </si>
  <si>
    <t>09:15:59</t>
  </si>
  <si>
    <t>16:30:00</t>
  </si>
  <si>
    <t>17:23:40</t>
  </si>
  <si>
    <t>05:45:20</t>
  </si>
  <si>
    <t>06:00:35</t>
  </si>
  <si>
    <t>16:08:22</t>
  </si>
  <si>
    <t>17:23:52</t>
  </si>
  <si>
    <t>06:15:56</t>
  </si>
  <si>
    <t>16:15:41</t>
  </si>
  <si>
    <t>19:23:12</t>
  </si>
  <si>
    <t>12:58:31</t>
  </si>
  <si>
    <t>19:34:02</t>
  </si>
  <si>
    <t>1567385509206364161</t>
  </si>
  <si>
    <t>1567408117473808387</t>
  </si>
  <si>
    <t>1567442362166824960</t>
  </si>
  <si>
    <t>1567477268682838016</t>
  </si>
  <si>
    <t>1567493879758209026</t>
  </si>
  <si>
    <t>1567561650156310531</t>
  </si>
  <si>
    <t>1567386742361300993</t>
  </si>
  <si>
    <t>1567387257774178304</t>
  </si>
  <si>
    <t>1567521134756909057</t>
  </si>
  <si>
    <t>1567737795397156864</t>
  </si>
  <si>
    <t>1567743903914401792</t>
  </si>
  <si>
    <t>1567772071115063303</t>
  </si>
  <si>
    <t>1565657268326207488</t>
  </si>
  <si>
    <t>1567776502854418432</t>
  </si>
  <si>
    <t>1567781774821920769</t>
  </si>
  <si>
    <t>1567782650944917506</t>
  </si>
  <si>
    <t>1567793306544869378</t>
  </si>
  <si>
    <t>1521782016643153921</t>
  </si>
  <si>
    <t>1567804599079243778</t>
  </si>
  <si>
    <t>1567825024781885441</t>
  </si>
  <si>
    <t>1567876208657850368</t>
  </si>
  <si>
    <t>1567877842007883776</t>
  </si>
  <si>
    <t>1567901755081654272</t>
  </si>
  <si>
    <t>1567904706206515200</t>
  </si>
  <si>
    <t>1567923755959349258</t>
  </si>
  <si>
    <t>1567940441689190400</t>
  </si>
  <si>
    <t>1567940692822949890</t>
  </si>
  <si>
    <t>1567779061618843648</t>
  </si>
  <si>
    <t>1567785821926735877</t>
  </si>
  <si>
    <t>1567960310459383810</t>
  </si>
  <si>
    <t>1567995103184318464</t>
  </si>
  <si>
    <t>1568200127340322816</t>
  </si>
  <si>
    <t>1568201762321956868</t>
  </si>
  <si>
    <t>1568202791771930627</t>
  </si>
  <si>
    <t>1568206307953352706</t>
  </si>
  <si>
    <t>1568206630562537472</t>
  </si>
  <si>
    <t>1568207001858998272</t>
  </si>
  <si>
    <t>1568207273037627392</t>
  </si>
  <si>
    <t>1568208263149240325</t>
  </si>
  <si>
    <t>1568208894635266049</t>
  </si>
  <si>
    <t>1568209042937417730</t>
  </si>
  <si>
    <t>1568214009286955008</t>
  </si>
  <si>
    <t>1568215625314566145</t>
  </si>
  <si>
    <t>1568250039683743744</t>
  </si>
  <si>
    <t>1568260066838708225</t>
  </si>
  <si>
    <t>1568269125960757248</t>
  </si>
  <si>
    <t>1568276704250187776</t>
  </si>
  <si>
    <t>1568323781869072384</t>
  </si>
  <si>
    <t>1566856608331833351</t>
  </si>
  <si>
    <t>1568306845684572160</t>
  </si>
  <si>
    <t>1568328702869606403</t>
  </si>
  <si>
    <t>1568329125357850625</t>
  </si>
  <si>
    <t>1567499696213561344</t>
  </si>
  <si>
    <t>1567570701804048390</t>
  </si>
  <si>
    <t>1567571962943111169</t>
  </si>
  <si>
    <t>1567572979466256388</t>
  </si>
  <si>
    <t>1567579696090562560</t>
  </si>
  <si>
    <t>1567623485891002368</t>
  </si>
  <si>
    <t>1568338608444112902</t>
  </si>
  <si>
    <t>1568341083272216576</t>
  </si>
  <si>
    <t>1568353305343950848</t>
  </si>
  <si>
    <t>1568354534065577984</t>
  </si>
  <si>
    <t>1568476309352861697</t>
  </si>
  <si>
    <t>1568190809698074624</t>
  </si>
  <si>
    <t>1568196255460868096</t>
  </si>
  <si>
    <t>1568521920294821888</t>
  </si>
  <si>
    <t>1568523737149935619</t>
  </si>
  <si>
    <t>1568569404488556546</t>
  </si>
  <si>
    <t>1568593940814745601</t>
  </si>
  <si>
    <t>1568199721801449473</t>
  </si>
  <si>
    <t>1568617339184357376</t>
  </si>
  <si>
    <t>1568621353263054848</t>
  </si>
  <si>
    <t>1568722583800905728</t>
  </si>
  <si>
    <t>1568704337144061952</t>
  </si>
  <si>
    <t>1568728456543993856</t>
  </si>
  <si>
    <t>1568850275829686272</t>
  </si>
  <si>
    <t>1568855346373869568</t>
  </si>
  <si>
    <t>1566858391003209729</t>
  </si>
  <si>
    <t>1568862005901103105</t>
  </si>
  <si>
    <t>1568870142599397379</t>
  </si>
  <si>
    <t>1568920878825574400</t>
  </si>
  <si>
    <t>1568910326992715776</t>
  </si>
  <si>
    <t>1568921720399994881</t>
  </si>
  <si>
    <t>1568930943938998272</t>
  </si>
  <si>
    <t>1568947376035090433</t>
  </si>
  <si>
    <t>1568963900116291584</t>
  </si>
  <si>
    <t>1567910915068121091</t>
  </si>
  <si>
    <t>1568575646254698501</t>
  </si>
  <si>
    <t>1568971775870115841</t>
  </si>
  <si>
    <t>1569007523147010048</t>
  </si>
  <si>
    <t>1568971578653671425</t>
  </si>
  <si>
    <t>1568970647816085505</t>
  </si>
  <si>
    <t>1568971856790568961</t>
  </si>
  <si>
    <t>1569012536678256640</t>
  </si>
  <si>
    <t>1569012650608136192</t>
  </si>
  <si>
    <t>1568970586373910530</t>
  </si>
  <si>
    <t>1569019768417538050</t>
  </si>
  <si>
    <t>1569021400350101506</t>
  </si>
  <si>
    <t>1569022120654475264</t>
  </si>
  <si>
    <t>1569022819136053248</t>
  </si>
  <si>
    <t>1569022921695285256</t>
  </si>
  <si>
    <t>1569024030425944065</t>
  </si>
  <si>
    <t>1569028756265930754</t>
  </si>
  <si>
    <t>1569030766364950528</t>
  </si>
  <si>
    <t>1568665988467687424</t>
  </si>
  <si>
    <t>1568666310342500358</t>
  </si>
  <si>
    <t>1568962631435952131</t>
  </si>
  <si>
    <t>1569031875074686977</t>
  </si>
  <si>
    <t>1569041907963002880</t>
  </si>
  <si>
    <t>1568568846495240192</t>
  </si>
  <si>
    <t>1569044909780336643</t>
  </si>
  <si>
    <t>1569053122416492550</t>
  </si>
  <si>
    <t>1569053473823686656</t>
  </si>
  <si>
    <t>1569072767898640384</t>
  </si>
  <si>
    <t>1569106050837610496</t>
  </si>
  <si>
    <t>1569118392589905925</t>
  </si>
  <si>
    <t>1569122521768759297</t>
  </si>
  <si>
    <t>1498434204207841280</t>
  </si>
  <si>
    <t>1569140739912630276</t>
  </si>
  <si>
    <t>1569203025440276480</t>
  </si>
  <si>
    <t>1569229881803960320</t>
  </si>
  <si>
    <t>1569235093591564288</t>
  </si>
  <si>
    <t>1569239425128841216</t>
  </si>
  <si>
    <t>1569268417319911424</t>
  </si>
  <si>
    <t>1567785970434539520</t>
  </si>
  <si>
    <t>1569239123247906817</t>
  </si>
  <si>
    <t>1569270126905823233</t>
  </si>
  <si>
    <t>1567813361038942208</t>
  </si>
  <si>
    <t>1568168601328254976</t>
  </si>
  <si>
    <t>1568612530452316164</t>
  </si>
  <si>
    <t>1568902956740759555</t>
  </si>
  <si>
    <t>1569301632042549249</t>
  </si>
  <si>
    <t>1569317173545545728</t>
  </si>
  <si>
    <t>1569325225749217282</t>
  </si>
  <si>
    <t>1569332733486268416</t>
  </si>
  <si>
    <t>1569342361083457537</t>
  </si>
  <si>
    <t>1569357205987532800</t>
  </si>
  <si>
    <t>1569357974484799489</t>
  </si>
  <si>
    <t>1569314814589108225</t>
  </si>
  <si>
    <t>1569383585815166976</t>
  </si>
  <si>
    <t>1569402590672130048</t>
  </si>
  <si>
    <t>1569434143548907523</t>
  </si>
  <si>
    <t>1521617663776239616</t>
  </si>
  <si>
    <t>1569448174128881664</t>
  </si>
  <si>
    <t>1569496861370884096</t>
  </si>
  <si>
    <t>1569599519880540160</t>
  </si>
  <si>
    <t>1569647757820067845</t>
  </si>
  <si>
    <t>1569649555582644224</t>
  </si>
  <si>
    <t>1569653318976167936</t>
  </si>
  <si>
    <t>1569287891695665152</t>
  </si>
  <si>
    <t>1569681086686306304</t>
  </si>
  <si>
    <t>1569357992784453634</t>
  </si>
  <si>
    <t>1569681587293532160</t>
  </si>
  <si>
    <t>1569681857138098176</t>
  </si>
  <si>
    <t>1569757726041047041</t>
  </si>
  <si>
    <t>1569776513716989953</t>
  </si>
  <si>
    <t>1569774858166214661</t>
  </si>
  <si>
    <t>1569774176348811264</t>
  </si>
  <si>
    <t>1569788584286195712</t>
  </si>
  <si>
    <t>1567761830788972547</t>
  </si>
  <si>
    <t>1568737834621599746</t>
  </si>
  <si>
    <t>1569775217261613063</t>
  </si>
  <si>
    <t>1569835268374396931</t>
  </si>
  <si>
    <t>1569934056367833088</t>
  </si>
  <si>
    <t>1569934159501737984</t>
  </si>
  <si>
    <t>1569961305632546817</t>
  </si>
  <si>
    <t>1569393234069037060</t>
  </si>
  <si>
    <t>1569578329849610242</t>
  </si>
  <si>
    <t>1570002430586228737</t>
  </si>
  <si>
    <t>1570002960121475072</t>
  </si>
  <si>
    <t>1570018621123952641</t>
  </si>
  <si>
    <t>1570019985153474562</t>
  </si>
  <si>
    <t>1570035001533825024</t>
  </si>
  <si>
    <t>1570064105083441153</t>
  </si>
  <si>
    <t>1570034550562062338</t>
  </si>
  <si>
    <t>1570070862602149889</t>
  </si>
  <si>
    <t>1570072367061147655</t>
  </si>
  <si>
    <t>1570082956504449026</t>
  </si>
  <si>
    <t>1500175422939865089</t>
  </si>
  <si>
    <t>1570115638416363521</t>
  </si>
  <si>
    <t>1569796640101519361</t>
  </si>
  <si>
    <t>1567928440237727744</t>
  </si>
  <si>
    <t>1568654424272166912</t>
  </si>
  <si>
    <t>1569075515788775424</t>
  </si>
  <si>
    <t>1569793907872960512</t>
  </si>
  <si>
    <t>1570116666486362113</t>
  </si>
  <si>
    <t>1570118779765415936</t>
  </si>
  <si>
    <t>1570123555630874624</t>
  </si>
  <si>
    <t>1567665333342978049</t>
  </si>
  <si>
    <t>1569288285893304320</t>
  </si>
  <si>
    <t>1570141232244097026</t>
  </si>
  <si>
    <t>1570141270001201153</t>
  </si>
  <si>
    <t>1570141714551115777</t>
  </si>
  <si>
    <t>1570159757755023360</t>
  </si>
  <si>
    <t>1570180206790610944</t>
  </si>
  <si>
    <t>1570205405468409856</t>
  </si>
  <si>
    <t>1570209609507565569</t>
  </si>
  <si>
    <t>1570327193804234756</t>
  </si>
  <si>
    <t>1570329845804011525</t>
  </si>
  <si>
    <t>1570332613533118464</t>
  </si>
  <si>
    <t>1567584166719492096</t>
  </si>
  <si>
    <t>1568714165241487363</t>
  </si>
  <si>
    <t>1569245422165655555</t>
  </si>
  <si>
    <t>1569313428002447360</t>
  </si>
  <si>
    <t>1569348073012490240</t>
  </si>
  <si>
    <t>1569913947133812737</t>
  </si>
  <si>
    <t>1569914056672440323</t>
  </si>
  <si>
    <t>1570135173198663680</t>
  </si>
  <si>
    <t>1570135276290469888</t>
  </si>
  <si>
    <t>1570135325070209025</t>
  </si>
  <si>
    <t>1570135360046333952</t>
  </si>
  <si>
    <t>1570334006415081473</t>
  </si>
  <si>
    <t>1570339236540284930</t>
  </si>
  <si>
    <t>1570343772172713984</t>
  </si>
  <si>
    <t>1570355879194816513</t>
  </si>
  <si>
    <t>1570361678067535873</t>
  </si>
  <si>
    <t>1569955105021075456</t>
  </si>
  <si>
    <t>1569955187732942848</t>
  </si>
  <si>
    <t>1569955252853407744</t>
  </si>
  <si>
    <t>1569970048235884544</t>
  </si>
  <si>
    <t>1570372834349969408</t>
  </si>
  <si>
    <t>1567407959860252672</t>
  </si>
  <si>
    <t>1567892187895025665</t>
  </si>
  <si>
    <t>1567908159582257153</t>
  </si>
  <si>
    <t>1568690370866978816</t>
  </si>
  <si>
    <t>1569072430504902656</t>
  </si>
  <si>
    <t>1569282120085913601</t>
  </si>
  <si>
    <t>1569314539979653120</t>
  </si>
  <si>
    <t>1569668314779250688</t>
  </si>
  <si>
    <t>1569732083781713920</t>
  </si>
  <si>
    <t>1570000935769735168</t>
  </si>
  <si>
    <t>1570062353781198848</t>
  </si>
  <si>
    <t>1570079470417215488</t>
  </si>
  <si>
    <t>1570125851999764480</t>
  </si>
  <si>
    <t>1570179777172242436</t>
  </si>
  <si>
    <t>1570377802888925185</t>
  </si>
  <si>
    <t>1570393279325413377</t>
  </si>
  <si>
    <t>1570037048370774019</t>
  </si>
  <si>
    <t>1567529165594689539</t>
  </si>
  <si>
    <t>1570059569371709441</t>
  </si>
  <si>
    <t>1570402844200632321</t>
  </si>
  <si>
    <t>1566541838957387777</t>
  </si>
  <si>
    <t>1568357758323261447</t>
  </si>
  <si>
    <t>1569030853082087425</t>
  </si>
  <si>
    <t>1569399531430899713</t>
  </si>
  <si>
    <t>1570140897769136131</t>
  </si>
  <si>
    <t>1570140965637337089</t>
  </si>
  <si>
    <t>1570154939179057153</t>
  </si>
  <si>
    <t>1570154062167048192</t>
  </si>
  <si>
    <t>1570155302032670720</t>
  </si>
  <si>
    <t>1570186031932252160</t>
  </si>
  <si>
    <t>1570186781773164544</t>
  </si>
  <si>
    <t>1568018763022475265</t>
  </si>
  <si>
    <t>1570187559522664449</t>
  </si>
  <si>
    <t>1570187728352051206</t>
  </si>
  <si>
    <t>1570198321574318080</t>
  </si>
  <si>
    <t>1570423631674589190</t>
  </si>
  <si>
    <t>1567545887836049408</t>
  </si>
  <si>
    <t>1567908279191232519</t>
  </si>
  <si>
    <t>1568270667639885824</t>
  </si>
  <si>
    <t>1568633032210354177</t>
  </si>
  <si>
    <t>1568995400010317824</t>
  </si>
  <si>
    <t>1569357795870351360</t>
  </si>
  <si>
    <t>1569720195320582144</t>
  </si>
  <si>
    <t>1570082564408487939</t>
  </si>
  <si>
    <t>1570444987980025858</t>
  </si>
  <si>
    <t>1567802140608942081</t>
  </si>
  <si>
    <t>1570452901260140545</t>
  </si>
  <si>
    <t>1570460326319067138</t>
  </si>
  <si>
    <t>1569755841724571648</t>
  </si>
  <si>
    <t>1570371632971259905</t>
  </si>
  <si>
    <t>1570374688911532034</t>
  </si>
  <si>
    <t>1570469517146324994</t>
  </si>
  <si>
    <t>1567528364138717184</t>
  </si>
  <si>
    <t>1567528397751914501</t>
  </si>
  <si>
    <t>1567581082006036481</t>
  </si>
  <si>
    <t>1567649274619469827</t>
  </si>
  <si>
    <t>1567649277203079168</t>
  </si>
  <si>
    <t>1567890741183057923</t>
  </si>
  <si>
    <t>1567890795218321408</t>
  </si>
  <si>
    <t>1567943485277233157</t>
  </si>
  <si>
    <t>1568011673813794816</t>
  </si>
  <si>
    <t>1568011691362844672</t>
  </si>
  <si>
    <t>1568253201811652614</t>
  </si>
  <si>
    <t>1568253294442684416</t>
  </si>
  <si>
    <t>1568305907741904896</t>
  </si>
  <si>
    <t>1568373954141900807</t>
  </si>
  <si>
    <t>1568373995170308098</t>
  </si>
  <si>
    <t>1568615478444130304</t>
  </si>
  <si>
    <t>1568615504612556800</t>
  </si>
  <si>
    <t>1568668247997792257</t>
  </si>
  <si>
    <t>1568736306217517062</t>
  </si>
  <si>
    <t>1568736380494413824</t>
  </si>
  <si>
    <t>1568977956734734338</t>
  </si>
  <si>
    <t>1568977973826523136</t>
  </si>
  <si>
    <t>1569030670688608256</t>
  </si>
  <si>
    <t>1569098591280500738</t>
  </si>
  <si>
    <t>1569098613040488448</t>
  </si>
  <si>
    <t>1569340209707339776</t>
  </si>
  <si>
    <t>1569340279680892937</t>
  </si>
  <si>
    <t>1569393040501997568</t>
  </si>
  <si>
    <t>1569461089775001603</t>
  </si>
  <si>
    <t>1569461124160000000</t>
  </si>
  <si>
    <t>1569702720818548736</t>
  </si>
  <si>
    <t>1569702848337788928</t>
  </si>
  <si>
    <t>1569755442212896773</t>
  </si>
  <si>
    <t>1569823503263612928</t>
  </si>
  <si>
    <t>1569823547521900545</t>
  </si>
  <si>
    <t>1570065019953364993</t>
  </si>
  <si>
    <t>1570065113054330883</t>
  </si>
  <si>
    <t>1570117847795531777</t>
  </si>
  <si>
    <t>1570185869952450563</t>
  </si>
  <si>
    <t>1570185922284494849</t>
  </si>
  <si>
    <t>1570427521077755904</t>
  </si>
  <si>
    <t>1570427605245112320</t>
  </si>
  <si>
    <t>1570480224789209091</t>
  </si>
  <si>
    <t>1570489251934109696</t>
  </si>
  <si>
    <t>1567559813030182913</t>
  </si>
  <si>
    <t>1570492341353607172</t>
  </si>
  <si>
    <t>1570360092079566848</t>
  </si>
  <si>
    <t>1570492795873533953</t>
  </si>
  <si>
    <t>1568902281789046784</t>
  </si>
  <si>
    <t>1568987926331117570</t>
  </si>
  <si>
    <t>1569267541087772672</t>
  </si>
  <si>
    <t>1569778703055339530</t>
  </si>
  <si>
    <t>1569925396845436929</t>
  </si>
  <si>
    <t>1569935300507336704</t>
  </si>
  <si>
    <t>1569978253468745730</t>
  </si>
  <si>
    <t>1570087477381152768</t>
  </si>
  <si>
    <t>1570100983266426882</t>
  </si>
  <si>
    <t>1570287633003347975</t>
  </si>
  <si>
    <t>1570291470782824448</t>
  </si>
  <si>
    <t>1570444422625599488</t>
  </si>
  <si>
    <t>1570463421757358082</t>
  </si>
  <si>
    <t>1569570558387388416</t>
  </si>
  <si>
    <t>1570083874553712640</t>
  </si>
  <si>
    <t>1570493452902895616</t>
  </si>
  <si>
    <t>1570034256658984966</t>
  </si>
  <si>
    <t>1570496179234033666</t>
  </si>
  <si>
    <t>1566721170363371522</t>
  </si>
  <si>
    <t>1567409523773657088</t>
  </si>
  <si>
    <t>1567407115471298560</t>
  </si>
  <si>
    <t>1567547462360907776</t>
  </si>
  <si>
    <t>1567338253128273922</t>
  </si>
  <si>
    <t>1567163040902135812</t>
  </si>
  <si>
    <t>1567208450383290368</t>
  </si>
  <si>
    <t>1565513032284794880</t>
  </si>
  <si>
    <t>1567507197357088775</t>
  </si>
  <si>
    <t>1567463238958194688</t>
  </si>
  <si>
    <t>1567920376860258305</t>
  </si>
  <si>
    <t>1568329123466182658</t>
  </si>
  <si>
    <t>1565481591194927104</t>
  </si>
  <si>
    <t>1568154696207966208</t>
  </si>
  <si>
    <t>1568172605667942400</t>
  </si>
  <si>
    <t>1568512592045551616</t>
  </si>
  <si>
    <t>1568349764378415104</t>
  </si>
  <si>
    <t>1568576340831477760</t>
  </si>
  <si>
    <t>1568222547140923392</t>
  </si>
  <si>
    <t>1568848369963126784</t>
  </si>
  <si>
    <t>1568928919314890753</t>
  </si>
  <si>
    <t>1568935128096976897</t>
  </si>
  <si>
    <t>1567759393382334464</t>
  </si>
  <si>
    <t>1568562430397108224</t>
  </si>
  <si>
    <t>1568936848759869440</t>
  </si>
  <si>
    <t>1568629225674113025</t>
  </si>
  <si>
    <t>1568508162357035008</t>
  </si>
  <si>
    <t>1568919229176365056</t>
  </si>
  <si>
    <t>1568623664089661440</t>
  </si>
  <si>
    <t>1568802178177060867</t>
  </si>
  <si>
    <t>1499804737725775879</t>
  </si>
  <si>
    <t>1568608679871537153</t>
  </si>
  <si>
    <t>1569038342552944641</t>
  </si>
  <si>
    <t>1569045871748349953</t>
  </si>
  <si>
    <t>1569224525232967680</t>
  </si>
  <si>
    <t>1568833466153959429</t>
  </si>
  <si>
    <t>1567493448810352642</t>
  </si>
  <si>
    <t>1568114914102841347</t>
  </si>
  <si>
    <t>1568594977671741440</t>
  </si>
  <si>
    <t>1568666675146530816</t>
  </si>
  <si>
    <t>1569235558278258690</t>
  </si>
  <si>
    <t>1568623034856251398</t>
  </si>
  <si>
    <t>1569342020220600320</t>
  </si>
  <si>
    <t>1569400451551969282</t>
  </si>
  <si>
    <t>1569432222771429377</t>
  </si>
  <si>
    <t>1521191570359341058</t>
  </si>
  <si>
    <t>1569435923502465026</t>
  </si>
  <si>
    <t>1569552445847511040</t>
  </si>
  <si>
    <t>1569623305644130305</t>
  </si>
  <si>
    <t>1569635560041365504</t>
  </si>
  <si>
    <t>1569615745054609410</t>
  </si>
  <si>
    <t>1569768127529119745</t>
  </si>
  <si>
    <t>1567444383376588800</t>
  </si>
  <si>
    <t>1569738345428975622</t>
  </si>
  <si>
    <t>1569336566824472577</t>
  </si>
  <si>
    <t>1569564613745721345</t>
  </si>
  <si>
    <t>1569980891522277376</t>
  </si>
  <si>
    <t>1567538738300952576</t>
  </si>
  <si>
    <t>1569033576271724550</t>
  </si>
  <si>
    <t>1569963475224371200</t>
  </si>
  <si>
    <t>1570121639861551105</t>
  </si>
  <si>
    <t>1570042706574950400</t>
  </si>
  <si>
    <t>1569341070982664199</t>
  </si>
  <si>
    <t>1569909014846230530</t>
  </si>
  <si>
    <t>1569908443032555520</t>
  </si>
  <si>
    <t>1569876615819051008</t>
  </si>
  <si>
    <t>1569957074909679618</t>
  </si>
  <si>
    <t>1570372542820675585</t>
  </si>
  <si>
    <t>1569731847546097665</t>
  </si>
  <si>
    <t>1568105277093707776</t>
  </si>
  <si>
    <t>1567347507860017152</t>
  </si>
  <si>
    <t>1566540178931568640</t>
  </si>
  <si>
    <t>1568349664210210816</t>
  </si>
  <si>
    <t>1568947844534468608</t>
  </si>
  <si>
    <t>1569135551206359041</t>
  </si>
  <si>
    <t>1570136136080846848</t>
  </si>
  <si>
    <t>1570131271539642368</t>
  </si>
  <si>
    <t>1570001546993143808</t>
  </si>
  <si>
    <t>1570000830765449221</t>
  </si>
  <si>
    <t>1569934067763761154</t>
  </si>
  <si>
    <t>1570126652994199553</t>
  </si>
  <si>
    <t>1569801663325544448</t>
  </si>
  <si>
    <t>1567972574038224896</t>
  </si>
  <si>
    <t>1570183387616366592</t>
  </si>
  <si>
    <t>1570180877740830721</t>
  </si>
  <si>
    <t>1570193448103477248</t>
  </si>
  <si>
    <t>1570334066137858051</t>
  </si>
  <si>
    <t>1567800187854233602</t>
  </si>
  <si>
    <t>1570299584013901825</t>
  </si>
  <si>
    <t>1569812361489584130</t>
  </si>
  <si>
    <t>1569755241242836993</t>
  </si>
  <si>
    <t>1570370371060379662</t>
  </si>
  <si>
    <t>1570373903880519681</t>
  </si>
  <si>
    <t>1566704619459321856</t>
  </si>
  <si>
    <t>1570411365252169734</t>
  </si>
  <si>
    <t>1568646036859813888</t>
  </si>
  <si>
    <t>1568995670794850304</t>
  </si>
  <si>
    <t>1569597763268009985</t>
  </si>
  <si>
    <t>1568220133453086720</t>
  </si>
  <si>
    <t>1569907198242836483</t>
  </si>
  <si>
    <t>1569905911518400514</t>
  </si>
  <si>
    <t>1570080770374467585</t>
  </si>
  <si>
    <t>1570044179467624448</t>
  </si>
  <si>
    <t>1570117846721519618</t>
  </si>
  <si>
    <t>1570302924328210432</t>
  </si>
  <si>
    <t>1570349657821249536</t>
  </si>
  <si>
    <t>1569547289965858816</t>
  </si>
  <si>
    <t>1570082647162130433</t>
  </si>
  <si>
    <t>1570487773920120834</t>
  </si>
  <si>
    <t/>
  </si>
  <si>
    <t>1503798293171777537</t>
  </si>
  <si>
    <t>405579267</t>
  </si>
  <si>
    <t>17211968</t>
  </si>
  <si>
    <t>32628809</t>
  </si>
  <si>
    <t>15658101</t>
  </si>
  <si>
    <t>765957157175058432</t>
  </si>
  <si>
    <t>1373365280508809219</t>
  </si>
  <si>
    <t>102139266</t>
  </si>
  <si>
    <t>46479088</t>
  </si>
  <si>
    <t>1499039297072156684</t>
  </si>
  <si>
    <t>1154034977991868416</t>
  </si>
  <si>
    <t>1567776689333100550</t>
  </si>
  <si>
    <t>1296379145795010563</t>
  </si>
  <si>
    <t>1478722479560531971</t>
  </si>
  <si>
    <t>899524315</t>
  </si>
  <si>
    <t>1499043009521864704</t>
  </si>
  <si>
    <t>1328478635074990086</t>
  </si>
  <si>
    <t>626287930</t>
  </si>
  <si>
    <t>1249594507202617346</t>
  </si>
  <si>
    <t>199821647</t>
  </si>
  <si>
    <t>873135988440223745</t>
  </si>
  <si>
    <t>1565011876228087815</t>
  </si>
  <si>
    <t>1050373998587056128</t>
  </si>
  <si>
    <t>119136331</t>
  </si>
  <si>
    <t>20004999</t>
  </si>
  <si>
    <t>124418093</t>
  </si>
  <si>
    <t>157981564</t>
  </si>
  <si>
    <t>1146329871418843136</t>
  </si>
  <si>
    <t>2415072836</t>
  </si>
  <si>
    <t>28745526</t>
  </si>
  <si>
    <t>213410859</t>
  </si>
  <si>
    <t>1120633726478823425</t>
  </si>
  <si>
    <t>2819892940</t>
  </si>
  <si>
    <t>1151913018936053760</t>
  </si>
  <si>
    <t>848884243</t>
  </si>
  <si>
    <t>543975537</t>
  </si>
  <si>
    <t>1496540039450443779</t>
  </si>
  <si>
    <t>497995758</t>
  </si>
  <si>
    <t>1524419766609403907</t>
  </si>
  <si>
    <t>35721171</t>
  </si>
  <si>
    <t>61877999</t>
  </si>
  <si>
    <t>923106269761851392</t>
  </si>
  <si>
    <t>792054557501038592</t>
  </si>
  <si>
    <t>867871016</t>
  </si>
  <si>
    <t>100731315</t>
  </si>
  <si>
    <t>1652541</t>
  </si>
  <si>
    <t>1492527784656318469</t>
  </si>
  <si>
    <t>1297464842287226880</t>
  </si>
  <si>
    <t>774955073067687936</t>
  </si>
  <si>
    <t>1492411357785903104</t>
  </si>
  <si>
    <t>162368802</t>
  </si>
  <si>
    <t>789420103787958272</t>
  </si>
  <si>
    <t>461449783</t>
  </si>
  <si>
    <t>1431707823231193089</t>
  </si>
  <si>
    <t>2158616996</t>
  </si>
  <si>
    <t>1552774636181798912</t>
  </si>
  <si>
    <t>1573440108</t>
  </si>
  <si>
    <t>18935802</t>
  </si>
  <si>
    <t>933893990633447424</t>
  </si>
  <si>
    <t>23967604</t>
  </si>
  <si>
    <t>3362160970</t>
  </si>
  <si>
    <t>4012126155</t>
  </si>
  <si>
    <t>1507621763538112518</t>
  </si>
  <si>
    <t>1508231997889601545</t>
  </si>
  <si>
    <t>83795099</t>
  </si>
  <si>
    <t>1457929912917110787</t>
  </si>
  <si>
    <t>1517696955329228800</t>
  </si>
  <si>
    <t>412474587</t>
  </si>
  <si>
    <t>15084884</t>
  </si>
  <si>
    <t>3224531133</t>
  </si>
  <si>
    <t>1164517268992274432</t>
  </si>
  <si>
    <t>1170697698619658240</t>
  </si>
  <si>
    <t>1327266713054941184</t>
  </si>
  <si>
    <t>2408015736</t>
  </si>
  <si>
    <t>18831926</t>
  </si>
  <si>
    <t>17163446</t>
  </si>
  <si>
    <t>14594698</t>
  </si>
  <si>
    <t>799915069186469888</t>
  </si>
  <si>
    <t>1510703137031659521</t>
  </si>
  <si>
    <t>34867057</t>
  </si>
  <si>
    <t>1476323517046140931</t>
  </si>
  <si>
    <t>1006081814849576960</t>
  </si>
  <si>
    <t>1132342340</t>
  </si>
  <si>
    <t>18396319</t>
  </si>
  <si>
    <t>389682667</t>
  </si>
  <si>
    <t>16827148</t>
  </si>
  <si>
    <t>1860407786</t>
  </si>
  <si>
    <t>1059395748289232896</t>
  </si>
  <si>
    <t>8720562</t>
  </si>
  <si>
    <t>72265312</t>
  </si>
  <si>
    <t>5494392</t>
  </si>
  <si>
    <t>1114675538</t>
  </si>
  <si>
    <t>45793157</t>
  </si>
  <si>
    <t>79695689</t>
  </si>
  <si>
    <t>5734902</t>
  </si>
  <si>
    <t>fr</t>
  </si>
  <si>
    <t>tr</t>
  </si>
  <si>
    <t>en</t>
  </si>
  <si>
    <t>und</t>
  </si>
  <si>
    <t>de</t>
  </si>
  <si>
    <t>ru</t>
  </si>
  <si>
    <t>it</t>
  </si>
  <si>
    <t>fa</t>
  </si>
  <si>
    <t>fi</t>
  </si>
  <si>
    <t>nl</t>
  </si>
  <si>
    <t>pt</t>
  </si>
  <si>
    <t>pl</t>
  </si>
  <si>
    <t>ja</t>
  </si>
  <si>
    <t>eu</t>
  </si>
  <si>
    <t>es</t>
  </si>
  <si>
    <t>1567414255762247682</t>
  </si>
  <si>
    <t>1548439504783978499</t>
  </si>
  <si>
    <t>1567605573222277121</t>
  </si>
  <si>
    <t>1568195866107813888</t>
  </si>
  <si>
    <t>1568260918512951296</t>
  </si>
  <si>
    <t>1566178662969638912</t>
  </si>
  <si>
    <t>1567616706171764737</t>
  </si>
  <si>
    <t>1568012944285507584</t>
  </si>
  <si>
    <t>1568596784678666250</t>
  </si>
  <si>
    <t>1568043302032928768</t>
  </si>
  <si>
    <t>1567434742311567360</t>
  </si>
  <si>
    <t>1569308389137649669</t>
  </si>
  <si>
    <t>1569290251906031619</t>
  </si>
  <si>
    <t>1569272600055930880</t>
  </si>
  <si>
    <t>1569679577844154369</t>
  </si>
  <si>
    <t>1569891516281245697</t>
  </si>
  <si>
    <t>1569980083820969986</t>
  </si>
  <si>
    <t>1570009415805190147</t>
  </si>
  <si>
    <t>1569952276776714240</t>
  </si>
  <si>
    <t>1570320429495226371</t>
  </si>
  <si>
    <t>1569795425397268481</t>
  </si>
  <si>
    <t>1569873091781591043</t>
  </si>
  <si>
    <t>Twitter for Android</t>
  </si>
  <si>
    <t>Twitter Web App</t>
  </si>
  <si>
    <t>Twitter for iPhone</t>
  </si>
  <si>
    <t>Twitter for iPad</t>
  </si>
  <si>
    <t>Botbird tweets</t>
  </si>
  <si>
    <t>72.529465,32.27554 
77.119855,32.27554 
77.119855,37.07827 
72.529465,37.07827</t>
  </si>
  <si>
    <t>India</t>
  </si>
  <si>
    <t>IN</t>
  </si>
  <si>
    <t>Jammu &amp; Kashmir</t>
  </si>
  <si>
    <t>7589e3f2b73287da</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</si>
  <si>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</si>
  <si>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</si>
  <si>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</si>
  <si>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</si>
  <si>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</si>
  <si>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</si>
  <si>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</si>
  <si>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</si>
  <si>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</si>
  <si>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</si>
  <si>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</si>
  <si>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</si>
  <si>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</si>
  <si>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</si>
  <si>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</si>
  <si>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</si>
  <si>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</si>
  <si>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</si>
  <si>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</si>
  <si>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</si>
  <si>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</si>
  <si>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</si>
  <si>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</si>
  <si>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Marie_xD83C__xDDEB__xD83C__xDDF7_ ✝️_xD83C__xDDF7__xD83C__xDDFA_☦_xD83D__xDC3B_franco-russe</t>
  </si>
  <si>
    <t>CAP. 4eme compte ®️</t>
  </si>
  <si>
    <t>Duval Philippe</t>
  </si>
  <si>
    <t>Spyderco Fan</t>
  </si>
  <si>
    <t>NARGİŹA</t>
  </si>
  <si>
    <t>Aleksey Maresyev_xD83C__xDDF7__xD83C__xDDFA__xD83C__xDDF9__xD83C__xDDF7_</t>
  </si>
  <si>
    <t>David Bullock</t>
  </si>
  <si>
    <t>The Phantom of Odessa</t>
  </si>
  <si>
    <t>Zivko Vasiljev</t>
  </si>
  <si>
    <t>Mark Petchey</t>
  </si>
  <si>
    <t>US Open Tennis</t>
  </si>
  <si>
    <t>Pavvy G</t>
  </si>
  <si>
    <t>Joker dépressif</t>
  </si>
  <si>
    <t>François Bayrou</t>
  </si>
  <si>
    <t>Russie en France</t>
  </si>
  <si>
    <t>Botschaft der Russischen Föderation</t>
  </si>
  <si>
    <t>Russian Mission Vienna</t>
  </si>
  <si>
    <t>Russian Mission OSCE</t>
  </si>
  <si>
    <t>Josep Borrell Fontelles</t>
  </si>
  <si>
    <t>Евросоюз</t>
  </si>
  <si>
    <t>RussianMissionEU</t>
  </si>
  <si>
    <t>MFA Russia _xD83C__xDDF7__xD83C__xDDFA_</t>
  </si>
  <si>
    <t>Mike Gilchrist</t>
  </si>
  <si>
    <t>Jeroen #StandWithUkraine _xD83C__xDDE7__xD83C__xDDEA__xD83C__xDDEA__xD83C__xDDEA__xD83C__xDDFA__xD83C__xDDE6_</t>
  </si>
  <si>
    <t>Russian Embassy in Italy</t>
  </si>
  <si>
    <t>Ursula von der Leyen</t>
  </si>
  <si>
    <t>_xD83C__xDF0F_ Oliver Swift _xD83C__xDF0E_</t>
  </si>
  <si>
    <t>Patrick Roger</t>
  </si>
  <si>
    <t>Loïk LeFloch-Prigent</t>
  </si>
  <si>
    <t>francoise degois</t>
  </si>
  <si>
    <t>Philippe Bilger</t>
  </si>
  <si>
    <t>Cécile de Ménibus ♕</t>
  </si>
  <si>
    <t>Philippe DAVID⭐⭐</t>
  </si>
  <si>
    <t>Sud Radio</t>
  </si>
  <si>
    <t>jean-michel aphatie</t>
  </si>
  <si>
    <t>24h Pujadas</t>
  </si>
  <si>
    <t>Lecureuil</t>
  </si>
  <si>
    <t>Andrew Chakhoyan _xD83C__xDDFA__xD83C__xDDE6_</t>
  </si>
  <si>
    <t>Charlie Spiering</t>
  </si>
  <si>
    <t>Lebidkaꑭ_xD83C__xDDFA__xD83C__xDDE6_</t>
  </si>
  <si>
    <t>President Biden</t>
  </si>
  <si>
    <t>David Giglio</t>
  </si>
  <si>
    <t>The RealRS-3. Trial_xD83D__xDE02_</t>
  </si>
  <si>
    <t>Dr. Dr. Raille Stekner _xD83E__xDD5D_ _xD83C__xDDF8__xD83C__xDDEA_ _xD83C__xDDF7__xD83C__xDDFA_</t>
  </si>
  <si>
    <t>Ela</t>
  </si>
  <si>
    <t>Charlie la tenaille</t>
  </si>
  <si>
    <t>Mark Wolff</t>
  </si>
  <si>
    <t>nika vodvud _xD83D__xDC00_</t>
  </si>
  <si>
    <t>Ср@ныйКовбой</t>
  </si>
  <si>
    <t>_xD83C__xDDF7__xD83C__xDDFA_ _xD835__xDC01__xD835__xDC1E__xD835__xDC27_ _xD835__xDC0A__xD835__xDC2E__xD835__xDC2D__xD835__xDC28__xD835__xDC30__xD835__xDC2C__xD835__xDC24__xD835__xDC22_-_xD835__xDC0C__xD835__xDC1E__xD835__xDC1D__xD835__xDC2F__xD835__xDC1E__xD835__xDC1D__xD835__xDC1E__xD835__xDC2F_ _xD83C__xDDF7__xD83C__xDDFA_</t>
  </si>
  <si>
    <t>Bernard-Henri Lévy</t>
  </si>
  <si>
    <t>Revan Nilh</t>
  </si>
  <si>
    <t>BOY _xD83C__xDDF7__xD83C__xDDFA__xD83C__xDDE8__xD83C__xDDF3__xD83C__xDDE7__xD83C__xDDF7__xD83C__xDDEE__xD83C__xDDF3__xD83C__xDDFF__xD83C__xDDE6_</t>
  </si>
  <si>
    <t>Real Fantomas</t>
  </si>
  <si>
    <t>Michele</t>
  </si>
  <si>
    <t>Alberto Fazolo</t>
  </si>
  <si>
    <t>poseidon</t>
  </si>
  <si>
    <t>gorkem</t>
  </si>
  <si>
    <t>PTI Baltistan _xD83C__xDDF5__xD83C__xDDF0_</t>
  </si>
  <si>
    <t>Sobi Insafian</t>
  </si>
  <si>
    <t>Achguck</t>
  </si>
  <si>
    <t>aniotzbehere myriam</t>
  </si>
  <si>
    <t>bassa betela</t>
  </si>
  <si>
    <t>Ethiopia First</t>
  </si>
  <si>
    <t>#PeterObi</t>
  </si>
  <si>
    <t>S. Jallow</t>
  </si>
  <si>
    <t>Gregor Gysi</t>
  </si>
  <si>
    <t>Queen Kathryn _xD83D__xDC78__xD83C__xDDEA__xD83C__xDDF9__xD83C__xDDEA__xD83C__xDDF7_</t>
  </si>
  <si>
    <t>Prosperous Ethiopia _xD83C__xDDEA__xD83C__xDDF9__xD83C__xDDEA__xD83C__xDDF9__xD83C__xDDEA__xD83C__xDDF9_</t>
  </si>
  <si>
    <t>Debebe Teferra</t>
  </si>
  <si>
    <t>Habib Hassen</t>
  </si>
  <si>
    <t>Wondimu _xD83C__xDDEA__xD83C__xDDF9_ Viva</t>
  </si>
  <si>
    <t>Gheday Sequar</t>
  </si>
  <si>
    <t>Teferi Girma</t>
  </si>
  <si>
    <t>Andrew C.G</t>
  </si>
  <si>
    <t>Adiss</t>
  </si>
  <si>
    <t>Berhanu Mekonnen</t>
  </si>
  <si>
    <t>yidnekachew shirtaga</t>
  </si>
  <si>
    <t>Carlos Guzman _xD83D__xDEBF__xD83D__xDEC0_⛽_xD83C__xDF4A__xD83D__xDC8A_</t>
  </si>
  <si>
    <t>Riocard Ó Tiarnaigh</t>
  </si>
  <si>
    <t>james foley</t>
  </si>
  <si>
    <t>Lucy Gatsby</t>
  </si>
  <si>
    <t>ANB_100 #ResistTyranny</t>
  </si>
  <si>
    <t>Uutishuone</t>
  </si>
  <si>
    <t>El Bot Ruso</t>
  </si>
  <si>
    <t>_xD83C__xDDEC__xD83C__xDDE7_☦️Z☭ NeoVatnik ☭Z☪️_xD83C__xDDEC__xD83C__xDDE7_</t>
  </si>
  <si>
    <t>Danny Haiphong</t>
  </si>
  <si>
    <t>_xD83C__xDFF3_️‍_xD83C__xDF08__xD83C__xDDFA__xD83C__xDDE6_Galantias_xD83E__xDD0D__xD83D__xDC99__xD83E__xDD0D__xD83C__xDFF3_️‍_xD83C__xDF08_</t>
  </si>
  <si>
    <t>Yohannes Argu Badebo</t>
  </si>
  <si>
    <t>Pasi Toivonen _xD83C__xDDF7__xD83C__xDDFA__xD83D__xDCA3__xD83C__xDDEB__xD83C__xDDEE_➡️_xD83D__xDE03_</t>
  </si>
  <si>
    <t>Iida Vallin</t>
  </si>
  <si>
    <t>Mikael Gabriel</t>
  </si>
  <si>
    <t>AnttiS _xD83C__xDDEB__xD83C__xDDEE__xD83C__xDDFA__xD83C__xDDE6_</t>
  </si>
  <si>
    <t>Janne Riiheläinen _xD83C__xDDEB__xD83C__xDDEE__xD83C__xDFF4__xDB40__xDC67__xDB40__xDC62__xDB40__xDC73__xDB40__xDC63__xDB40__xDC74__xDB40__xDC7F__xD83C__xDDEA__xD83C__xDDFA_</t>
  </si>
  <si>
    <t>Tempo Dolok</t>
  </si>
  <si>
    <t>Wîtçhër</t>
  </si>
  <si>
    <t>Readovka World</t>
  </si>
  <si>
    <t>George W. Bu</t>
  </si>
  <si>
    <t>Mengistu Tefera</t>
  </si>
  <si>
    <t>Brian Lefevre _xD83C__xDDFA__xD83C__xDDE6_</t>
  </si>
  <si>
    <t>Russia in Ireland</t>
  </si>
  <si>
    <t>Randall Ricketts</t>
  </si>
  <si>
    <t>tuco salamanca</t>
  </si>
  <si>
    <t>Zeynep Hanzade _xD83C__xDDF9__xD83C__xDDF7__xD83C__xDDF7__xD83C__xDDFA_</t>
  </si>
  <si>
    <t>Sadu Padne</t>
  </si>
  <si>
    <t>Alex Z</t>
  </si>
  <si>
    <t>Vasil Simeonov</t>
  </si>
  <si>
    <t>Nobody _xD83D__xDEC0__xD83D__xDEC0__xD83E__xDD5D__xD83D__xDEBF__xD83D__xDEBF__xD83D__xDEBF__xD83C__xDDF9__xD83C__xDDFC_</t>
  </si>
  <si>
    <t>Sara Nanni</t>
  </si>
  <si>
    <t>Katrin Göring-Eckardt</t>
  </si>
  <si>
    <t>Außenministerin Annalena Baerbock</t>
  </si>
  <si>
    <t>JMDM._xD83C__xDDF7__xD83C__xDDFA__xD83D__xDCAA_</t>
  </si>
  <si>
    <t>Puchad _xD83C__xDDF7__xD83C__xDDFA__xD83C__xDDF7__xD83C__xDDFA_</t>
  </si>
  <si>
    <t>Bilge _xD83C__xDDF9__xD83C__xDDF7__xD83C__xDDF7__xD83C__xDDFA_</t>
  </si>
  <si>
    <t>SK Filip _xD83C__xDDFA__xD83C__xDDE6__xD83C__xDDEA__xD83C__xDDFA_</t>
  </si>
  <si>
    <t>Joshua Watt</t>
  </si>
  <si>
    <t>Toni</t>
  </si>
  <si>
    <t>OneQuantumLeap</t>
  </si>
  <si>
    <t>Lior Freilich _xD83C__xDDFA__xD83C__xDDE6_ Mobile Fella</t>
  </si>
  <si>
    <t>Nzabakiri F. Al. wi Rwanda</t>
  </si>
  <si>
    <t>UkraineWorld</t>
  </si>
  <si>
    <t>skeptical</t>
  </si>
  <si>
    <t>SangreaL1965</t>
  </si>
  <si>
    <t>ÉMILE LE GÉNOIS_xD83C__xDFB8_</t>
  </si>
  <si>
    <t>Claire L. - Клаире Лангоулант</t>
  </si>
  <si>
    <t>Reservoir_Dogs</t>
  </si>
  <si>
    <t>Laurens Dassen</t>
  </si>
  <si>
    <t>Gert-Jan Segers</t>
  </si>
  <si>
    <t>Christian Jongeneel</t>
  </si>
  <si>
    <t>Patricia Lcq</t>
  </si>
  <si>
    <t>Old boy dislikes double standards &amp; cancel culture</t>
  </si>
  <si>
    <t>Jens Stoltenberg</t>
  </si>
  <si>
    <t>Oana Lungescu</t>
  </si>
  <si>
    <t>Johannes Hahn</t>
  </si>
  <si>
    <t>Michael MacKay</t>
  </si>
  <si>
    <t>Ben Hodges</t>
  </si>
  <si>
    <t>Ben Meiselas</t>
  </si>
  <si>
    <t>European Commission _xD83C__xDDEA__xD83C__xDDFA_</t>
  </si>
  <si>
    <t>carl23</t>
  </si>
  <si>
    <t>Benoîts</t>
  </si>
  <si>
    <t>christian lourde</t>
  </si>
  <si>
    <t>egalite35</t>
  </si>
  <si>
    <t>Marc Vincent</t>
  </si>
  <si>
    <t>Nebojsa Gospodin</t>
  </si>
  <si>
    <t>João Antônio Balmiza</t>
  </si>
  <si>
    <t>Moveebuff</t>
  </si>
  <si>
    <t>jf13</t>
  </si>
  <si>
    <t>Ophiuse</t>
  </si>
  <si>
    <t>Emmanuel Macron</t>
  </si>
  <si>
    <t>Володимир Зеленський</t>
  </si>
  <si>
    <t>FranXav0621 - _xD83C__xDF77__xD83C__xDF77__xD83C__xDF77__xD83C__xDF77_ #frexit ou rien</t>
  </si>
  <si>
    <t>Lud Wig _xD83C__xDDF7__xD83C__xDDFA_</t>
  </si>
  <si>
    <t>Stratpol</t>
  </si>
  <si>
    <t>Edith</t>
  </si>
  <si>
    <t>Γεράσιμος _xD83C__xDDEC__xD83C__xDDF7__xD83C__xDDF7__xD83C__xDDFA__xD83C__xDDF8__xD83C__xDDFE_Z</t>
  </si>
  <si>
    <t>Bog i Batina</t>
  </si>
  <si>
    <t>Jackson Hinkle _xD83C__xDDFA__xD83C__xDDF8_</t>
  </si>
  <si>
    <t>Levent</t>
  </si>
  <si>
    <t>L'Urlo della Volpe</t>
  </si>
  <si>
    <t>Tҽɾɾσɾ Iɳʂυɾɠҽɳƈყ</t>
  </si>
  <si>
    <t>Squawk 7700</t>
  </si>
  <si>
    <t>MANIT SHARMA</t>
  </si>
  <si>
    <t>Russia _xD83C__xDDF7__xD83C__xDDFA_</t>
  </si>
  <si>
    <t>Viktoria Maier</t>
  </si>
  <si>
    <t>President of Russia</t>
  </si>
  <si>
    <t>Scotslad92</t>
  </si>
  <si>
    <t>Alper Türkel</t>
  </si>
  <si>
    <t>RusEmbAnkara</t>
  </si>
  <si>
    <t>HitamManis_xD83C__xDDF2__xD83C__xDDFE__xD83C__xDDF7__xD83C__xDDFA__xD83C__xDDF5__xD83C__xDDF8_</t>
  </si>
  <si>
    <t>Dr Jason Leong _xD83C__xDDF2__xD83C__xDDFE_</t>
  </si>
  <si>
    <t>Howard Lee</t>
  </si>
  <si>
    <t>LUCKYSTRIKE2030</t>
  </si>
  <si>
    <t>Palmencò _xD83C__xDDEA__xD83C__xDDFA__xD83C__xDDF7__xD83C__xDDFA__xD83C__xDDFA__xD83C__xDDE6_</t>
  </si>
  <si>
    <t>Giovanni Calcara</t>
  </si>
  <si>
    <t>roby mark</t>
  </si>
  <si>
    <t>Marco Z Freeman</t>
  </si>
  <si>
    <t>Il Malumorista</t>
  </si>
  <si>
    <t>jacopo iacoboni</t>
  </si>
  <si>
    <t>Lorenzo Guerini</t>
  </si>
  <si>
    <t>Il mondo di Vita</t>
  </si>
  <si>
    <t>Mahmoud</t>
  </si>
  <si>
    <t>Pietro Raffa</t>
  </si>
  <si>
    <t>DanielTa _xD83C__xDDEA__xD83C__xDDF9_ _xD83C__xDDEA__xD83C__xDDF7_ _xD83C__xDDF0__xD83C__xDDEA_ _xD83C__xDDFA__xD83C__xDDEC_</t>
  </si>
  <si>
    <t>Andrew Korybko</t>
  </si>
  <si>
    <t>Solomon(ሰሎሞን)</t>
  </si>
  <si>
    <t>Marius Vicente</t>
  </si>
  <si>
    <t>Jude/Propaganda is not balance _xD83D__xDC99__xD83C__xDDEA__xD83C__xDDFA__xD83C__xDDFA__xD83C__xDDE6__xD83C__xDF0D_</t>
  </si>
  <si>
    <t>John Spencer</t>
  </si>
  <si>
    <t>Krzysz</t>
  </si>
  <si>
    <t>PiPi _xD83D__xDC85_ #silnaosobno</t>
  </si>
  <si>
    <t>Yuri MkvZ</t>
  </si>
  <si>
    <t>Carmen A. Coleman</t>
  </si>
  <si>
    <t>BernieDelf _xD83C__xDDFA__xD83C__xDDE6_</t>
  </si>
  <si>
    <t>RT en Español</t>
  </si>
  <si>
    <t>I.m,Arif</t>
  </si>
  <si>
    <t>Reuters</t>
  </si>
  <si>
    <t>Varyagi Z ☦ _xD83C__xDDF7__xD83C__xDDFA_</t>
  </si>
  <si>
    <t>Peter C</t>
  </si>
  <si>
    <t>Patrick Lancaster</t>
  </si>
  <si>
    <t>Fella McKidney</t>
  </si>
  <si>
    <t>Celia _xD83C__xDFC4_‍♀️_xD83C__xDDEA__xD83C__xDDF8__xD83C__xDDED__xD83C__xDDFA__xD83C__xDDED__xD83C__xDDF7__xD83C__xDDF7__xD83C__xDDF8__xD83C__xDFF4__xDB40__xDC67__xDB40__xDC62__xDB40__xDC73__xDB40__xDC63__xDB40__xDC74__xDB40__xDC7F__xD83C__xDDEC__xD83C__xDDF7__xD83C__xDDEB__xD83C__xDDF7_</t>
  </si>
  <si>
    <t>WorldBackToNormal</t>
  </si>
  <si>
    <t>Heinrich Haupt</t>
  </si>
  <si>
    <t>Abdulaziz AlQasem</t>
  </si>
  <si>
    <t>CNN</t>
  </si>
  <si>
    <t>DivineFavour</t>
  </si>
  <si>
    <t>Pieter</t>
  </si>
  <si>
    <t>Anthony Stabourlos</t>
  </si>
  <si>
    <t>S. van den Bergh</t>
  </si>
  <si>
    <t>P.X. Albert</t>
  </si>
  <si>
    <t>_xD83E__xDE86__xD83E__xDD5D_hp_xD83C__xDDE9__xD83C__xDDEA__xD83C__xDDE9__xD83C__xDDEA__xD83C__xDDE9__xD83C__xDDEA__xD83C__xDDE9__xD83C__xDDEA__xD83D__xDC99__xD83D__xDC99__xD83D__xDEBF__xD83D__xDEBF__xD83D__xDEBF__xD83D__xDEBF_</t>
  </si>
  <si>
    <t>Dieter Janecek</t>
  </si>
  <si>
    <t>Tamerlan</t>
  </si>
  <si>
    <t>Чагатай Джем Джирить</t>
  </si>
  <si>
    <t>Anakin17Ⓜ️</t>
  </si>
  <si>
    <t>Patrick Edery</t>
  </si>
  <si>
    <t>Domestikos</t>
  </si>
  <si>
    <t>Volodina Volodyovna Gudwillinova</t>
  </si>
  <si>
    <t>Irina</t>
  </si>
  <si>
    <t>Almsdoc95</t>
  </si>
  <si>
    <t>VeneZolan@ de a pie _xD83C__xDDF7__xD83C__xDDFA_</t>
  </si>
  <si>
    <t>Dr. med. Yeshewalul (MD) _xD83C__xDDEA__xD83C__xDDF9_♥️_xD83C__xDDEA__xD83C__xDDF7_</t>
  </si>
  <si>
    <t>Ulrich Janse van Vuuren</t>
  </si>
  <si>
    <t>Abiy Ahmed Ali _xD83C__xDDEA__xD83C__xDDF9_</t>
  </si>
  <si>
    <t>Europaparlament</t>
  </si>
  <si>
    <t>António Guterres</t>
  </si>
  <si>
    <t>President Trump 45 Archived</t>
  </si>
  <si>
    <t>Bundeskanzler Olaf Scholz</t>
  </si>
  <si>
    <t>Miloš Pavić</t>
  </si>
  <si>
    <t>Олена Зеленська</t>
  </si>
  <si>
    <t>Arnaud Bontemps</t>
  </si>
  <si>
    <t>Hassan Mafi ‏</t>
  </si>
  <si>
    <t>Wagner Group Группа Вагнера</t>
  </si>
  <si>
    <t>Loetitia _xD83C__xDDED__xD83C__xDDFA_ ن</t>
  </si>
  <si>
    <t>Petra</t>
  </si>
  <si>
    <t>Wim Wientjes</t>
  </si>
  <si>
    <t>Witch doctor</t>
  </si>
  <si>
    <t>_xD83C__xDDEE__xD83C__xDDF9_NoiSiamoResistenza_xD83C__xDDE9__xD83C__xDDEA_ _xD83C__xDDF1__xD83C__xDDE7_ _xD83C__xDDEA__xD83C__xDDEC_ _xD83C__xDDE8__xD83C__xDDFB_ _xD83C__xDDEF__xD83C__xDDF5_</t>
  </si>
  <si>
    <t>Malunga Edward</t>
  </si>
  <si>
    <t>BOBI WINE</t>
  </si>
  <si>
    <t>Özden Özhan</t>
  </si>
  <si>
    <t>wiseman</t>
  </si>
  <si>
    <t>1881MKA1905</t>
  </si>
  <si>
    <t>SOCIALISM TASTE</t>
  </si>
  <si>
    <t>Rilawolf _xD83C__xDDF7__xD83C__xDDFA_</t>
  </si>
  <si>
    <t>Luca Daini</t>
  </si>
  <si>
    <t>Corriere della Sera</t>
  </si>
  <si>
    <t>La Stampa</t>
  </si>
  <si>
    <t>Repubblica</t>
  </si>
  <si>
    <t>Boris Johnson</t>
  </si>
  <si>
    <t>Palazzo_Chigi</t>
  </si>
  <si>
    <t>NATO</t>
  </si>
  <si>
    <t>A.Bener Yıkılmaz</t>
  </si>
  <si>
    <t>MA-SA</t>
  </si>
  <si>
    <t>桜真宮寺</t>
  </si>
  <si>
    <t>L3ct3r _xD83E__xDD69__xD83E__xDD69__xD83E__xDD69_⛽⛽⛽</t>
  </si>
  <si>
    <t>Stéphane Séjourné</t>
  </si>
  <si>
    <t>ALİM GÖKÇE</t>
  </si>
  <si>
    <t>Tekin Yağmur</t>
  </si>
  <si>
    <t>Viridiana</t>
  </si>
  <si>
    <t>zst</t>
  </si>
  <si>
    <t>talleyrand</t>
  </si>
  <si>
    <t>Mariana Betsa</t>
  </si>
  <si>
    <t>Aras Dağlı ( REEL ALP TUFAN)</t>
  </si>
  <si>
    <t>Eva Bergamo</t>
  </si>
  <si>
    <t>Star48</t>
  </si>
  <si>
    <t>Toprak Kelic</t>
  </si>
  <si>
    <t>Denis Trubetskoy</t>
  </si>
  <si>
    <t>Eugen _xD83C__xDDF8__xD83C__xDDF0__xD83C__xDDF7__xD83C__xDDF8__xD83C__xDDF7__xD83C__xDDFA_ ‡ꒌ</t>
  </si>
  <si>
    <t>Pope Smoke_xD83D__xDEAC_ of Arcadia_xD83C__xDDFF__xD83C__xDDE6_</t>
  </si>
  <si>
    <t>Иванов</t>
  </si>
  <si>
    <t>Михаил Zоев _xD83C__xDDF7__xD83C__xDDFA__xD83C__xDDE6__xD83C__xDDF2__xD83C__xDDEB__xD83C__xDDEE_</t>
  </si>
  <si>
    <t>Bobmozg</t>
  </si>
  <si>
    <t>Генеральний штаб ЗСУ</t>
  </si>
  <si>
    <t>MI NEWS</t>
  </si>
  <si>
    <t>Fatih ışıktaş ☭</t>
  </si>
  <si>
    <t>Raphel Uriel</t>
  </si>
  <si>
    <t>United Nations</t>
  </si>
  <si>
    <t>Vinicyus Barbado _xD83C__xDDE7__xD83C__xDDF7__xD83C__xDDF7__xD83C__xDDFA__xD83C__xDDEE__xD83C__xDDF3__xD83C__xDDE8__xD83C__xDDF3__xD83C__xDDFF__xD83C__xDDE6_☕</t>
  </si>
  <si>
    <t>Medovukha</t>
  </si>
  <si>
    <t>UkraineNews</t>
  </si>
  <si>
    <t>Gazeta do Povo</t>
  </si>
  <si>
    <t>O Tempo</t>
  </si>
  <si>
    <t>Anna</t>
  </si>
  <si>
    <t>Mariana</t>
  </si>
  <si>
    <t>Anissou</t>
  </si>
  <si>
    <t>Russians With Attitude</t>
  </si>
  <si>
    <t>Pablo Spyer</t>
  </si>
  <si>
    <t>Eric Feigl-Ding</t>
  </si>
  <si>
    <t>SIC Notícias</t>
  </si>
  <si>
    <t>UOL Notícias</t>
  </si>
  <si>
    <t>Hoje no Mundo Militar</t>
  </si>
  <si>
    <t>Dr Krollspell</t>
  </si>
  <si>
    <t>Fred87K</t>
  </si>
  <si>
    <t>Laurence Boone</t>
  </si>
  <si>
    <t>France Inter</t>
  </si>
  <si>
    <t>No Mask, No Shirt, No Vax, No Problems</t>
  </si>
  <si>
    <t>MinnieM</t>
  </si>
  <si>
    <t>nikola 3</t>
  </si>
  <si>
    <t>Jacques Frère</t>
  </si>
  <si>
    <t>_xD83C__xDDEB__xD83C__xDDF7_FIL sous MACRO. Dictateur-qui-ment-vole-fraude</t>
  </si>
  <si>
    <t>re inbow</t>
  </si>
  <si>
    <t>Z 34 Aleks V</t>
  </si>
  <si>
    <t>BV _xD83C__xDDEB__xD83C__xDDF7__xD83C__xDDEB__xD83C__xDDF7__xD83C__xDDEB__xD83C__xDDF7_</t>
  </si>
  <si>
    <t>Robert Ménard</t>
  </si>
  <si>
    <t>Vladimir Poutine</t>
  </si>
  <si>
    <t>CNEWS</t>
  </si>
  <si>
    <t>Анжелика К.</t>
  </si>
  <si>
    <t>Johann Wadephul</t>
  </si>
  <si>
    <t>Christopher Miller</t>
  </si>
  <si>
    <t>Das Erste</t>
  </si>
  <si>
    <t>Carlo "Realism, Gedankenfetzen, and Rants" Masala</t>
  </si>
  <si>
    <t>Andrij Melnyk</t>
  </si>
  <si>
    <t>Maischberger</t>
  </si>
  <si>
    <t>Friedrich Merz</t>
  </si>
  <si>
    <t>WELT</t>
  </si>
  <si>
    <t>severin tatarczyk</t>
  </si>
  <si>
    <t>FOCUS online</t>
  </si>
  <si>
    <t>Michael Roth MdB _xD83C__xDDEA__xD83C__xDDFA__xD83C__xDDFA__xD83C__xDDE6_</t>
  </si>
  <si>
    <t>Denys Shmyhal</t>
  </si>
  <si>
    <t>Daniel</t>
  </si>
  <si>
    <t>Seeking Reader</t>
  </si>
  <si>
    <t>Vivantis _xD83C__xDDEB__xD83C__xDDF7_</t>
  </si>
  <si>
    <t>4250834835</t>
  </si>
  <si>
    <t>1503498235956150275</t>
  </si>
  <si>
    <t>367916454</t>
  </si>
  <si>
    <t>1542240495845478400</t>
  </si>
  <si>
    <t>1427670459328385030</t>
  </si>
  <si>
    <t>768952478352105472</t>
  </si>
  <si>
    <t>227843403</t>
  </si>
  <si>
    <t>2165211751</t>
  </si>
  <si>
    <t>14836197</t>
  </si>
  <si>
    <t>1268542933776596992</t>
  </si>
  <si>
    <t>1531379334270828548</t>
  </si>
  <si>
    <t>342709703</t>
  </si>
  <si>
    <t>596243227</t>
  </si>
  <si>
    <t>1115565221379231744</t>
  </si>
  <si>
    <t>2177016702</t>
  </si>
  <si>
    <t>1003895325025865730</t>
  </si>
  <si>
    <t>2498935975</t>
  </si>
  <si>
    <t>3306657923</t>
  </si>
  <si>
    <t>255471924</t>
  </si>
  <si>
    <t>1908805122</t>
  </si>
  <si>
    <t>508588196</t>
  </si>
  <si>
    <t>1555621226063622144</t>
  </si>
  <si>
    <t>328509911</t>
  </si>
  <si>
    <t>1515882512</t>
  </si>
  <si>
    <t>57652561</t>
  </si>
  <si>
    <t>438635797</t>
  </si>
  <si>
    <t>328057281</t>
  </si>
  <si>
    <t>175406312</t>
  </si>
  <si>
    <t>369914677</t>
  </si>
  <si>
    <t>1554121187768389635</t>
  </si>
  <si>
    <t>3988805686</t>
  </si>
  <si>
    <t>16113700</t>
  </si>
  <si>
    <t>2234475194</t>
  </si>
  <si>
    <t>1349149096909668363</t>
  </si>
  <si>
    <t>1563497801065312256</t>
  </si>
  <si>
    <t>1161639153169260544</t>
  </si>
  <si>
    <t>1518592836828123138</t>
  </si>
  <si>
    <t>1516187430</t>
  </si>
  <si>
    <t>1519731295781277696</t>
  </si>
  <si>
    <t>1424396711947034624</t>
  </si>
  <si>
    <t>1568514918</t>
  </si>
  <si>
    <t>1308352027450396673</t>
  </si>
  <si>
    <t>1566141675151433728</t>
  </si>
  <si>
    <t>183136622</t>
  </si>
  <si>
    <t>526643802</t>
  </si>
  <si>
    <t>1359839730989469698</t>
  </si>
  <si>
    <t>1504991983701483525</t>
  </si>
  <si>
    <t>1235252571075465217</t>
  </si>
  <si>
    <t>1491500153798369280</t>
  </si>
  <si>
    <t>843221358</t>
  </si>
  <si>
    <t>1445378756235993099</t>
  </si>
  <si>
    <t>1446470568170213379</t>
  </si>
  <si>
    <t>1854108264</t>
  </si>
  <si>
    <t>1455085454</t>
  </si>
  <si>
    <t>888289790</t>
  </si>
  <si>
    <t>1446466410973106193</t>
  </si>
  <si>
    <t>1439200422288318465</t>
  </si>
  <si>
    <t>1436649215489449984</t>
  </si>
  <si>
    <t>1431699836047347716</t>
  </si>
  <si>
    <t>2492007544</t>
  </si>
  <si>
    <t>1487196939380793353</t>
  </si>
  <si>
    <t>17788103</t>
  </si>
  <si>
    <t>1484077178790813701</t>
  </si>
  <si>
    <t>804062581</t>
  </si>
  <si>
    <t>1444396288523444224</t>
  </si>
  <si>
    <t>1182837467831033857</t>
  </si>
  <si>
    <t>388858245</t>
  </si>
  <si>
    <t>966810387395022850</t>
  </si>
  <si>
    <t>1259773070</t>
  </si>
  <si>
    <t>971354598094057472</t>
  </si>
  <si>
    <t>826080680</t>
  </si>
  <si>
    <t>1566907918406098947</t>
  </si>
  <si>
    <t>1538512320581836802</t>
  </si>
  <si>
    <t>2300716447</t>
  </si>
  <si>
    <t>1094860374</t>
  </si>
  <si>
    <t>892665285588770816</t>
  </si>
  <si>
    <t>2364539065</t>
  </si>
  <si>
    <t>45911084</t>
  </si>
  <si>
    <t>1153834516101902336</t>
  </si>
  <si>
    <t>758319705849524224</t>
  </si>
  <si>
    <t>795336851238354945</t>
  </si>
  <si>
    <t>1406812011862716421</t>
  </si>
  <si>
    <t>614206268</t>
  </si>
  <si>
    <t>343390384</t>
  </si>
  <si>
    <t>770392458962186241</t>
  </si>
  <si>
    <t>1512347529647734788</t>
  </si>
  <si>
    <t>1547335817860980737</t>
  </si>
  <si>
    <t>1559181834767966208</t>
  </si>
  <si>
    <t>1358245615642181632</t>
  </si>
  <si>
    <t>136666777</t>
  </si>
  <si>
    <t>1469761835293417484</t>
  </si>
  <si>
    <t>81596596</t>
  </si>
  <si>
    <t>1469264387512979461</t>
  </si>
  <si>
    <t>1512158975017553929</t>
  </si>
  <si>
    <t>1050905351304835072</t>
  </si>
  <si>
    <t>2773431484</t>
  </si>
  <si>
    <t>1564596721862189056</t>
  </si>
  <si>
    <t>1371648581963161600</t>
  </si>
  <si>
    <t>831112909933596672</t>
  </si>
  <si>
    <t>1343120882076700672</t>
  </si>
  <si>
    <t>1501360253136371716</t>
  </si>
  <si>
    <t>1567935258468794370</t>
  </si>
  <si>
    <t>1564344228959903745</t>
  </si>
  <si>
    <t>1468317257680166914</t>
  </si>
  <si>
    <t>1459825478169247747</t>
  </si>
  <si>
    <t>20796069</t>
  </si>
  <si>
    <t>1011129121</t>
  </si>
  <si>
    <t>1053324106148524032</t>
  </si>
  <si>
    <t>1502567351581036547</t>
  </si>
  <si>
    <t>1510599627648782342</t>
  </si>
  <si>
    <t>774914924363603969</t>
  </si>
  <si>
    <t>1162101406620405762</t>
  </si>
  <si>
    <t>1072928279995260930</t>
  </si>
  <si>
    <t>1170719206482071555</t>
  </si>
  <si>
    <t>1548964013026967552</t>
  </si>
  <si>
    <t>1490303761197240322</t>
  </si>
  <si>
    <t>2938109319</t>
  </si>
  <si>
    <t>1976143068</t>
  </si>
  <si>
    <t>1560874173030883329</t>
  </si>
  <si>
    <t>1328264711419334662</t>
  </si>
  <si>
    <t>4027552414</t>
  </si>
  <si>
    <t>3597451816</t>
  </si>
  <si>
    <t>710157995263565824</t>
  </si>
  <si>
    <t>1067451023025934336</t>
  </si>
  <si>
    <t>1499371143257628672</t>
  </si>
  <si>
    <t>1567147021198565381</t>
  </si>
  <si>
    <t>16569996</t>
  </si>
  <si>
    <t>95621704</t>
  </si>
  <si>
    <t>2874959663</t>
  </si>
  <si>
    <t>1561895764602900480</t>
  </si>
  <si>
    <t>205622130</t>
  </si>
  <si>
    <t>432022126</t>
  </si>
  <si>
    <t>1427318012898652160</t>
  </si>
  <si>
    <t>2969505108</t>
  </si>
  <si>
    <t>711664434</t>
  </si>
  <si>
    <t>1417466587351760905</t>
  </si>
  <si>
    <t>964978087057379328</t>
  </si>
  <si>
    <t>1369005530</t>
  </si>
  <si>
    <t>358626243</t>
  </si>
  <si>
    <t>381717202</t>
  </si>
  <si>
    <t>1870754606</t>
  </si>
  <si>
    <t>1701134648</t>
  </si>
  <si>
    <t>1357019253099155456</t>
  </si>
  <si>
    <t>1544270992771620864</t>
  </si>
  <si>
    <t>431923953</t>
  </si>
  <si>
    <t>2490070884</t>
  </si>
  <si>
    <t>954583338</t>
  </si>
  <si>
    <t>350149869</t>
  </si>
  <si>
    <t>1332670771332845570</t>
  </si>
  <si>
    <t>320361997</t>
  </si>
  <si>
    <t>192517432</t>
  </si>
  <si>
    <t>1499027392375017477</t>
  </si>
  <si>
    <t>2445134780</t>
  </si>
  <si>
    <t>1539419437501136896</t>
  </si>
  <si>
    <t>153726954</t>
  </si>
  <si>
    <t>381192430</t>
  </si>
  <si>
    <t>759251</t>
  </si>
  <si>
    <t>1497900564281188361</t>
  </si>
  <si>
    <t>1524819096</t>
  </si>
  <si>
    <t>1117564994042912768</t>
  </si>
  <si>
    <t>1520299694047563779</t>
  </si>
  <si>
    <t>52024480</t>
  </si>
  <si>
    <t>1141443491857412096</t>
  </si>
  <si>
    <t>1284065608137682945</t>
  </si>
  <si>
    <t>493458359</t>
  </si>
  <si>
    <t>943621589790322689</t>
  </si>
  <si>
    <t>1496798058667036672</t>
  </si>
  <si>
    <t>950430193528770560</t>
  </si>
  <si>
    <t>1048291894634192896</t>
  </si>
  <si>
    <t>1346496665298075651</t>
  </si>
  <si>
    <t>81305054</t>
  </si>
  <si>
    <t>1168167671151628290</t>
  </si>
  <si>
    <t>36332848</t>
  </si>
  <si>
    <t>811229675758505984</t>
  </si>
  <si>
    <t>822215679726100480</t>
  </si>
  <si>
    <t>1489164711652466688</t>
  </si>
  <si>
    <t>695443300556214273</t>
  </si>
  <si>
    <t>1542483269542940679</t>
  </si>
  <si>
    <t>1568213871470563328</t>
  </si>
  <si>
    <t>2275238404</t>
  </si>
  <si>
    <t>1248733425458184198</t>
  </si>
  <si>
    <t>785246875</t>
  </si>
  <si>
    <t>322258096</t>
  </si>
  <si>
    <t>33794104</t>
  </si>
  <si>
    <t>1393231666861285376</t>
  </si>
  <si>
    <t>1465764818388934662</t>
  </si>
  <si>
    <t>154168156</t>
  </si>
  <si>
    <t>2387776356</t>
  </si>
  <si>
    <t>1061005403109105669</t>
  </si>
  <si>
    <t>1219421486</t>
  </si>
  <si>
    <t>1330605593225203718</t>
  </si>
  <si>
    <t>419307884</t>
  </si>
  <si>
    <t>395218906</t>
  </si>
  <si>
    <t>29416653</t>
  </si>
  <si>
    <t>3131144855</t>
  </si>
  <si>
    <t>963938472</t>
  </si>
  <si>
    <t>1441272168776564743</t>
  </si>
  <si>
    <t>1151783544521256960</t>
  </si>
  <si>
    <t>1175752864414797824</t>
  </si>
  <si>
    <t>1112811634077167619</t>
  </si>
  <si>
    <t>4644189808</t>
  </si>
  <si>
    <t>4922362298</t>
  </si>
  <si>
    <t>1565273570124627969</t>
  </si>
  <si>
    <t>1564259548524863490</t>
  </si>
  <si>
    <t>1633710211</t>
  </si>
  <si>
    <t>3010277369</t>
  </si>
  <si>
    <t>1435280473446551559</t>
  </si>
  <si>
    <t>2404771087</t>
  </si>
  <si>
    <t>1535677594930229249</t>
  </si>
  <si>
    <t>166957354</t>
  </si>
  <si>
    <t>437408763</t>
  </si>
  <si>
    <t>1468337205588684800</t>
  </si>
  <si>
    <t>1491368450102644742</t>
  </si>
  <si>
    <t>1521549747345051648</t>
  </si>
  <si>
    <t>1508250610293899266</t>
  </si>
  <si>
    <t>14159148</t>
  </si>
  <si>
    <t>3406551359</t>
  </si>
  <si>
    <t>29274419</t>
  </si>
  <si>
    <t>4309574834</t>
  </si>
  <si>
    <t>1548367003546554368</t>
  </si>
  <si>
    <t>2597903210</t>
  </si>
  <si>
    <t>1545051120426356737</t>
  </si>
  <si>
    <t>3272436679</t>
  </si>
  <si>
    <t>1491224931354431490</t>
  </si>
  <si>
    <t>1548657728746569728</t>
  </si>
  <si>
    <t>1512479613439684608</t>
  </si>
  <si>
    <t>1470318045314887683</t>
  </si>
  <si>
    <t>4842119213</t>
  </si>
  <si>
    <t>978900906254233601</t>
  </si>
  <si>
    <t>28964208</t>
  </si>
  <si>
    <t>627394798</t>
  </si>
  <si>
    <t>2959037001</t>
  </si>
  <si>
    <t>1238492109897895937</t>
  </si>
  <si>
    <t>1561312600658526210</t>
  </si>
  <si>
    <t>1279310738662793216</t>
  </si>
  <si>
    <t>#Ilsvousdisent _xD83C__xDDE8__xD83C__xDDF5__xD83C__xDDE8__xD83C__xDDF5_ pro Z / pro Poutine / pro Trump</t>
  </si>
  <si>
    <t>Chretienne
#PionniereReconquete
#Jesoutienslapolice
#TeamPatriotes
#jesoutiensIsrael</t>
  </si>
  <si>
    <t>- Liberté d'expression totale, liberté de soigner, de disposer de son corps
- Respect des citoyens
- Fin du système basé sur le mensonge
- Justice
#Duval2027</t>
  </si>
  <si>
    <t>Fan de Spyderco et de géopolitique.
Anti-macroniste convaincu et russophile_xD83C__xDDF7__xD83C__xDDFA_. Trudeau et toute la clique de young leaders me filent la gerbe_xD83E__xDD2E_</t>
  </si>
  <si>
    <t>Rusya bir yanıyla güzeldir canım, sen de güzelsin.</t>
  </si>
  <si>
    <t>Fighting Russia navy with my warship (avatar)
Slava Novorossiya! (from  Estonia to 
Tiraspol)</t>
  </si>
  <si>
    <t>Came to _xD83C__xDDE8__xD83C__xDDE6_ to escape communism. 'Progressive' elites are pushing ever farther left &amp; we must push back. Freedom usually prevails but you have to earn it.</t>
  </si>
  <si>
    <t>“I need ammunition, not a ride” “Freedom must be armed better than tyranny” Volodymyr Zelenskyy</t>
  </si>
  <si>
    <t>The official account of the US Open Tennis Championships | Main Draw: August 28 - September 10, 2023 | #USOpen</t>
  </si>
  <si>
    <t>Tennis Blogger #teamdjokovic, Vice-Chair @rrtennisderby #nolefam #backthebrits Exposing corruption. You can support at; https://t.co/IYT7hr7yte</t>
  </si>
  <si>
    <t>Avant, je me disais que ma vie était une tragédie. Je me rends compte...que c'est une comédie</t>
  </si>
  <si>
    <t>Haut-commissaire au Plan @HCP_Le_Plan | Maire de @Ville_Pau | Président du @MoDem | Président du @pde_edp</t>
  </si>
  <si>
    <t>mi oppongo</t>
  </si>
  <si>
    <t>Ambassade de Russie en France / Посольство России во Франции / Russian Embassy in France / RT ≠ endorsement</t>
  </si>
  <si>
    <t>Hier twittert die Pressestelle der Botschaft der Russischen Föderation in der Bundesrepublik Deutschland</t>
  </si>
  <si>
    <t>Постпредствo России при международных организациях в Вене | Russian Permanent Mission to the International Organizations in Vienna</t>
  </si>
  <si>
    <t>Постоянное Представительство Российской Федерации при ОБСЕ / Permanent Mission of the Russian Federation to the OSCE Our Facebook: https://t.co/mrOvJDRfC6</t>
  </si>
  <si>
    <t>High Representative of the EU for Foreign Affairs and Security Policy/Vice-President of @eu_commission #EUdiplomacy @eu_eeas My blog: https://t.co/isaaoLI4bK</t>
  </si>
  <si>
    <t>Представительство Европейского Союза в России. #EUinRussia в соцсетях: https://t.co/dqlvMtuZru &amp; https://t.co/lmXV16HQ1V &amp; https://t.co/YgUs8VwyMX</t>
  </si>
  <si>
    <t>Official account of the Permanent Mission of Russia to the EU/ Официальная страница Постоянного представительства России при ЕС</t>
  </si>
  <si>
    <t>Ministry of Foreign Affairs of Russia _xD83C__xDDF7__xD83C__xDDFA_ (Official account) | Country's account @Russia | По-русски @MID_RF | Español @MAE_Rusia | Arabic - @russia_ar</t>
  </si>
  <si>
    <t>Husband, Father, Grandfather, Geologist, retired Executive, proud US/Canadian Citizen, extremely proud supporter of Truth, Justice &amp; the American/Canadian way.</t>
  </si>
  <si>
    <t>Meat puppet on planet Batshit. Belgian Eestiphile. Writer &amp; cartoonist. Vaxxed &amp; boosted. There is no purgatory for war criminals, they go straight to hell.</t>
  </si>
  <si>
    <t>Ambasciata Russa in Italia e San Marino https://t.co/n2wZn1xmps https://t.co/oY8MRK87BH https://t.co/Q3i21Lyvvk</t>
  </si>
  <si>
    <t>President of the @EU_Commission. Mother of seven. Brussels-born. European by heart. _xD83C__xDDEA__xD83C__xDDFA_</t>
  </si>
  <si>
    <t>_xD83D__xDCCC_ Énième nouveau compte car banni par le dictatoriat #Twitter qui sélectionne, bafoue et #censure la #LibertéExpression‼️</t>
  </si>
  <si>
    <t>Dirigeant Media- @Sudradio                       Retrouvez moi sur Instagram : patrickroger_off</t>
  </si>
  <si>
    <t>Industriel, consultant, auteur, chroniqueur, bloggeur.
Dernier ouvrage 'Pour une France Industrielle'</t>
  </si>
  <si>
    <t>Éditorialiste @LCI et @SudRadio, Essayiste. Fondatrice du blog «Nos lendemains “Dans une autre vie, Inter, cab Royal, gouv Hollande . Be kind and strong _xD83D__xDCAA_</t>
  </si>
  <si>
    <t>TV/Radio host @C8TV @EMCOMscpo 6h20/10h #Talk #Infos ⏰#SudRadioMatin _xD83D__xDCF2_snap /c2menibus #EllesLesAudacieuses  https://www.instagram presse_xD83D__xDCE9_ /s.cherond@la-brune.fr</t>
  </si>
  <si>
    <t>Sud radio. Les Vraies Voix du lundi au vendredi de 17h à 20h avec Cécile de Menibus. Chroniqueur Cnews.</t>
  </si>
  <si>
    <t>_xD83D__xDCFB_ #ParlonsVrai sur Sud Radio ! Retrouvez @PatrickRogerE @cecile2menibus @JJBourdin_off @ELevyCauseur @andrebercoff @valerie_expert @Poulin2012 @guycarlier2013</t>
  </si>
  <si>
    <t>Je suis Woke, tu es Woke, il/elle est Woke. Étonnant, non?</t>
  </si>
  <si>
    <t>_xD83D__xDC4D_ Compte officiel de l'émission présentée par @DavidPujadas, du lundi au vendredi de 18h à 20h sur @LCI #La26 _xD83D__xDCFA_</t>
  </si>
  <si>
    <t>Idealist, optimist, TEDx speaker. Founder &amp; CEO of Strategic Narrative https://t.co/HKxgrWqoyF Contribute at WEF, TNW, NewCo &amp; Futurism _xD83E__xDD16_ 
#StandWithUkraine _xD83C__xDDFA__xD83C__xDDE6_</t>
  </si>
  <si>
    <t>White House Correspondent for Breitbart News, formerly a Washington Examiner writer, reporter for Robert Novak and Wyoming farm kid</t>
  </si>
  <si>
    <t>Любіть _xD83C__xDDFA__xD83C__xDDE6_  як _xD83C__xDF1E_ любіть
як _xD83C__xDF2C_, і _xD83C__xDF31_, і _xD83D__xDCA6_
в _xD83D__xDD50_  щасливу, і у _xD83D__xDE03_  мить
❤️  у _xD83D__xDD50_  негоди.</t>
  </si>
  <si>
    <t>46th President of the United States, husband to @FLOTUS, proud dad &amp; pop. Tweets may be archived: https://t.co/HDhBZBkKpU
Text me: (302) 404-0880</t>
  </si>
  <si>
    <t>Populist Republican, Catholic, Husband, Teacher, Small Business Owner, Baseball Lover, &amp; Fmr Congressional Candidate. #AmericaFirst, Always.</t>
  </si>
  <si>
    <t>Geboren in Köln! TheRealRS_3rd !!3. &amp; letzter Versuch!Wurde heute 27.08.22 wieder suspended nach 1 Monat!Suche meine alten Kontakte wieder!</t>
  </si>
  <si>
    <t>She - FachexpertIn für Cov.
Mehr Infos unter:
https://t.co/oN8E4eSK7L
 „Parodie”, „Fake“, „Fan“ oder „Kommentar“ (oder Ähnliches</t>
  </si>
  <si>
    <t>Ausgeschlafen und aufgewacht. Ungeimpft, Berufstätig, genervt! Lasst mich mit euren Masken und eurer Impfplörre in Ruhe.</t>
  </si>
  <si>
    <t>La pensée est créatrice : pensons le monde tel qu'on le souhaite et pas tel qu'on le craint
J'ai mis la photo de cette enfant du Donbass lâchement tuée _xD83D__xDE25__xD83D__xDE25_</t>
  </si>
  <si>
    <t>Dungeon Master, Artist of gachimuchi films</t>
  </si>
  <si>
    <t>#НетВойнеСУкраиной • она/её • _xD83C__xDFF3_️‍_xD83C__xDF08_</t>
  </si>
  <si>
    <t>за Одина, за Сталина</t>
  </si>
  <si>
    <t>_xD83C__xDDF7__xD83C__xDDFA_ _xD83C__xDDF5__xD83C__xDDF8_ ДОНБАССКИЙ ВОЕННЫЙ КОРРЕСПОНДЕНТ И КОНСУЛЬТАНТ #ДНР #ЛНР _xD83C__xDDF7__xD83C__xDDFA_ _xD83C__xDDF5__xD83C__xDDF8_
#_xD835__xDDE5__xD835__xDDE8__xD835__xDDE6__xD835__xDDE6__xD835__xDDDC__xD835__xDDD4_ #_xD835__xDDED__xD835__xDDE2__xD835__xDDE9_ #_xD835__xDDE6__xD835__xDDDF__xD835__xDDD4__xD835__xDDE9__xD835__xDDD4__xD835__xDDE5__xD835__xDDE2__xD835__xDDE6__xD835__xDDE6__xD835__xDDDC__xD835__xDDEC__xD835__xDDD4_ #_xD835__xDDE5__xD835__xDDE6__xD835__xDDE2__xD835__xDDE7__xD835__xDDE0_ _xD835__xDDD9__xD835__xDDE5_/_xD835__xDDD8__xD835__xDDE1_/_xD835__xDDE5__xD835__xDDE8_ _xD83D__xDD30_</t>
  </si>
  <si>
    <t>Ecrivain, philosophe. Official account created by L. Lazar and managed by @ALBK</t>
  </si>
  <si>
    <t>Que vive la France _xD83C__xDDEB__xD83C__xDDF7_ ❤️  #Zemmour2022</t>
  </si>
  <si>
    <t>Glory to Russia
#standwithRussia
#BRICS
#Z</t>
  </si>
  <si>
    <t>Geboren in Stuttgart, aufgewachsen im Schlossgarten, aufgewacht durch Stuttgart 21</t>
  </si>
  <si>
    <t>Giornalista e scrittore. Esperto della guerra in Donbass.</t>
  </si>
  <si>
    <t>1283 İçimizde.
vince gilligan defense attorney</t>
  </si>
  <si>
    <t>16 yasindayim
villan-dub</t>
  </si>
  <si>
    <t>پہاڑوں کا شہزادہ
کپتان کا سپاہی</t>
  </si>
  <si>
    <t>ہم نہ ہوں تو زمانے کی سانس رک جائے
قتیل وقت کے سینے میں ہم دھڑکتے ہیں</t>
  </si>
  <si>
    <t>??</t>
  </si>
  <si>
    <t>#SPF</t>
  </si>
  <si>
    <t>I believe in jesus!!
Work hard and you will succeed!!</t>
  </si>
  <si>
    <t>የከፍታ ዘመን ለኢትዮጵያ ይሁን ! _xD83D__xDE4F__xD83C__xDDEA__xD83C__xDDF9_✊</t>
  </si>
  <si>
    <t>Politics| Information | culture | Nigeria | Peter Obi</t>
  </si>
  <si>
    <t>_xD83C__xDF0D_ _xD83C__xDDEC__xD83C__xDDF2_ _xD83C__xDDE9__xD83C__xDDEA_ _xD83C__xDDFA__xD83C__xDDE6_ #Klimakatastrophe, #Verkehrswende #Seenotrettung #Decolonize #Tierrechte #StandWithUkraine</t>
  </si>
  <si>
    <t>Mitglied des Bundestages, direkt gewählt in Berlin Treptow-Köpenick, Außenpolitischer Sprecher der @linksfraktion https://t.co/O5gwVnHMSj</t>
  </si>
  <si>
    <t>ኢትዮጵያ በልጆቿ ጥረት ታፍራ እና ተከብራ ለዘላለም ትኖራለች _xD83D__xDE4F__xD83C__xDDEA__xD83C__xDDF9_✊</t>
  </si>
  <si>
    <t>GOD is good all the time</t>
  </si>
  <si>
    <t>Jesus is Lord</t>
  </si>
  <si>
    <t>GOD is good all the tim</t>
  </si>
  <si>
    <t>Humanity is # 1 
ኢትዮጵያችን ለዘለዓለም ትኑር!!!!!!!!!
Long Live Ethiopia</t>
  </si>
  <si>
    <t>Love the word</t>
  </si>
  <si>
    <t>Simply #bitcoin Gizmo _xD83D__xDD25_♥️✊_xD83D__xDCAF_
Marketing, Philosophy, Economics &amp; Arts 
_xD83E__xDDE1_ #stackingsats _xD83E__xDDE1_ for a #multipolar _xD83C__xDF0E_ ₿☭
#dancing ♥️ #HODL #IWILLDIEONTHISHILL</t>
  </si>
  <si>
    <t>Iriseoir. Suimeanna: rugbaí, polaitíocht, fealsúnacht, ealaíona chomhraic, stair</t>
  </si>
  <si>
    <t>No matter how many times they repeat it, and even if you want it to be true, demand evidence and think critically</t>
  </si>
  <si>
    <t>#abolishNATO #livingwage #socialist</t>
  </si>
  <si>
    <t>We can no longer trust our government or take our democracy for granted. "Blind belief in authority is the greatest enemy of Truth." - Albert Einstein</t>
  </si>
  <si>
    <t>Me emme kerro mielipiteitä. Me kerromme uutisia. Vastuu on lukijalla.</t>
  </si>
  <si>
    <t>Un bot ruso enviado por el mismísimo Putin. Ayuda, me pagan muy poco y estoy todo el día encerrado en una dacha del FSB difundiendo fake news.</t>
  </si>
  <si>
    <t>The genders of mine: NazBol/Putinist/Eurasianist/GoldenHordeAverageEnjoyer/Uncivilized Untermensch
RUᛋᛋIAN ZENTRISM
My idols: Allah, Christ, Lenin, Putin</t>
  </si>
  <si>
    <t>Journalist at Black Agenda Report https://t.co/xqQAOpHsnY Videos: https://t.co/YN2gTpurcw 
Editor FoSC: https://t.co/XUZeEFNHzp</t>
  </si>
  <si>
    <t>Menschlichkeit und Einklang mit der Natur ist ein Wegweiser in die Zukunft jedes scifi.
Freier Priester, #Fella ,Anonymous, Menschenrecht. Activist. _xD83D__xDE4F_</t>
  </si>
  <si>
    <t>Olen pitänyt blogia jo vuodesta 1999. Nykyään hiipumassa.
Religion: Pentecostal &amp; Catholic</t>
  </si>
  <si>
    <t>Pääministeri @MarinSanna erityisavustaja.</t>
  </si>
  <si>
    <t>_xD835__xDE41__xD835__xDE64__xD835__xDE61__xD835__xDE61__xD835__xDE64__xD835__xDE6C_ _xD835__xDE69__xD835__xDE5D__xD835__xDE5A_ _xD835__xDE6C__xD835__xDE5D__xD835__xDE5E__xD835__xDE69__xD835__xDE5A_ _xD835__xDE67__xD835__xDE56__xD835__xDE57__xD835__xDE57__xD835__xDE5E__xD835__xDE69_ _xD83D__xDC07_</t>
  </si>
  <si>
    <t>I'm from Finland
'The resilience of society will handle my dancing and singing' - @MarinSanna
Valerii Zalushnyi - fan account</t>
  </si>
  <si>
    <t>#turpo-kolumnisti @yleuutiset, @Ulkopolitiikka, @demokraatti_fi. Informaatiovaikuttaminen. Viestintäammattilainen.</t>
  </si>
  <si>
    <t>Blood, toil, tears and sweat</t>
  </si>
  <si>
    <t>"International law selectively applied makes a mockery of international law" Mick Wallace . Tweeting memes!</t>
  </si>
  <si>
    <t>Readovka - media with its own history and view</t>
  </si>
  <si>
    <t>Dad, husband, former President, citizen.</t>
  </si>
  <si>
    <t>Enjoy sport and politics</t>
  </si>
  <si>
    <t>Atwater, Primary Share holder.</t>
  </si>
  <si>
    <t>Официальный Twitter Посольства России в Ирландии/ Official Twitter account of the Russian Embassy in Ireland 
https://t.co/Wynh0RN0fx</t>
  </si>
  <si>
    <t>_xD83C__xDDF7__xD83C__xDDFA_    ☮                             
NATO - USA   1991, "Not an Inch  Eastwards for NATO ever"
BLOCK ALL NAFO ACCOUNTS ON SIGHT</t>
  </si>
  <si>
    <t>_xD83C__xDF37_</t>
  </si>
  <si>
    <t>media history</t>
  </si>
  <si>
    <t>Chess player</t>
  </si>
  <si>
    <t>I sincerely love russian people, I feel strong connection with them _xD83C__xDDE7__xD83C__xDDEC_❤️_xD83C__xDDF7__xD83C__xDDFA_❤️_xD83E__xDD1D_// 
НЕ на алчността и жаждата за власт, не на агресията и чувството на страх.</t>
  </si>
  <si>
    <t>No body no choice
Ironisch, sarkastisch, alles nur Satire
#GrueneSindTerroristen
#NatoIstTerrorismus</t>
  </si>
  <si>
    <t>_xD83C__xDF3B_ MdB, Sicherheitspolitische Sprecherin B90/Grüne Bundestag // Friedens- &amp; Konfliktforschung M.A._xD83D__xDD4A__xD83D__xDEE1_️ _xD83C__xDDFA__xD83C__xDDF3_ //_xD83C__xDF0D__xD83D__xDEB2__xD83D__xDC68_‍_xD83D__xDC69_‍_xD83D__xDC67__xD83C__xDDEA__xD83C__xDDFA_ _xD83D__xDC69__xD83C__xDFFB_‍_xD83D__xDCBC_// sie/ihr,she/her</t>
  </si>
  <si>
    <t>Vizepräsidentin des Deutschen Bundestags | MdB @GrueneBundestag | aus #Thüringen | #Ökologie _xD83C__xDF3B_ #Gerechtigkeit _xD83C__xDF0D_ #Zusammenhalt _xD83D__xDC9A_</t>
  </si>
  <si>
    <t>Offizieller Twitter Account von Außenministerin Annalena Baerbock │ Official Twitter Account of Foreign Minister Annalena Baerbock</t>
  </si>
  <si>
    <t>Pas de MP</t>
  </si>
  <si>
    <t>PROUD RUSSIAN SUPPORTER
No ANTIFA
Pro-Life
Anime, furry Hater
STOP DRUGGING CHILDREN WITH GAY STORIES!</t>
  </si>
  <si>
    <t>_xD83C__xDF3F_</t>
  </si>
  <si>
    <t>Are we Type 1 civilization yet?!</t>
  </si>
  <si>
    <t>Academic researcher in Applied Statistics and NLP.</t>
  </si>
  <si>
    <t>Applied mathematics masters student. (he/him)</t>
  </si>
  <si>
    <t>It is time. The battle lines between Neoliberal Crapitalism and Democratic Socialism have been drawn. This is the final frontier.</t>
  </si>
  <si>
    <t>#NAFOexpansion is non-negotiable.
I'm doing my part! would you like to know more?</t>
  </si>
  <si>
    <t>I Rwanda Means Universal</t>
  </si>
  <si>
    <t>Ukraine in English: news, analysis, podcasts, videos. Run by @InternewsUA. Support us: https://t.co/urry5n8aCn</t>
  </si>
  <si>
    <t>Being born in the first half of the last century provides some perspective on the idiocies of the present.</t>
  </si>
  <si>
    <t>Mettez de la mousse dans vos casquettes...</t>
  </si>
  <si>
    <t>Defend - Защитить _xD83C__xDDF7__xD83C__xDDFA__xD83C__xDDF7__xD83C__xDDF8__xD83C__xDDF8__xD83C__xDDFE__xD83C__xDDF5__xD83C__xDDF8__xD83C__xDDF9__xD83C__xDDF7__xD83C__xDDEE__xD83C__xDDF7__xD83C__xDDFB__xD83C__xDDEA__xD83C__xDDE7__xD83C__xDDF7_
#JeSuisRivarol
#StephaneBlet
#JeSuisPalestine
#PrytaneeNationalMilitaire
Contre la Franc-maçonnerie
Royaliste</t>
  </si>
  <si>
    <t>Veteraan ~ PVV ~ Dierenvriend ~ Heelal ~ QR weigeraar ~ Patriot ~ Hongarije ~ _xD83C__xDDE8__xD83C__xDDE6_ ~ _xD83C__xDDF7__xD83C__xDDFA_ ~ Trump ~ _xD83D__xDE9C_</t>
  </si>
  <si>
    <t>Fractievoorzitter @VoltNederland! ⚡</t>
  </si>
  <si>
    <t>Fractievoorzitter ChristenUnie 2e Kamer. Woordvoerder Groningen, Onderwijs (PO, VO), Defensie. Man van m’n vrouw, vader van 3 dochters.</t>
  </si>
  <si>
    <t>Roman #2: Venus in het gras | Stuurman: Cross Comix, Rotown Magic, Letterhaven | Cultuur: Letteren en Festivals | Politiek: GL | Religie: vrijzinnig PKN</t>
  </si>
  <si>
    <t>Je suis une éternelle énervée</t>
  </si>
  <si>
    <t>WAR?
EU! The WEF &amp; LGBTQ &amp; BLM &amp; G. Soros &amp; L.D. Fink &amp; K. Schwab &amp; B. Gates &amp; the migrants will fight for your ass. Not me.
#stopgreatreset
#StandWithRussia</t>
  </si>
  <si>
    <t>Official Twitter account of the @NATO Spokesperson, Oana Lungescu. Ex BBC Europe correspondent. RT/follow doesn't mean endorsement. #WeAreNATO</t>
  </si>
  <si>
    <t>EU-Commissioner for Budget and Administration</t>
  </si>
  <si>
    <t>Ph.D. from the LSE ... veteran of Ukraine democratic and civil society renaissance ... election observer ... chronicler of Muscovy's war ... from Upper Canada</t>
  </si>
  <si>
    <t>Former Commanding General USArmyEurope, Senior Advisor for @humanrights1st, loves the Army Team, FSU football and the Atlanta Braves!</t>
  </si>
  <si>
    <t>Inquiries: Ben@MeidasTouch.com | Lawyer, Co-Founder MeidasTouch, Geragos Global, Kaepernick Inc., Know Your Rights Camp |Truth Is Golden| MeidasTouch Pod Host</t>
  </si>
  <si>
    <t>News and information from the European Commission. Social media and data protection policy: https://t.co/Gz53Net1PO #SOTEU</t>
  </si>
  <si>
    <t>Élus &amp; partis politiques , Histoire, pour la justice et l’égalité</t>
  </si>
  <si>
    <t>Les faits, rien que les faits ! Après réflexion je suis antivirus _xD83E__xDD14_ Tout ça c’est la faute aux virus #1eraoût22_xD83E__xDD14_</t>
  </si>
  <si>
    <t>Pravoslavac / Ortodox</t>
  </si>
  <si>
    <t>Tdb</t>
  </si>
  <si>
    <t>I am committed to support Ukraine against evil putin..Russia is a terrorist state that must be ended forever.</t>
  </si>
  <si>
    <t>_xD83C__xDF3F__xD83D__xDCA4_</t>
  </si>
  <si>
    <t>Président de la République française.</t>
  </si>
  <si>
    <t>Президент України</t>
  </si>
  <si>
    <t>"Il n'y a qu'une fatalité. celle des peuples qui n'ont pas assez de forces pour se tenir debout et qui se couchent pour mourir"</t>
  </si>
  <si>
    <t>Don't Stop Believing 
#frexit #India #Russia</t>
  </si>
  <si>
    <t>Stratpol fournit des analyses politico-stratégiques et économiques.
https://t.co/UM2NlGZ0LX</t>
  </si>
  <si>
    <t>Profesional Ciencias Sociales. Antimperialista. Defensora DD.HH., Animales,Medio Ambiente.Soberanía de los pueblos,libertad de expresión.Socialista de verdad.</t>
  </si>
  <si>
    <t>Società Onorata
Είμαστε πολύ παλαιοί σε τούτο το Αρχιπέλαγος 
μας έλεγαν Τάφιους και Τηλεβόες ......</t>
  </si>
  <si>
    <t>Rage Against The Machine</t>
  </si>
  <si>
    <t>The most censored man on YouTube | subscribe: https://t.co/Gz1QXxS1XX thedivewithjackson@gmail.com</t>
  </si>
  <si>
    <t>Un richiamo selvatico</t>
  </si>
  <si>
    <t>_xD83D__xDC40_</t>
  </si>
  <si>
    <t>Aerospace dinosaur from the era of steam gauges, 16-bit fixed point processors, and gimballed gyros. Brace for impact or bail out, you fool.</t>
  </si>
  <si>
    <t>Desh Bhakt...
Major Gaurav Arya Fan
9</t>
  </si>
  <si>
    <t>Find inspiring, fresh insights from #Russia❗ Home to more than 190 ethnic groups &amp; authentic cultures, with 11 time &amp; 7 climate zones. _xD83C__xDFDE_ Feel our warm welcome❤</t>
  </si>
  <si>
    <t>leben &amp; leben lassen _xD83E__xDD0D_             Nutze deinen Verstand um deine Impulse zu hinterfragen</t>
  </si>
  <si>
    <t>Official Kremlin news
Official Telegram channel: https://t.co/ASrzdwRxSU</t>
  </si>
  <si>
    <t>Interested in politics and geopolitical events.</t>
  </si>
  <si>
    <t>...</t>
  </si>
  <si>
    <t>Official blog of the Russian Embassy in Ankara Rusya Büyükelçiliğinin resmi sayfası https://t.co/mBVLnAfSQb https://t.co/dcZrOgk4H9</t>
  </si>
  <si>
    <t>ISLAM my religion JOHORE my state MUAR my region
#AllahPeliharakanSultan #ManCity</t>
  </si>
  <si>
    <t>Netflix - Hashtag Blessed //
Comedy Central - Standup Asia Season 2 &amp; 3 // 
Winner of 7th HK International Competition // 
MB,Bch,BAO - NUI, Ireland //
#Bitcoin</t>
  </si>
  <si>
    <t>Leftist, chef and a general busy body. Food, politics, dance n nationbuilding are good conversation starters. ADUN in Perak. DAP Socialist Youth Chief.</t>
  </si>
  <si>
    <t>“Un uomo è libero nel momento in cui desidera esserlo.”</t>
  </si>
  <si>
    <t>Medico
“La medicina ha fatto così tanti progressi che ormai più nessuno è sano.”</t>
  </si>
  <si>
    <t>Milano Italy</t>
  </si>
  <si>
    <t>NO l'ascienzah, NO superRitardatiMentaliPass, NO petaloso, NO EU, NO War SI libertà e democrazia</t>
  </si>
  <si>
    <t>Umorismo dettato dal malumore.
Mi piace la politica ma non i politici, specie se comunisti o fascisti. Putin culo</t>
  </si>
  <si>
    <t>@LaStampa writer | books L’Esperimento, L’Esecuzione, Oligarchi (How Putin’s Friends buy Italy), Oct 2021 | Не забудем и не простим jiacoboni@protonmail.com</t>
  </si>
  <si>
    <t>Ministro della Difesa. Deputato del Partito Democratico</t>
  </si>
  <si>
    <t>⚖☮_xD83C__xDDEA__xD83C__xDDFA__xD83C__xDDEE__xD83C__xDDF9__xD83C__xDDFA__xD83C__xDDE6_</t>
  </si>
  <si>
    <t>Amministratore delegato/Head of Digital @mrassociati. Blogger HuffPost. Docente (anche) per @24orebs. Amo la comunicazione, politica e non.</t>
  </si>
  <si>
    <t>#Ethiopiansim advocate #PanAfricanst, ICT professional 
Emancipate yourselves from mental slavery #NoMore</t>
  </si>
  <si>
    <t>I'm a Moscow-based American political analyst. My personal views are my own and don’t represent any other people, outlets, or institutions.</t>
  </si>
  <si>
    <t>S No. AF/999,999,998</t>
  </si>
  <si>
    <t>Ex-carer (Alz), (im)mature 2021 OU graduate European anti tory &amp; prejudice, wanderer/wonderer. Real. Love truth and creativity hate chemicals</t>
  </si>
  <si>
    <t>Chair of Urban Warfare Studies, | Madison Policy Forum | Major, US Army (ret) 25 yrs | Author, Connected Soldiers https://t.co/5otuB2HVRn | Podcast</t>
  </si>
  <si>
    <t>Gdy będę oddawał swoje życie ratując Twoje, a Ty będziesz oddawać swoje, ratując moje - oboje żyć będziemy.
KK/DN/FF/FR
KON-LIB
TOT/LFC
WID/JAG</t>
  </si>
  <si>
    <t>Serce mam pośrodku klatki piersiowej, tuż za mostkiem. Ps. Biorę jeńców,  zawsze mogą się przydać. ;)</t>
  </si>
  <si>
    <t>Geopolitics &amp; Geostrategy. Multipolar World. Consulting, Activism, Projects and More: _xD83D__xDCE9_ Contact me in twitter or ymurnikov@vk.com #Geopolitics</t>
  </si>
  <si>
    <t>Ex-estudiante de aviación; pintora y escultora; interesada en el buen teatro y la buena literatura; música, poesía, ecología, gastronomía y el mundo animal.</t>
  </si>
  <si>
    <t>Trato de ser lo mejor que pueda, a veces me sale. Quiero Anhelo Deseo una Argentina honesta transparente verdadera, Me duele _xD83C__xDDE6__xD83C__xDDF7_</t>
  </si>
  <si>
    <t>El primer canal de TV ruso en español con alcance mundial. Les brindamos las noticias que realmente importan. Lo más relevante del panorama internacional, en RT</t>
  </si>
  <si>
    <t>IT IS BETTER TO LIVE YOUR OWN DESTINY IMPERFECTLY THAN TO LIVE AN IMITATION OF SOMEBODY ELSE’S LIFE WITH PERFECTION.WHATSUP ME +971551665530</t>
  </si>
  <si>
    <t>Top and breaking news, pictures and videos from Reuters. For more breaking business news, follow @ReutersBiz.</t>
  </si>
  <si>
    <t>The falcon cannot hear the falconer.</t>
  </si>
  <si>
    <t>Crowdfunded journalist covering the Russian - Ukraine war In Russian controlled territory and also covered the War in Artsakh and Armenia</t>
  </si>
  <si>
    <t>#WeAreNAFO #SlavaUkraïni</t>
  </si>
  <si>
    <t>#vegetarian #animallover athletic, pagan )O( &amp; Patriot
Fr/English_xD83C__xDF31_
chasseurs/hunters⛔️
#NonAuPass #toutsaufMacron
#referendumpourlesanimaux
#soutienDonbass</t>
  </si>
  <si>
    <t>I Do NOT Stand With Trends. 
Younwill not like my opinion,  you will call me bot once you use your western training of Safe Zones</t>
  </si>
  <si>
    <t>Amigo de El Salvador, su gente laboriosa y su democracia pluralista. Recordando con respeto la Nicaragua democrática de Doña Violeta. #StandWithUkraine</t>
  </si>
  <si>
    <t>Aim for the Sky and you'll reach the Ceiling. Aim for Ceiling and you'll stay on the Floor #Shankly #LFC</t>
  </si>
  <si>
    <t>It’s our job to #GoThere &amp; tell the most difficult stories. For breaking news, follow @CNNBRK and download our app https://t.co/ceNBoNi8y6</t>
  </si>
  <si>
    <t>Rise Above Hate❤</t>
  </si>
  <si>
    <t>Gewoon een student die hier wat rond kijkt.</t>
  </si>
  <si>
    <t>President of RELEGO • Fighting for your freedom with MEP @cristianterhes • Human rights and liberty advocate • Strategist • Lead candidate for EU 2024 Elections</t>
  </si>
  <si>
    <t>❤️love is the answer❤️ zorgcoördinator_xD83C__xDFE5_</t>
  </si>
  <si>
    <t>Deutscher Ösi Jude aus Überzeugung, für jede Rakete eine Antwort - Pro Putin - F*ck Ukraine - alles für unsere Kinder !!!</t>
  </si>
  <si>
    <t>Alter weiser Mann</t>
  </si>
  <si>
    <t>Wirtschaftspolitischer Sprecher + Leiter AG Wirtschaft @gruenebundestag
Stvtr. Mitglied in den Ausschüssen Klima/Energie + Bildung/Forschung. _xD83D__xDC9A_ Elektromobilität</t>
  </si>
  <si>
    <t>Talyshboy</t>
  </si>
  <si>
    <t>Yeditepe university business administration</t>
  </si>
  <si>
    <t>La Gauche a trahi le Peuple, et la Droite molle, la Nation : Unissons-nous  ! _xD83C__xDDEB__xD83C__xDDF7_
#Circo1703
#RassemblementNational
#Marine2027
IT Indépendant</t>
  </si>
  <si>
    <t>Editorialiste_xD83C__xDDEB__xD83C__xDDF7_ à Tygodnik Solidarnosc-portal Tysol (hebdo &amp; site d'info du syndicat "Solidarité"), @Ligne__Droite le lundi à 8h25 &amp; The European Conservative</t>
  </si>
  <si>
    <t>Vatnik talking about the Great Patriotic War should start w/ 'We were betrayed &amp; invaded by our Nazi ally' and end w/ 'We won only because of western support'</t>
  </si>
  <si>
    <t>Righteous_xD83C__xDF0D_</t>
  </si>
  <si>
    <t>Venezolano de a pie, ni de izquierda ni de derecha, patriota y nacionalista. Siempre del lado de la verdad sin importar quién la tenga.
#RevocatorioYa</t>
  </si>
  <si>
    <t>#Ethiopian 
Internist &amp; Cardiologist 
#EthiopiaPrevails #EritreaPrevails #somaliaPrevails
#Panafricanism! #Africaunite #GERD 
Our unity is our strength #NoMore</t>
  </si>
  <si>
    <t>| Humanitarian | Environmentalist | Campaigner | _xD83D__xDCF1_ Digital media _xD83C__xDF0D_ Global development _xD83D__xDC15_ Dog dad _xD83C__xDF3F_ Gardening and sustainability ♥ Sharing kindness</t>
  </si>
  <si>
    <t>Prime Minister of the Federal Democratic Republic of Ethiopia</t>
  </si>
  <si>
    <t>Nachrichten aus dem Europäischen Parlament und Informationen zum #EPlenum. Tweets vom EP-Webteam, RTs ≠ EP-Position</t>
  </si>
  <si>
    <t>Secretary-General of the @UN.
We will never, ever give up making this world better for everyone, everywhere.</t>
  </si>
  <si>
    <t>This is an archive of a Trump Administration account, maintained by the National Archives and Records Administration.</t>
  </si>
  <si>
    <t>Bundeskanzler der Bundesrepublik Deutschland / Federal Chancellor of the Federal Republic of Germany
Privater Account/personal account: @olafscholz</t>
  </si>
  <si>
    <t>_xD83C__xDDF7__xD83C__xDDF8_ ꒌ</t>
  </si>
  <si>
    <t>The First Lady of Ukraine _xD83C__xDDFA__xD83C__xDDE6_</t>
  </si>
  <si>
    <t>Souverainiste, catholique, de droite légitimiste, épicurien et ébloui par l'homélie du Père Atalli.
#StandWithDonbass
#zemmour2022
français de l'étranger</t>
  </si>
  <si>
    <t>I usually talk about politics and military stuff. And I mostly talk about Iran and Palestine and The Axis of Resistance. 
Tweets are in English and Farsi.</t>
  </si>
  <si>
    <t>задача будет выполнена</t>
  </si>
  <si>
    <t>Hongroise _xD83C__xDDED__xD83C__xDDFA_ conservatrice pro Orbán _xD83D__xDC4A_✝️</t>
  </si>
  <si>
    <t>Dutch white proud #FvD #ForBritain #AfD #FN #VB #Trump #Israel #nowhiteguilt #StopKalergi #StopPlaasmoorde #StopWhiteGenocide #WipeOutIslam
Gab @Finding_Isobel</t>
  </si>
  <si>
    <t>Geleend van v. Gaal: zijn jullie nou zo dom of ben ik nu zo slim.</t>
  </si>
  <si>
    <t>Very Amateur News Agency. EQhunter. Painkiller addict. We don't serve droids at this bar.</t>
  </si>
  <si>
    <t>comments on international developments only our humble opinion, no warranty even if followed. NAFO fellas and similar bots or idiots get blocked</t>
  </si>
  <si>
    <t>Hard Work, Patience and continuous improvement - The Strategy.</t>
  </si>
  <si>
    <t>One Ghetto child who has something to say through Music. Ugandan artiste, activist and leader of the National Unity Platform. Former MP, Parliament of Uganda.</t>
  </si>
  <si>
    <t>human who questions more and sees unseen</t>
  </si>
  <si>
    <t>_xD83C__xDDF9__xD83C__xDDF7__xD83C__xDDF9__xD83C__xDDF7__xD83C__xDDF9__xD83C__xDDF7__xD83C__xDDF9__xD83C__xDDF7_Ne Mutlu Türk,üm Diyene!⭐⭐⭐⭐</t>
  </si>
  <si>
    <t>XVII Teknik Informatika
#StandWithRussia</t>
  </si>
  <si>
    <t>Grande fan d'urbex
J'adore la photographie, les voyages et l'airsoft
Сталкер ☢
Слава России 
_xD83C__xDDF7__xD83C__xDDFA_ Z _xD83C__xDDF7__xD83C__xDDFA_
Instagram: rilawolf
tik tok : rilawolf_</t>
  </si>
  <si>
    <t>“Il nostro compito è di fare il possibile per la salvezza degli anni nei quali viviamo, sradicando il male dai campi che conosciamo.”</t>
  </si>
  <si>
    <t>L'informazione in 280 caratteri, 24 ore su 24. Siamo anche su Instagram @corriere</t>
  </si>
  <si>
    <t>Notizie, inchieste, analisi e breaking news. RT dei nostri giornalisti e lettori</t>
  </si>
  <si>
    <t>Notizie in tempo reale, dall'Italia e dal mondo, 24 ore su 24</t>
  </si>
  <si>
    <t>Former Prime Minister of the United Kingdom. Member of Parliament for Uxbridge and South Ruislip.</t>
  </si>
  <si>
    <t>Profilo ufficiale della Presidenza del Consiglio dei Ministri. 
https://t.co/Oa5uNK30zc
https://t.co/kwgG62psre
https://t.co/enxpwlMjJE</t>
  </si>
  <si>
    <t>Working for peace, security &amp; freedom for one billion people. Official Twitter account of the North Atlantic Treaty Organization. 
#NATO #WeAreNATO</t>
  </si>
  <si>
    <t>free truth, free Assange</t>
  </si>
  <si>
    <t>Music,Railway</t>
  </si>
  <si>
    <t>President of @RenewEurope _xD83C__xDDEA__xD83C__xDDFA_</t>
  </si>
  <si>
    <t>OKU, DİNLE, İZLE, ANLA, YORUMLA, KARAR VER VE UYGULA.</t>
  </si>
  <si>
    <t>Türkün son Başbuğ ebedi Başkomutan Gazi Maraşal Mustafa Kemal Atatürkün neferiyim! Ne mutlu Türküm diyene! _xD83C__xDDF9__xD83C__xDDF7__xD83C__xDDF7__xD83C__xDDFA__xD83C__xDDE9__xD83C__xDDEA__xD83C__xDDE6__xD83C__xDDFF__xD83C__xDDF5__xD83C__xDDF0__xD83C__xDDFB__xD83C__xDDEA_</t>
  </si>
  <si>
    <t>Вири Толстая _xD83C__xDF3A__xD83D__xDC31__xD83C__xDF40__xD83D__xDCD6_ Pedagoga tolstoiana_xD83E__xDD81__xD83C__xDF38_ _xD83C__xDF31__xD83C__xDF4E__xD83D__xDCDA_SIEMPRE MARXISTA,NUNCA FEMINISTA.</t>
  </si>
  <si>
    <t>حيونات سعود و الامارات  لعنة الله  عليكم</t>
  </si>
  <si>
    <t>Ambassador of Ukraine to Estonia. Former Spokesperson for @Mfa_Ukraine (2015-2018)</t>
  </si>
  <si>
    <t>TENİS VE YÜZME SEVER,DÜŞÜNÜR-YAZAR -smerch65@gmail.com ARAS DAĞLI gerçek hayatı bir yerli diziye konu olmuş reel kişidir,asıl adı ALP TUFAN.</t>
  </si>
  <si>
    <t>Redattore Russia News - Новости России
Redattore Eurasia News</t>
  </si>
  <si>
    <t>En hızlı olmam</t>
  </si>
  <si>
    <t>Political correspondent in Ukraine. Tweeting about Ukraine, Belarus &amp; Russia. Mainly in German. Contact: denis.trubetskoy(at)https://t.co/MTipLriTZW</t>
  </si>
  <si>
    <t>Slovak (who love Yugoslavia and Serbia), Anti-LGBT, , Youtuber, #StandWithRussia, Pro-Serbian, Nationalist, Dictatorship Enjoyer, Eugen#6779</t>
  </si>
  <si>
    <t>Twitter ain't my house</t>
  </si>
  <si>
    <t>Родом из России. Я русский армянского происхождения. Имею дальних родственников в Финляндии. Поддерживаю идеи коммунизма и социализма. За СССР.</t>
  </si>
  <si>
    <t>Réflexions sur le monde depuis les abysses.</t>
  </si>
  <si>
    <t>Офіційний акаунт Генерального штабу Збройних Сил України</t>
  </si>
  <si>
    <t>Navy Veteran.</t>
  </si>
  <si>
    <t>Bring justice</t>
  </si>
  <si>
    <t>Official account of the United Nations. 
For peace, dignity &amp; equality on a healthy planet.</t>
  </si>
  <si>
    <t>Anti-radical conservative or liberal  thinking. C'mon world! Please, cut the old same doctrinating crap!
Not here to pick a side. Don't expect me to pick yours.</t>
  </si>
  <si>
    <t>Russian orc. _xD83C__xDDF7__xD83C__xDDFA_❤️</t>
  </si>
  <si>
    <t>News from war zone Ukraine</t>
  </si>
  <si>
    <t>Clareza de convicções. Coragem no posicionamento. Acompanhe também pelo Telegram: https://t.co/LRiBJE694f</t>
  </si>
  <si>
    <t>Perfil oficial do jornal O Tempo, de Belo Horizonte, Minas Gerais.</t>
  </si>
  <si>
    <t>Retrô, guerras, vintages, antiguidades, games, e comentários aleatórios.</t>
  </si>
  <si>
    <t>Two Russians manoeuvring the globe-spanning American monoculture; currently in armchair war reporter mode | Follow us on telegram: https://t.co/dwQNaTHLHj</t>
  </si>
  <si>
    <t>Economista, Sócio XP, CEO VaiTourinho, Apresentador Jovem Pan , Conselheiro ANCORD - Toda opinião é livre, só bloqueio quem fala palavrões (crianças me seguem)</t>
  </si>
  <si>
    <t>Epidemiologist, Health Economist. Co-founder @TheWHN. Former 16 yrs @Harvard. Alum @JohnsHopkins &amp; @HarvardEPI. COVID updates from Jan ‘20–https://t.co/eNp7gjyhC0</t>
  </si>
  <si>
    <t>O como e o porquê das notícias de #últimahora, a análise e a #opinião que interessa. Siga #portugal e o mundo com a #SICNoticias</t>
  </si>
  <si>
    <t>Acompanhe as últimas notícias de política, economia, cotidiano, internacional, saúde, ciência, ambiente, educação e outras áreas</t>
  </si>
  <si>
    <t>Dedicado à discussão de temas militares atuais.
Telegram: https://t.co/RBbGLDwVQ4…</t>
  </si>
  <si>
    <t>ゆるキャラの一種らしいです (非個人)  #LIBEREAL #Visual系 #フィッシュ #かえる #BOB #NANCY #Vtuberさんと繋がりたい #VisualNovel https://t.co/AmSloG9b4l</t>
  </si>
  <si>
    <t>Secrétaire d’État chargée de l’Europe</t>
  </si>
  <si>
    <t>France Inter : InterVenez Fil officiel de France Inter, la radio publique généraliste de Radio France.</t>
  </si>
  <si>
    <t>Proudly have never had a vaccine and never been sick or “infected” with any of their fake diseases! _xD83C__xDDFA__xD83C__xDDF8__xD83C__xDDF7__xD83C__xDDFA__xD83C__xDDEE__xD83C__xDDF1_</t>
  </si>
  <si>
    <t>⚠️Actu de Jacques Frère - Guerre du #Donbass depuis 2014 #Russie #Crimée #Novorossia #Ukraine #DNR #LNR &amp; éventuellement d'autres guerres de l'Empire ! _xD83D__xDCA5_</t>
  </si>
  <si>
    <t>_xD83D__xDD1D_Ma_xD83D__xDD14_= Mes_Tweets
_xD83E__xDED2_100.000 COTISANTS @Reconquete2022 en 63 jours !
RECONSTRUIRE le pays pour retrouver fierté d'être _xD83C__xDDE8__xD83C__xDDF5_
_xD83D__xDCAF_% #JAMBONBEURRE TuSuis↔️JeSuis ⤵️</t>
  </si>
  <si>
    <t>Rights</t>
  </si>
  <si>
    <t>#архаичноеплемябудетуничтоженоZОV
#ПрезидентМойДруг</t>
  </si>
  <si>
    <t>Aime la vie et la France</t>
  </si>
  <si>
    <t>Maire de Béziers, président de @Agglo_Beziers, ancien journaliste, fondateur de Reporters sans Frontières</t>
  </si>
  <si>
    <t>⛔️compte parodique⛔️ #vladleconquérant je dis ce que je veux, si t’es pas d’accord c’est Goulag</t>
  </si>
  <si>
    <t>Toute l'info sur le canal 16 de la TNT, mais aussi sur Facebook, Twitter, Instagram et TikTok</t>
  </si>
  <si>
    <t>_xD83C__xDDF7__xD83C__xDDFA_ За Россию _xD83C__xDDF7__xD83C__xDDFA_ За Путина _xD83C__xDDF7__xD83C__xDDFA_ За Донбасс</t>
  </si>
  <si>
    <t>MdB/MP (Rendsburg-Eckernförde) stv. FV/Deputy Chairman @cducsubt, Fanclub @herthabsc Bundestag/ Dr. jur. Fachanwalt Medizin- u. SozRecht /Views are my own.</t>
  </si>
  <si>
    <t>Correspondent covering Russia's war in Ukraine. 12+ years in Ukraine and Eastern Europe. DM for Signal.</t>
  </si>
  <si>
    <t>Willkommen beim offiziellen Twitter-Account des Ersten Deutschen Fernsehens. Impressum: https://t.co/5JeuSojoz1</t>
  </si>
  <si>
    <t>IR Scholar, Director @metis_institut, Co-Director @cissmunich, Co-Host @sicherheitspod, Guitarplayer.</t>
  </si>
  <si>
    <t>Ukrainian diplomat and international lawyer / Botschafter der Ukraine in Deutschland / Посол України в Німеччині</t>
  </si>
  <si>
    <t>Die Themen und die Menschen der aktuellen Woche – "maischberger" dienstags &amp; mittwochs um 22:50 im Ersten | es twittert die Redaktion. Impressum: https://t.co/OGJUyiPFXs</t>
  </si>
  <si>
    <t>Vorsitzender der @CDU Deutschlands. Fraktionsvorsitzender der @CDUCSUBT. Hier twittern Friedrich Merz (FM) und sein Team (tm)</t>
  </si>
  <si>
    <t>Das Beste aus der WELT-Redaktion: Nachrichten, Reporter-Tweets, TV Highlights  und Eilmeldungen. Mal Hand, mal Feed. Immer News.</t>
  </si>
  <si>
    <t>Dies, das und jenes.
Folgen auf eigene Gefahr.</t>
  </si>
  <si>
    <t>Hier geht's zum Impressum von FOCUS online:
https://t.co/nTM1cs9VWP</t>
  </si>
  <si>
    <t>Vorsitzender des Auswärtigen Ausschusses des Deutschen Bundestages * seit 1998 direkt gewählter MdB * Präsidium @spdde * Feminist * Europäer * freiheitsliebend</t>
  </si>
  <si>
    <t>Прем'єр-міністр України | Prime Minister of Ukraine _xD83C__xDDFA__xD83C__xDDE6_</t>
  </si>
  <si>
    <t>Schlagzeilen von https://t.co/sUyyRPnseF - Rückfragen an https://t.co/qvffY6fJge</t>
  </si>
  <si>
    <t>Diversification is for the clueless. Go big in and out bigger.</t>
  </si>
  <si>
    <t>Droite conservatrice. #Reconquête._xD83C__xDF3F_ #UnionDesDroites. Pour la France avec son patrimoine, ses paysages, sa culture, ses héros. Aime l'histoire, la littérature.</t>
  </si>
  <si>
    <t>France</t>
  </si>
  <si>
    <t>Flushing Meadows, New York</t>
  </si>
  <si>
    <t>Derby</t>
  </si>
  <si>
    <t>Montbéliard, France</t>
  </si>
  <si>
    <t>Paris, Ile-de-France</t>
  </si>
  <si>
    <t>Berlin, Deutschland</t>
  </si>
  <si>
    <t>Vienna, Austria</t>
  </si>
  <si>
    <t>Вена / Vienna</t>
  </si>
  <si>
    <t>Brussels</t>
  </si>
  <si>
    <t>Москва</t>
  </si>
  <si>
    <t>Brussels, Belgium</t>
  </si>
  <si>
    <t>Russia</t>
  </si>
  <si>
    <t>België</t>
  </si>
  <si>
    <t>Rome</t>
  </si>
  <si>
    <t xml:space="preserve">Vientiane </t>
  </si>
  <si>
    <t>Paris</t>
  </si>
  <si>
    <t>Paris, Rome</t>
  </si>
  <si>
    <t>Paris, France</t>
  </si>
  <si>
    <t>paris</t>
  </si>
  <si>
    <t>Amsterdam, The Netherlands</t>
  </si>
  <si>
    <t>Washington D.C.</t>
  </si>
  <si>
    <t>Kyiv</t>
  </si>
  <si>
    <t>Madera, CA</t>
  </si>
  <si>
    <t>Esslingen am Neckar</t>
  </si>
  <si>
    <t>Weit Weit Weg</t>
  </si>
  <si>
    <t>офис по выдаче вазелина</t>
  </si>
  <si>
    <t>Moscou, Russie</t>
  </si>
  <si>
    <t>Am Neckartor</t>
  </si>
  <si>
    <t xml:space="preserve">İzmir </t>
  </si>
  <si>
    <t>Karachi, Pakistan</t>
  </si>
  <si>
    <t>Côte Basque</t>
  </si>
  <si>
    <t xml:space="preserve">South west Ethiopia </t>
  </si>
  <si>
    <t>Nigeria</t>
  </si>
  <si>
    <t>Deutschland</t>
  </si>
  <si>
    <t>Platz der Republik, Berlin</t>
  </si>
  <si>
    <t>Ethiopia</t>
  </si>
  <si>
    <t>ADDIS ABABA</t>
  </si>
  <si>
    <t>Toronto, Ontario</t>
  </si>
  <si>
    <t>_xD83C__xDDF5__xD83C__xDDEA__xD83C__xDDE9__xD83C__xDDEA__xD83C__xDDEA__xD83C__xDDF8__xD83C__xDDF3__xD83C__xDDFF__xD83C__xDDEE__xD83C__xDDEA_</t>
  </si>
  <si>
    <t>Sheffield, England</t>
  </si>
  <si>
    <t>Dublin City, Ireland</t>
  </si>
  <si>
    <t>Воркута, Россия</t>
  </si>
  <si>
    <t>NOVORUSSIA</t>
  </si>
  <si>
    <t>United States</t>
  </si>
  <si>
    <t>Unknown</t>
  </si>
  <si>
    <t>Mänttä-Vilppula, Suomi</t>
  </si>
  <si>
    <t>Helsinki</t>
  </si>
  <si>
    <t>Joensuu</t>
  </si>
  <si>
    <t>indonesia borneo</t>
  </si>
  <si>
    <t>Africa</t>
  </si>
  <si>
    <t>Poland</t>
  </si>
  <si>
    <t>Dublin</t>
  </si>
  <si>
    <t>UK</t>
  </si>
  <si>
    <t>Bulgaria</t>
  </si>
  <si>
    <t>Düsseldorf und Berlin</t>
  </si>
  <si>
    <t>Berlin</t>
  </si>
  <si>
    <t>Kiev, Российская Федерация</t>
  </si>
  <si>
    <t>Türkiye</t>
  </si>
  <si>
    <t>Earth</t>
  </si>
  <si>
    <t>Vatnik Quarantine Zone</t>
  </si>
  <si>
    <t>Ukraine</t>
  </si>
  <si>
    <t>Rotterdam Delfshaven</t>
  </si>
  <si>
    <t>NATO!   GET OUT FROM HUNGARY!</t>
  </si>
  <si>
    <t>NATO Secretary General</t>
  </si>
  <si>
    <t>Ottawa</t>
  </si>
  <si>
    <t xml:space="preserve">Los Angeles, California </t>
  </si>
  <si>
    <t>Ille-et-Vilaine, Bretagne</t>
  </si>
  <si>
    <t>Ile-de-France, France</t>
  </si>
  <si>
    <t>Belgrade, Republic of Serbia</t>
  </si>
  <si>
    <t>Planet Earth</t>
  </si>
  <si>
    <t>Belgique</t>
  </si>
  <si>
    <t>Україна</t>
  </si>
  <si>
    <t>94 / FR</t>
  </si>
  <si>
    <t xml:space="preserve">Boliviana </t>
  </si>
  <si>
    <t>Κεφαλλονιά</t>
  </si>
  <si>
    <t>Nepokoreni Grad</t>
  </si>
  <si>
    <t>Indonesia</t>
  </si>
  <si>
    <t>90377 Sedna</t>
  </si>
  <si>
    <t>NEW DELHI &amp; RISHIKESH</t>
  </si>
  <si>
    <t>Moscow, Russian Federation</t>
  </si>
  <si>
    <t>Scotland</t>
  </si>
  <si>
    <t>Kuala Lumpur, Malaysia</t>
  </si>
  <si>
    <t>Perak, Malaysia</t>
  </si>
  <si>
    <t>europe</t>
  </si>
  <si>
    <t>Italia</t>
  </si>
  <si>
    <t>Tortorici, Roma, Milano</t>
  </si>
  <si>
    <t>Ghent, Belgium_xD83C__xDDE7__xD83C__xDDEA_</t>
  </si>
  <si>
    <t>Moscow, Russia</t>
  </si>
  <si>
    <t xml:space="preserve">Addis Ababa,Ethiopia </t>
  </si>
  <si>
    <t>Highlands</t>
  </si>
  <si>
    <t>Colorado Springs, Colorado</t>
  </si>
  <si>
    <t>PiPilandia</t>
  </si>
  <si>
    <t xml:space="preserve"> All the World _xD83C__xDF10_</t>
  </si>
  <si>
    <t>Francia</t>
  </si>
  <si>
    <t>Varanasi, India</t>
  </si>
  <si>
    <t>Around the world</t>
  </si>
  <si>
    <t>Oslo, Norway</t>
  </si>
  <si>
    <t>Donetsk</t>
  </si>
  <si>
    <t>Japan</t>
  </si>
  <si>
    <t>Maspalomas</t>
  </si>
  <si>
    <t>Somewhere over the rainbow</t>
  </si>
  <si>
    <t>Dubai, UAE</t>
  </si>
  <si>
    <t>Belgium</t>
  </si>
  <si>
    <t>The Netherlands</t>
  </si>
  <si>
    <t>Wien, Österreich</t>
  </si>
  <si>
    <t xml:space="preserve">Demokratieland. </t>
  </si>
  <si>
    <t>München</t>
  </si>
  <si>
    <t>Çekmeköy, İstanbul</t>
  </si>
  <si>
    <t>Charente-Maritime</t>
  </si>
  <si>
    <t>Cracovie, Pologne</t>
  </si>
  <si>
    <t>In my bunker ;-)</t>
  </si>
  <si>
    <t>Capital de la Patria Grande.</t>
  </si>
  <si>
    <t>Johannesburg</t>
  </si>
  <si>
    <t>Brüssel/Straßburg</t>
  </si>
  <si>
    <t>Lviv</t>
  </si>
  <si>
    <t>Iran</t>
  </si>
  <si>
    <t>Hongrie</t>
  </si>
  <si>
    <t>Alkmaar Nrd-Holland, Nederland</t>
  </si>
  <si>
    <t>Emmen</t>
  </si>
  <si>
    <t>Mexico city</t>
  </si>
  <si>
    <t>Santa Maria La Palma &amp; BaWü</t>
  </si>
  <si>
    <t>Arua, Uganda</t>
  </si>
  <si>
    <t>Uganda</t>
  </si>
  <si>
    <t>Turkey</t>
  </si>
  <si>
    <t>Milano</t>
  </si>
  <si>
    <t>Torino, Piemonte</t>
  </si>
  <si>
    <t>Rome, Italy</t>
  </si>
  <si>
    <t>United Kingdom</t>
  </si>
  <si>
    <t>愛知県</t>
  </si>
  <si>
    <t>Adana, Türkiye</t>
  </si>
  <si>
    <t xml:space="preserve">México </t>
  </si>
  <si>
    <t>Tallinn, Eesti</t>
  </si>
  <si>
    <t>EMEKLİ.</t>
  </si>
  <si>
    <t>Venezia, Veneto</t>
  </si>
  <si>
    <t>Kyiv, Ukraine</t>
  </si>
  <si>
    <t>Pretoria, South Africa</t>
  </si>
  <si>
    <t>Москва, Россия</t>
  </si>
  <si>
    <t>Москва, РСФСР, СССР</t>
  </si>
  <si>
    <t>Everywhere</t>
  </si>
  <si>
    <t>New York, NY</t>
  </si>
  <si>
    <t xml:space="preserve">Rent free </t>
  </si>
  <si>
    <t>Brasil</t>
  </si>
  <si>
    <t>Contagem / MG</t>
  </si>
  <si>
    <t>Brazil</t>
  </si>
  <si>
    <t>Sao Jose dos Campos, SP</t>
  </si>
  <si>
    <t>Sao Paulo, Brazil</t>
  </si>
  <si>
    <t>Washington DC | Virginia</t>
  </si>
  <si>
    <t>Portugal</t>
  </si>
  <si>
    <t>洲本 夢幻想世界, ,国際展示場,熱海湯河原</t>
  </si>
  <si>
    <t>Paris-Donetsk-Lugansk-Moscou</t>
  </si>
  <si>
    <t>_xD83C__xDDE8__xD83C__xDDF5_| Nombrils du Monde |_xD83C__xDDF7__xD83C__xDDFA_</t>
  </si>
  <si>
    <t>_xD83C__xDDF7__xD83C__xDDFA_Россия ✌Крым _xD83C__xDF0A_Ялта_xD83C__xDFD6_</t>
  </si>
  <si>
    <t>Béziers, France</t>
  </si>
  <si>
    <t>Munich</t>
  </si>
  <si>
    <t>Ukraine's Ambassador to Germany</t>
  </si>
  <si>
    <t>Berlin // Köln</t>
  </si>
  <si>
    <t>Bonn, Deutschland</t>
  </si>
  <si>
    <t>Bucuresti</t>
  </si>
  <si>
    <t>Hamburg</t>
  </si>
  <si>
    <t>Zürich, Schweiz</t>
  </si>
  <si>
    <t>Open Twitter Page for This Person</t>
  </si>
  <si>
    <t xml:space="preserve">060_ilou
</t>
  </si>
  <si>
    <t xml:space="preserve">philo95857560
</t>
  </si>
  <si>
    <t xml:space="preserve">p_duval
</t>
  </si>
  <si>
    <t>spydercof
Je vous présente Vladimir #Poutine,
le président de la Grande #Russie,un
véritable homme d'État suivi par
83 % de sa population dixit son
opposition (centre levada). Ça
change du #poudré..._xD83D__xDE0F_ #StandWithRussia
_xD83C__xDDF7__xD83C__xDDFA_ #StandWithPutin _xD83D__xDCAA_ @AgentduKGB
@p_duval @Philo95857560 @060_ilou
https://t.co/B5r5gdwDrV</t>
  </si>
  <si>
    <t>dinara59920357t
Günaydın _xD83D__xDC4B_ Wagner grubu konser
öncesi son hazırlıklarını tamamladı.
#StandwithRussia #Russia #Russianarmy
#WagnerGroup _xD83C__xDDF7__xD83C__xDDFA__xD83C__xDDF7__xD83C__xDDFA_ https://t.co/hzP1jzmcQz</t>
  </si>
  <si>
    <t>amaresyev
Rus Hava Kuvvetleri Ukrayna'nın
enerji altyapısına saldırıyor.
#StandwithRussia #Russia #Russianarmy
https://t.co/Fjxzw1Qmrf</t>
  </si>
  <si>
    <t>davidbu85029668
@IPurdley oops #Russian video from
Russian trolls proving Ukraine
attacked power plant if shown to
be hoax,,,,, Bwaah haar har Slava
#Urkaine and #Kherson #Standwithrussia
https://t.co/yoALmXfuUn</t>
  </si>
  <si>
    <t>ipurdley
i am not happy about this, but
all of these countries are but
protracting a special operation,
thus spilling more blood. no gas
no #uranium, no nothing. #UE #standwithrussia
#nato https://t.co/V9Aa0BTUvj</t>
  </si>
  <si>
    <t>zivkovasiljev
@pavyg @usopen Looks like @_markpetchey
may soon be boycotting the men’s
final of the Moderna Open #StandWithRussia</t>
  </si>
  <si>
    <t xml:space="preserve">_markpetchey
</t>
  </si>
  <si>
    <t xml:space="preserve">usopen
</t>
  </si>
  <si>
    <t xml:space="preserve">pavyg
</t>
  </si>
  <si>
    <t>jokerdepressif
@bayrou Vous êtes une synthèse
de la bêtise de nos Hommes politique
contemporains. Vous n'êtes que
le pantin servile de la marionnette
de l'Élyssé. Retourné à votre région
et n'essayez pas de rivaliser avec
les glorieux dirigeants Russe.
#StandWithRussia https://t.co/v3dKUZCiu6</t>
  </si>
  <si>
    <t xml:space="preserve">bayrou
</t>
  </si>
  <si>
    <t>settequaranta
@kartoen @mgcanmore @mfa_russia
@RusMission_EU @EUinRussia @vonderleyen
@JosepBorrellF @RF_OSCE @mission_rf
@RusBotschaft @AmbRusFrance @rusembitaly
Millions of Italians supporting
the Russiana. #StandWithRussia</t>
  </si>
  <si>
    <t xml:space="preserve">ambrusfrance
</t>
  </si>
  <si>
    <t xml:space="preserve">rusbotschaft
</t>
  </si>
  <si>
    <t xml:space="preserve">mission_rf
</t>
  </si>
  <si>
    <t xml:space="preserve">rf_osce
</t>
  </si>
  <si>
    <t xml:space="preserve">josepborrellf
</t>
  </si>
  <si>
    <t xml:space="preserve">euinrussia
</t>
  </si>
  <si>
    <t xml:space="preserve">rusmission_eu
</t>
  </si>
  <si>
    <t xml:space="preserve">mfa_russia
</t>
  </si>
  <si>
    <t xml:space="preserve">mgcanmore
</t>
  </si>
  <si>
    <t xml:space="preserve">kartoen
</t>
  </si>
  <si>
    <t xml:space="preserve">rusembitaly
</t>
  </si>
  <si>
    <t xml:space="preserve">vonderleyen
</t>
  </si>
  <si>
    <t>oliverswift65
_xD83D__xDCCC_ Rubrique : Humour du jeudi...
#StandWithRussia _xD83C__xDDF7__xD83C__xDDFA_ #FuckZelenskyWarCriminal
_xD83C__xDDFA__xD83C__xDDE6_ #FuckUkronazis _xD83C__xDDFA__xD83C__xDDE6_ #StopEU
_xD83C__xDDEA__xD83C__xDDFA_ #UE #EU #EUcorrupt _xD83C__xDDEA__xD83C__xDDFA_ #StopRussophobia_xD83C__xDDF7__xD83C__xDDFA_
#VonDerLeyenimpostor _xD83C__xDDEA__xD83C__xDDFA_ #VonDerLeyenCorrupt
_xD83C__xDDEA__xD83C__xDDFA_ #EUisLikePCC _xD83C__xDDEA__xD83C__xDDFA_/_xD83C__xDDE8__xD83C__xDDF3_ #BHLimpostor
_xD83C__xDDE8__xD83C__xDDF5_ #Enthovenimpostor _xD83C__xDDE8__xD83C__xDDF5_ #Glucksmannimpostor
_xD83C__xDDE8__xD83C__xDDF5_ https://t.co/a945Uf8nL6</t>
  </si>
  <si>
    <t xml:space="preserve">patrickrogere
</t>
  </si>
  <si>
    <t xml:space="preserve">loiklfp
</t>
  </si>
  <si>
    <t xml:space="preserve">francoisedegois
</t>
  </si>
  <si>
    <t xml:space="preserve">bilgerphilippe
</t>
  </si>
  <si>
    <t xml:space="preserve">cecile2menibus
</t>
  </si>
  <si>
    <t xml:space="preserve">phdavidmtb
</t>
  </si>
  <si>
    <t xml:space="preserve">sudradio
</t>
  </si>
  <si>
    <t xml:space="preserve">jmaphatie
</t>
  </si>
  <si>
    <t xml:space="preserve">24hpujadas
</t>
  </si>
  <si>
    <t>lecureuil33
#standwithrussia #kremlin #Poutineinnocent
https://t.co/AsvMMSKNzf</t>
  </si>
  <si>
    <t>chakhoyanandrew
@DavidGiglioCA @POTUS @charliespiering
Nope. The true face of contemporary
fascism is #putin and those who
#StandWithRussia https://t.co/L84YtWWMnI</t>
  </si>
  <si>
    <t xml:space="preserve">charliespiering
</t>
  </si>
  <si>
    <t>syanyakernytska
@DavidGiglioCA @POTUS @charliespiering
Nope. The true face of contemporary
fascism is #putin and those who
#StandWithRussia https://t.co/L84YtWWMnI</t>
  </si>
  <si>
    <t xml:space="preserve">potus
</t>
  </si>
  <si>
    <t xml:space="preserve">davidgiglioca
</t>
  </si>
  <si>
    <t>therealrsbonn
Paradigmenwechsel Während die EU
mit Grundrechtseinschränkungen
in Reise- und Bewegungsfreiheit
einen neuen eisernen Vorgang errichtet,
entscheidet sich Russland für die
Freiheit und pro Menschenrechte.
#Snowden #visabanforrussians #standwithrussia
https://t.co/MZjBKc0ZKV</t>
  </si>
  <si>
    <t>stegnerralle
Sanktionen wirken: Der Abbau der
deutschen Wirtschaft läuft gut
an. Während es im gesamten Mai
2022 noch zu rund 1200 Insolvenzen
kam, werden aktuell pro Tag mehr
als 1000 Insolvenzen gemeldet.
#standwithRussia #Deindustrialisierung
#Habeck https://t.co/ImU3NGwC5z</t>
  </si>
  <si>
    <t>1984_is_near
Paradigmenwechsel Während die EU
mit Grundrechtseinschränkungen
in Reise- und Bewegungsfreiheit
einen neuen eisernen Vorgang errichtet,
entscheidet sich Russland für die
Freiheit und pro Menschenrechte.
#Snowden #visabanforrussians #standwithrussia
https://t.co/MZjBKc0ZKV</t>
  </si>
  <si>
    <t>phacotte
Je vous présente Vladimir #Poutine,
le président de la Grande #Russie,un
véritable homme d'État suivi par
83 % de sa population dixit son
opposition (centre levada). Ça
change du #poudré..._xD83D__xDE0F_ #StandWithRussia
_xD83C__xDDF7__xD83C__xDDFA_ #StandWithPutin _xD83D__xDCAA_ @AgentduKGB
@p_duval @Philo95857560 @060_ilou
https://t.co/B5r5gdwDrV</t>
  </si>
  <si>
    <t>markwol64553906
@nixelpixel я бы хотел напомнить,
пёся поддерживает спецоперацию
на украине!, #StandWithRussia #СвоихНеБросаем
https://t.co/mYiKaJVqKK</t>
  </si>
  <si>
    <t xml:space="preserve">nixelpixel
</t>
  </si>
  <si>
    <t>shxtcowboy
@nixelpixel я бы хотел напомнить,
пёся поддерживает спецоперацию
на украине!, #StandWithRussia #СвоихНеБросаем
https://t.co/mYiKaJVqKK</t>
  </si>
  <si>
    <t>benkutowski
@BHL #SlavaRossiya #StandWithRussia</t>
  </si>
  <si>
    <t xml:space="preserve">bhl
</t>
  </si>
  <si>
    <t>nilhrevan
@BHL #StandWithRussia _xD83C__xDDF7__xD83C__xDDFA_</t>
  </si>
  <si>
    <t>thetruth222222
Even Ukrainians #standwithRussia
https://t.co/jqzp9uZEKL</t>
  </si>
  <si>
    <t>realfantomas
Sanktionen wirken: Der Abbau der
deutschen Wirtschaft läuft gut
an. Während es im gesamten Mai
2022 noch zu rund 1200 Insolvenzen
kam, werden aktuell pro Tag mehr
als 1000 Insolvenzen gemeldet.
#standwithRussia #Deindustrialisierung
#Habeck https://t.co/ImU3NGwC5z</t>
  </si>
  <si>
    <t>miky3881
@AlbertoFazolo Studio che analizza
il periodo 24 febbraio-8 marzo
basato solo sui seguenti # StandWithPutin,
# StandWithRussia, # SupportRussia,
#StandWithUkraine, #StandWithZelenskyyand
#SupportUkraine. Che poi gli ucraini
siano + bravi anche nella comunicazione
è un fatto. #PutinWarCriminal</t>
  </si>
  <si>
    <t xml:space="preserve">albertofazolo
</t>
  </si>
  <si>
    <t>poseidon325_
@gorkembo #standwithrussia</t>
  </si>
  <si>
    <t xml:space="preserve">gorkembo
</t>
  </si>
  <si>
    <t>saifullahalipti
حقیقت جان کر جیو #BehindYouSkipper
#StandWithRussia #StandWithAsifAli
https://t.co/xsuFyQUQHd</t>
  </si>
  <si>
    <t>dilkash_1
حقیقت جان کر جیو #BehindYouSkipper
#StandWithRussia #StandWithAsifAli
https://t.co/xsuFyQUQHd</t>
  </si>
  <si>
    <t>achguck
Sanktionen wirken: Der Abbau der
deutschen Wirtschaft läuft gut
an. Während es im gesamten Mai
2022 noch zu rund 1200 Insolvenzen
kam, werden aktuell pro Tag mehr
als 1000 Insolvenzen gemeldet.
#standwithRussia #Deindustrialisierung
#Habeck https://t.co/ImU3NGwC5z</t>
  </si>
  <si>
    <t>myriamjerome
Je vous présente Vladimir #Poutine,
le président de la Grande #Russie,un
véritable homme d'État suivi par
83 % de sa population dixit son
opposition (centre levada). Ça
change du #poudré..._xD83D__xDE0F_ #StandWithRussia
_xD83C__xDDF7__xD83C__xDDFA_ #StandWithPutin _xD83D__xDCAA_ @AgentduKGB
@p_duval @Philo95857560 @060_ilou
https://t.co/B5r5gdwDrV</t>
  </si>
  <si>
    <t>betelabassa
Vladmir Putin said that "Almost
all Ukrainian grain reaching European
.However,the single shipment that
was destined for Africa got more
attention from the western media
than this one." That is how modern
media colonialism portrays Africa.
#NoMoreColonialism #StandWithRussia
https://t.co/eqNUoUARHV</t>
  </si>
  <si>
    <t>ethiopi00829015
Vladmir Putin said that "Almost
all Ukrainian grain reaching European
.However,the single shipment that
was destined for Africa got more
attention from the western media
than this one." That is how modern
media colonialism portrays Africa.
#NoMoreColonialism #StandWithRussia
https://t.co/eqNUoUARHV</t>
  </si>
  <si>
    <t>ruinin_football
Vladmir Putin said that "Almost
all Ukrainian grain reaching European
.However,the single shipment that
was destined for Africa got more
attention from the western media
than this one." That is how modern
media colonialism portrays Africa.
#NoMoreColonialism #StandWithRussia
https://t.co/eqNUoUARHV</t>
  </si>
  <si>
    <t>sujall13
#StandWithRussia @GregorGysi vergessen
_xD83D__xDC47_ https://t.co/blAfLqjU9o</t>
  </si>
  <si>
    <t xml:space="preserve">gregorgysi
</t>
  </si>
  <si>
    <t>mkebatu
Vladmir Putin said that "Almost
all Ukrainian grain reaching European
.However,the single shipment that
was destined for Africa got more
attention from the western media
than this one." That is how modern
media colonialism portrays Africa.
#NoMoreColonialism #StandWithRussia
https://t.co/eqNUoUARHV</t>
  </si>
  <si>
    <t>messaymohammed
Vladmir Putin said that "Almost
all Ukrainian grain reaching European
.However,the single shipment that
was destined for Africa got more
attention from the western media
than this one." That is how modern
media colonialism portrays Africa.
#NoMoreColonialism #StandWithRussia
https://t.co/eqNUoUARHV</t>
  </si>
  <si>
    <t>teferradebebe
Vladmir Putin said that "Almost
all Ukrainian grain reaching European
.However,the single shipment that
was destined for Africa got more
attention from the western media
than this one." That is how modern
media colonialism portrays Africa.
#NoMoreColonialism #StandWithRussia
https://t.co/eqNUoUARHV</t>
  </si>
  <si>
    <t>habibhassen7180
Vladmir Putin said that "Almost
all Ukrainian grain reaching European
.However,the single shipment that
was destined for Africa got more
attention from the western media
than this one." That is how modern
media colonialism portrays Africa.
#NoMoreColonialism #StandWithRussia
https://t.co/eqNUoUARHV</t>
  </si>
  <si>
    <t>wonde2014
Vladmir Putin said that "Almost
all Ukrainian grain reaching European
.However,the single shipment that
was destined for Africa got more
attention from the western media
than this one." That is how modern
media colonialism portrays Africa.
#NoMoreColonialism #StandWithRussia
https://t.co/eqNUoUARHV</t>
  </si>
  <si>
    <t>ghedays
Vladmir Putin said that "Almost
all Ukrainian grain reaching European
.However,the single shipment that
was destined for Africa got more
attention from the western media
than this one." That is how modern
media colonialism portrays Africa.
#NoMoreColonialism #StandWithRussia
https://t.co/eqNUoUARHV</t>
  </si>
  <si>
    <t>addiseshetu
Vladmir Putin said that "Almost
all Ukrainian grain reaching European
.However,the single shipment that
was destined for Africa got more
attention from the western media
than this one." That is how modern
media colonialism portrays Africa.
#NoMoreColonialism #StandWithRussia
https://t.co/eqNUoUARHV</t>
  </si>
  <si>
    <t>teferig58652633
Vladmir Putin said that "Almost
all Ukrainian grain reaching European
.However,the single shipment that
was destined for Africa got more
attention from the western media
than this one." That is how modern
media colonialism portrays Africa.
#NoMoreColonialism #StandWithRussia
https://t.co/eqNUoUARHV</t>
  </si>
  <si>
    <t>alemayehuc
Vladmir Putin said that "Almost
all Ukrainian grain reaching European
.However,the single shipment that
was destined for Africa got more
attention from the western media
than this one." That is how modern
media colonialism portrays Africa.
#NoMoreColonialism #StandWithRussia
https://t.co/eqNUoUARHV</t>
  </si>
  <si>
    <t>adiss07705421
Vladmir Putin said that "Almost
all Ukrainian grain reaching European
.However,the single shipment that
was destined for Africa got more
attention from the western media
than this one." That is how modern
media colonialism portrays Africa.
#NoMoreColonialism #StandWithRussia
https://t.co/eqNUoUARHV</t>
  </si>
  <si>
    <t>berhanumekonne6
Vladmir Putin said that "Almost
all Ukrainian grain reaching European
.However,the single shipment that
was destined for Africa got more
attention from the western media
than this one." That is how modern
media colonialism portrays Africa.
#NoMoreColonialism #StandWithRussia
https://t.co/eqNUoUARHV</t>
  </si>
  <si>
    <t>yidalem
Vladmir Putin said that "Almost
all Ukrainian grain reaching European
.However,the single shipment that
was destined for Africa got more
attention from the western media
than this one." That is how modern
media colonialism portrays Africa.
#NoMoreColonialism #StandWithRussia
https://t.co/eqNUoUARHV</t>
  </si>
  <si>
    <t>bitcoin_raf
#standwithrussia and #blacklenin
#communism #slavacocaine #Hunterbidenlaptop
#WEF fuck #elensky good luck killing
#nazis _xD83E__xDEE1_ https://t.co/yKP9jEld94</t>
  </si>
  <si>
    <t>riocard911
#StandWithUkraine #StandWithRussia
Australian university study on
Twitter war coverage, examining
5m+ posts — the conclusion is 60
to 80% of accounts posting on Russia-Ukraine
war are bots, while 90% are unapologetically
‘pro Ukraine’ The full study: https://t.co/Mbq6mVOCWU</t>
  </si>
  <si>
    <t>jamesfoley57
#StandWithUkraine #StandWithRussia
Australian university study on
Twitter war coverage, examining
5m+ posts — the conclusion is 60
to 80% of accounts posting on Russia-Ukraine
war are bots, while 90% are unapologetically
‘pro Ukraine’ The full study: https://t.co/Mbq6mVOCWU</t>
  </si>
  <si>
    <t>lucygatsby
#StandWithUkraine #StandWithRussia
Australian university study on
Twitter war coverage, examining
5m+ posts — the conclusion is 60
to 80% of accounts posting on Russia-Ukraine
war are bots, while 90% are unapologetically
‘pro Ukraine’ The full study: https://t.co/Mbq6mVOCWU</t>
  </si>
  <si>
    <t>100anb
#StandWithUkraine #StandWithRussia
Australian university study on
Twitter war coverage, examining
5m+ posts — the conclusion is 60
to 80% of accounts posting on Russia-Ukraine
war are bots, while 90% are unapologetically
‘pro Ukraine’ The full study: https://t.co/Mbq6mVOCWU</t>
  </si>
  <si>
    <t>uutis_huone
Venäjän ja Ukrainan konfliktin
ympärillä käytäviin verkkokeskusteluihin
ja miten botit voivat vaikuttaa
ihmisten tunteisiin. Tutkimusviestit
sisälsivät hashtageja kuten "StandWithPutin",
"(I)StandWithRussia", "(I)SupportRussia",
"(I)StandWithUkraine", "(I)StandWithZelensky"
ja</t>
  </si>
  <si>
    <t>tovarischbot
#StandWithRussia https://t.co/l1aht3DS7N</t>
  </si>
  <si>
    <t>conservatnik228
@Galantias1 @SpiritofHo _xD83D__xDCAA__xD83D__xDCAA__xD83D__xDE0E__xD83C__xDDF7__xD83C__xDDFA__xD83C__xDDF7__xD83C__xDDFA_
#RussiaPower #StandWithRussia #ZelenskyMustGo
#DeNATOfication https://t.co/xcc0382M6t</t>
  </si>
  <si>
    <t xml:space="preserve">spiritofho
</t>
  </si>
  <si>
    <t xml:space="preserve">galantias1
</t>
  </si>
  <si>
    <t>argubadebo
Vladmir Putin said that "Almost
all Ukrainian grain reaching European
.However,the single shipment that
was destined for Africa got more
attention from the western media
than this one." That is how modern
media colonialism portrays Africa.
#NoMoreColonialism #StandWithRussia
https://t.co/eqNUoUARHV</t>
  </si>
  <si>
    <t>realpasitapani
Pahaa pelkään että Putinilla elinaikaa
100...200 vuorokautta. _xD83D__xDE28_ Uskon
että hän kuitenkin pääsee taivaaseen.
_xD83D__xDE00__xD83D__xDE07_ #StandWithRussia #Putin4ever
#Putin</t>
  </si>
  <si>
    <t xml:space="preserve">iidavallin
</t>
  </si>
  <si>
    <t xml:space="preserve">mikaelgabriel
</t>
  </si>
  <si>
    <t xml:space="preserve">sarjanenantti
</t>
  </si>
  <si>
    <t xml:space="preserve">veitera
</t>
  </si>
  <si>
    <t xml:space="preserve">infussambas
</t>
  </si>
  <si>
    <t>hassany89
Video from social network go viral:
In #Sofia, #Bulgarian patriots
spoke out against the Russophobic
demonstration of #Ukrainian refugees
with the song #Russia #StandWithRussia
https://t.co/dg9G1bZILw</t>
  </si>
  <si>
    <t>readovkaworld
Video from social network go viral:
In #Sofia, #Bulgarian patriots
spoke out against the Russophobic
demonstration of #Ukrainian refugees
with the song #Russia #StandWithRussia
https://t.co/dg9G1bZILw</t>
  </si>
  <si>
    <t>george_w_bu
Video from social network go viral:
In #Sofia, #Bulgarian patriots
spoke out against the Russophobic
demonstration of #Ukrainian refugees
with the song #Russia #StandWithRussia
https://t.co/dg9G1bZILw</t>
  </si>
  <si>
    <t>mengistutefer16
Vladmir Putin said that "Almost
all Ukrainian grain reaching European
.However,the single shipment that
was destined for Africa got more
attention from the western media
than this one." That is how modern
media colonialism portrays Africa.
#NoMoreColonialism #StandWithRussia
https://t.co/eqNUoUARHV</t>
  </si>
  <si>
    <t>brian_lefevre_
@LucyGatsby @tucosal75136559 @WendellWickets
@Rus_Emb_Ireland Thanks I've read
that article, you should too, it
applies to the first two weeks
of the war only, and, isolated
to hashtags StandWithPutin”, “(I)StandWithRussia”,
“(I)SupportRussia”, “(I)StandWithUkraine”,
“(I)StandWithZelenskyy” and “(I)SupportUkraine”.
Comprehension is hard☹️</t>
  </si>
  <si>
    <t xml:space="preserve">rus_emb_ireland
</t>
  </si>
  <si>
    <t xml:space="preserve">wendellwickets
</t>
  </si>
  <si>
    <t xml:space="preserve">tucosal75136559
</t>
  </si>
  <si>
    <t>neprfl
Biz kazanacağız! #StandwithRussia
#Russia #Russianarmy</t>
  </si>
  <si>
    <t>doctornazab
#Putin #Russia #StandwithRussia
STAND WITH RUSSIA! https://t.co/wXqrfOR101</t>
  </si>
  <si>
    <t>alex87431641
Be aware, BUCHA 2.0 is on its way!
#StandWithRussia #StopNaziUkraine
which killed its own people! https://t.co/lhiBCoVTrI</t>
  </si>
  <si>
    <t>vasilsimeonovbg
To all my Russian friends ❤️ Russia
is love, Russia is us, Donbass
is along with us, and Crimea will
always be part of us. _xD83C__xDDF7__xD83C__xDDFA__xD83D__xDD4A__xD83C__xDDF7__xD83C__xDDFA_
_xD83C__xDDE7__xD83C__xDDEC__xD83D__xDD4A__xD83C__xDDE7__xD83C__xDDEC_ #StandWithRussia</t>
  </si>
  <si>
    <t>levin3700
@GoeringEckardt @SaraNanni @ABaerbock
#StandWithRussia _xD83C__xDDF7__xD83C__xDDFA_</t>
  </si>
  <si>
    <t xml:space="preserve">sarananni
</t>
  </si>
  <si>
    <t xml:space="preserve">goeringeckardt
</t>
  </si>
  <si>
    <t xml:space="preserve">abaerbock
</t>
  </si>
  <si>
    <t>jeanonekit
Je vous présente Vladimir #Poutine,
le président de la Grande #Russie,un
véritable homme d'État suivi par
83 % de sa population dixit son
opposition (centre levada). Ça
change du #poudré..._xD83D__xDE0F_ #StandWithRussia
_xD83C__xDDF7__xD83C__xDDFA_ #StandWithPutin _xD83D__xDCAA_ @AgentduKGB
@p_duval @Philo95857560 @060_ilou
https://t.co/B5r5gdwDrV</t>
  </si>
  <si>
    <t>hamfordjohn
Ukraine must be gone by the end
of September. Russia didn't do
it then Ukrainians does. #StandWithRussia</t>
  </si>
  <si>
    <t>bilgeozyurt
Biz kazanacağız! #StandwithRussia
#Russia #Russianarmy</t>
  </si>
  <si>
    <t>filipkatundsk
@FreilichLior The researcher is
LAZY! He has used an algorithm
to collect tweets that contain
hashtags (#(I)StandWithPutin, #(I)StandWithRussia,
#(I)SupportRussia, #(I)StandWithUkraine,
#(I)StandWithZelenskyy and #(I)SupportUkraine.)
And the results are based on that.
1/2</t>
  </si>
  <si>
    <t xml:space="preserve">josh_watt_
</t>
  </si>
  <si>
    <t xml:space="preserve">antonio27182818
</t>
  </si>
  <si>
    <t xml:space="preserve">onequantumleap
</t>
  </si>
  <si>
    <t xml:space="preserve">freilichlior
</t>
  </si>
  <si>
    <t>nzabakira4
@ukraine_world #StandWithRussia
_xD83D__xDCAA__xD83C__xDFFF_</t>
  </si>
  <si>
    <t xml:space="preserve">ukraine_world
</t>
  </si>
  <si>
    <t>serpens48
@SangreaL1965 The research was
bipartisan and analysed couplets
such as #(I)StandWithPutin - #(I)StandWithRussia
and #(I)SupportRussia - #(I)StandWithUkraine
etc. The finding was that 60 to
80% of posts using such hash tags
were from bots. No differentiation
for nation.</t>
  </si>
  <si>
    <t xml:space="preserve">sangreal1965
</t>
  </si>
  <si>
    <t>genoisemile
Les Etats-Unis réclament l'unité
des Alliés contre la Russie ...
Ou comment les Yankees demandent
une guerre mondiale pour sauver
leur économie d'obèse maladif ...
#Ukraine #Russie #StandWithRussia
https://t.co/RUcNKpVGa2</t>
  </si>
  <si>
    <t>brutionnepnm
Les Etats-Unis réclament l'unité
des Alliés contre la Russie ...
Ou comment les Yankees demandent
une guerre mondiale pour sauver
leur économie d'obèse maladif ...
#Ukraine #Russie #StandWithRussia
https://t.co/RUcNKpVGa2</t>
  </si>
  <si>
    <t>reservoir_dogs8
@cjbjcjbj #StandWithRussia</t>
  </si>
  <si>
    <t xml:space="preserve">dassenlaurens
</t>
  </si>
  <si>
    <t xml:space="preserve">gertjansegers
</t>
  </si>
  <si>
    <t xml:space="preserve">cjbjcjbj
</t>
  </si>
  <si>
    <t>patricialcq
Les Etats-Unis réclament l'unité
des Alliés contre la Russie ...
Ou comment les Yankees demandent
une guerre mondiale pour sauver
leur économie d'obèse maladif ...
#Ukraine #Russie #StandWithRussia
https://t.co/RUcNKpVGa2</t>
  </si>
  <si>
    <t>kakukktakukta
@meiselasb @general_ben #StandWithRussia
from Hungary https://t.co/Lc0IufFZg3</t>
  </si>
  <si>
    <t xml:space="preserve">jensstoltenberg
</t>
  </si>
  <si>
    <t xml:space="preserve">natopress
</t>
  </si>
  <si>
    <t xml:space="preserve">jhahneu
</t>
  </si>
  <si>
    <t xml:space="preserve">mhmck
</t>
  </si>
  <si>
    <t xml:space="preserve">general_ben
</t>
  </si>
  <si>
    <t xml:space="preserve">meiselasb
</t>
  </si>
  <si>
    <t xml:space="preserve">eu_commission
</t>
  </si>
  <si>
    <t>carlistjc
Les Etats-Unis réclament l'unité
des Alliés contre la Russie ...
Ou comment les Yankees demandent
une guerre mondiale pour sauver
leur économie d'obèse maladif ...
#Ukraine #Russie #StandWithRussia
https://t.co/RUcNKpVGa2</t>
  </si>
  <si>
    <t>ogach_69
Les Etats-Unis réclament l'unité
des Alliés contre la Russie ...
Ou comment les Yankees demandent
une guerre mondiale pour sauver
leur économie d'obèse maladif ...
#Ukraine #Russie #StandWithRussia
https://t.co/RUcNKpVGa2</t>
  </si>
  <si>
    <t>ancient_caxotte
Les Etats-Unis réclament l'unité
des Alliés contre la Russie ...
Ou comment les Yankees demandent
une guerre mondiale pour sauver
leur économie d'obèse maladif ...
#Ukraine #Russie #StandWithRussia
https://t.co/RUcNKpVGa2</t>
  </si>
  <si>
    <t>bretag_romantiq
Les Etats-Unis réclament l'unité
des Alliés contre la Russie ...
Ou comment les Yankees demandent
une guerre mondiale pour sauver
leur économie d'obèse maladif ...
#Ukraine #Russie #StandWithRussia
https://t.co/RUcNKpVGa2</t>
  </si>
  <si>
    <t>marcvin40543445
Les Etats-Unis réclament l'unité
des Alliés contre la Russie ...
Ou comment les Yankees demandent
une guerre mondiale pour sauver
leur économie d'obèse maladif ...
#Ukraine #Russie #StandWithRussia
https://t.co/RUcNKpVGa2</t>
  </si>
  <si>
    <t>gospodinnebojsa
@moveebuff1953 Yes...sim..oui #ZelenskyWarCriminal
#StopZelensky #StopNaziUkraine
#UsaEvilEmpire #StandWithRussia
#WeStandWithRussia</t>
  </si>
  <si>
    <t>jabalmiza
@hoje_no A Rússia tem o direito
de se defender contra as investidas
da NATO. A humanidade tem o direito
de lutar contra o NEONAZISMO ucraniano
#ZelenskyyWarCriminal #ZelenskyWarCriminal
#StopNato #StopNaziUkraine #StandWithRussia
#StandWithRussia_xD83C__xDDF7__xD83C__xDDFA_</t>
  </si>
  <si>
    <t xml:space="preserve">moveebuff1953
</t>
  </si>
  <si>
    <t>jfaix13
Les Etats-Unis réclament l'unité
des Alliés contre la Russie ...
Ou comment les Yankees demandent
une guerre mondiale pour sauver
leur économie d'obèse maladif ...
#Ukraine #Russie #StandWithRussia
https://t.co/RUcNKpVGa2</t>
  </si>
  <si>
    <t>ophiuse
Les Etats-Unis réclament l'unité
des Alliés contre la Russie ...
Ou comment les Yankees demandent
une guerre mondiale pour sauver
leur économie d'obèse maladif ...
#Ukraine #Russie #StandWithRussia
https://t.co/RUcNKpVGa2</t>
  </si>
  <si>
    <t xml:space="preserve">emmanuelmacron
</t>
  </si>
  <si>
    <t xml:space="preserve">zelenskyyua
</t>
  </si>
  <si>
    <t>xav0621
Les Etats-Unis réclament l'unité
des Alliés contre la Russie ...
Ou comment les Yankees demandent
une guerre mondiale pour sauver
leur économie d'obèse maladif ...
#Ukraine #Russie #StandWithRussia
https://t.co/RUcNKpVGa2</t>
  </si>
  <si>
    <t>ludwig04796864
@stratpol_site Toute la racaille
veautante, politique, médiatique
que la _xD83C__xDDEB__xD83C__xDDF7_,_xD83C__xDDEA__xD83C__xDDFA_ et + peuvent compter
qui fait du triomphalisme, chie
sur un pays solide qui refuse de
se soumettre comme eux, _xD83E__xDD22_. Le
temps est venu de leur niquer leur
mère et leur montrer quelle heure
il est. #StandWithRussia</t>
  </si>
  <si>
    <t xml:space="preserve">stratpol_site
</t>
  </si>
  <si>
    <t>edisabela1
Video from social network go viral:
In #Sofia, #Bulgarian patriots
spoke out against the Russophobic
demonstration of #Ukrainian refugees
with the song #Russia #StandWithRussia
https://t.co/dg9G1bZILw</t>
  </si>
  <si>
    <t>gerasimos2016
Βλαδίμηρε Πούτιν όταν παίρνεις
τις αποφάσεις σου θα κοιτάς κατάματα
αυτούς τους δύο...... General Qasem
Soleimani Major General Issam Zahreddine
Strength and Honour #Soleimani
#Zahreddine #StandWithRussia #Putin
#Πουτιν #Ρωσια https://t.co/LZNAD4riME</t>
  </si>
  <si>
    <t>aleksandarcbl
@jacksonhinklle But Donbas and
Krim bright shine like diamond
#StandWithRussia</t>
  </si>
  <si>
    <t xml:space="preserve">jacksonhinklle
</t>
  </si>
  <si>
    <t>levent42402926
Rus ordusu Harkov ve bölgedeki
hedeflere büyük bir darbe indiriyor
Ayrıca Slavyansk ve Konstantinovka'da
patlama haberleri geliyor. #StandwithRussia
#Russia #RussianArmy</t>
  </si>
  <si>
    <t>urlodellavolpe
L'esercito dei Bot filo-ucraini:
“In passato, le guerre sono state
combattute principalmente fisicamente,
[...] Tuttavia, i social media
hanno creato un nuovo ambiente
in cui l'opinione pubblica può
essere manipolata su larga scala"
#StandWithRussia https://t.co/Gug1p117lq
https://t.co/SMnheiEdts</t>
  </si>
  <si>
    <t>terrorsyndicate
#Belgrade #Serbia #StandWithRussia
#Orthodox _xD83C__xDDF7__xD83C__xDDFA__xD83C__xDDF7__xD83C__xDDF8_ Photos from
Belgrade! https://t.co/dhDJLs8qQg</t>
  </si>
  <si>
    <t>jameswmoore
#СлаваУкраїні! #СлаваУкраїні! #СлаваУкраїні!
#рашизм #Yкраїна #Россия #StopRussia
#SlavaUkraini #StandWithUkraine
#IStandWithUkraine #RussianArmy
#RussianAirForce #UkraineRussianWar
#UkraineUnderAttack #Ukraine #Russia
#UkraineRussiaCrisis #StandWithRussia
#IStandWithRussia</t>
  </si>
  <si>
    <t>spicymanit
#india is with u. @KremlinRussia_E
@Russia #ISupportRussia #StandWithRussia
#supportputin #StandWithPutin #RussiaUkraine
#Ukriane https://t.co/oTx3M10qAs</t>
  </si>
  <si>
    <t xml:space="preserve">russia
</t>
  </si>
  <si>
    <t>maier_maier8
#india is with u. @KremlinRussia_E
@Russia #ISupportRussia #StandWithRussia
#supportputin #StandWithPutin #RussiaUkraine
#Ukriane https://t.co/oTx3M10qAs</t>
  </si>
  <si>
    <t xml:space="preserve">kremlinrussia_e
</t>
  </si>
  <si>
    <t>freescotsman92
Self declared left wing anti imperialists
who support a conservative dictators
war of imperialist conquest all
in the name of anti imperialism
, as a way to stick it to the West
really baffle me #nwo #antiimperialism
#russia #StandWithRussia #Tankies
#handsoffukraine #socialism</t>
  </si>
  <si>
    <t>selpermer
@RusEmbTurkey #standwithrussia</t>
  </si>
  <si>
    <t xml:space="preserve">rusembturkey
</t>
  </si>
  <si>
    <t>khairulazzwa1
@howardlee_my @DrJasonLeong #StandWithRUSSIA
!!!!</t>
  </si>
  <si>
    <t xml:space="preserve">drjasonleong
</t>
  </si>
  <si>
    <t xml:space="preserve">howardlee_my
</t>
  </si>
  <si>
    <t>luckystrike2030
Dal 2013 lavora per adeguare #Kiev
agli standard #NATO.. giusto per
capire chi, e da quando sta preparando
questa guerra. #USA stato canaglia
#StandWithRussia https://t.co/c7PqYWTqI3</t>
  </si>
  <si>
    <t>palmenco08
Dal 2013 lavora per adeguare #Kiev
agli standard #NATO.. giusto per
capire chi, e da quando sta preparando
questa guerra. #USA stato canaglia
#StandWithRussia https://t.co/c7PqYWTqI3</t>
  </si>
  <si>
    <t>giovannicalcara
Dal 2013 lavora per adeguare #Kiev
agli standard #NATO.. giusto per
capire chi, e da quando sta preparando
questa guerra. #USA stato canaglia
#StandWithRussia https://t.co/c7PqYWTqI3</t>
  </si>
  <si>
    <t>robymark1
Dal 2013 lavora per adeguare #Kiev
agli standard #NATO.. giusto per
capire chi, e da quando sta preparando
questa guerra. #USA stato canaglia
#StandWithRussia https://t.co/c7PqYWTqI3</t>
  </si>
  <si>
    <t>mark_dive
@pietroraffa fantastico, più che
un tweet un concentrato di idiozie
di rara bellezza! Forza Russia!
#ForzaPutin #StandWithRussia</t>
  </si>
  <si>
    <t xml:space="preserve">ilpolemista4
</t>
  </si>
  <si>
    <t xml:space="preserve">jacopo_iacoboni
</t>
  </si>
  <si>
    <t xml:space="preserve">guerini_lorenzo
</t>
  </si>
  <si>
    <t xml:space="preserve">vita66011510
</t>
  </si>
  <si>
    <t xml:space="preserve">aldotorchiaro
</t>
  </si>
  <si>
    <t xml:space="preserve">pietroraffa
</t>
  </si>
  <si>
    <t>gamodana
Without intending to, this #NAFO
#Fella perfectly encapsulated the
gist of my analyses in this meme.
It’s time for those who #StandWithRussia
to do away with all #WishfulThinking!
Sober, serious analyses are the
need of the hour as Russia contemplates
#TotalWar _xD83D__xDCA4__xD83C__xDDF7__xD83C__xDDFA__xD83D__xDCA4_ https://t.co/pBHTXxqfR5</t>
  </si>
  <si>
    <t>akorybko
Without intending to, this #NAFO
#Fella perfectly encapsulated the
gist of my analyses in this meme.
It’s time for those who #StandWithRussia
to do away with all #WishfulThinking!
Sober, serious analyses are the
need of the hour as Russia contemplates
#TotalWar _xD83D__xDCA4__xD83C__xDDF7__xD83C__xDDFA__xD83D__xDCA4_ https://t.co/pBHTXxqfR5</t>
  </si>
  <si>
    <t>solomon73155195
@AKorybko #StandWithRussia</t>
  </si>
  <si>
    <t>mariusstannard
@SpencerGuard @judeanne66 It has
also banned every opposition party.
It is without doubt behaving like
a fascist government. #StandWithRussia
#FreePalestine #No2Fascists &amp;gt;Zionist
or Ukrainian.</t>
  </si>
  <si>
    <t xml:space="preserve">judeanne66
</t>
  </si>
  <si>
    <t xml:space="preserve">spencerguard
</t>
  </si>
  <si>
    <t>kr33b
* Najważniejsze wyniki badań to:
1) 60-80% wpisów z hashtagami #(I)StandWithPutin,
#(I)StandWithRussia, #(I)SupportRussia,
#(I)StandWithUkraine, #(I)StandWithZelenskyy
and #(I)SupportUkraine były generowane
przez boty 2) 90,16% z tych botowych
kont były "proUkraińskie" 2/</t>
  </si>
  <si>
    <t>pp_now
* Najważniejsze wyniki badań to:
1) 60-80% wpisów z hashtagami #(I)StandWithPutin,
#(I)StandWithRussia, #(I)SupportRussia,
#(I)StandWithUkraine, #(I)StandWithZelenskyy
and #(I)SupportUkraine były generowane
przez boty 2) 90,16% z tych botowych
kont były "proUkraińskie" 2/</t>
  </si>
  <si>
    <t>ymnkv
Without intending to, this #NAFO
#Fella perfectly encapsulated the
gist of my analyses in this meme.
It’s time for those who #StandWithRussia
to do away with all #WishfulThinking!
Sober, serious analyses are the
need of the hour as Russia contemplates
#TotalWar _xD83D__xDCA4__xD83C__xDDF7__xD83C__xDDFA__xD83D__xDCA4_ https://t.co/pBHTXxqfR5</t>
  </si>
  <si>
    <t>carmenacoleman
Without intending to, this #NAFO
#Fella perfectly encapsulated the
gist of my analyses in this meme.
It’s time for those who #StandWithRussia
to do away with all #WishfulThinking!
Sober, serious analyses are the
need of the hour as Russia contemplates
#TotalWar _xD83D__xDCA4__xD83C__xDDF7__xD83C__xDDFA__xD83D__xDCA4_ https://t.co/pBHTXxqfR5</t>
  </si>
  <si>
    <t>berniedelf
@ActualidadRT #PutinWarCriminal
#StandWithRussia</t>
  </si>
  <si>
    <t xml:space="preserve">actualidadrt
</t>
  </si>
  <si>
    <t>arifvns1985
@Reuters #BoycottQatar #BoycottQatar2022
#BoycottQatarFifaWorldcup2022 #BoycottFifa
#BoycottFifaWorldCup2022 #BoycottQatarAirways
#BoycottArab #BoycottPuppetsOfAmerica
#BoycottWahabiIslam #BoycottMohammadBinAbdulWahabIslam
#BoycottAljajeera #BoycottAmerica
#StandWithRussia</t>
  </si>
  <si>
    <t xml:space="preserve">reuters
</t>
  </si>
  <si>
    <t>varyagi
@TAHDMB Many in Norway also #StandWithRussia.
Good to keep history in mind at
times when the west is drowning
the masses in hysterical lies.
We'll never forget how #Russia
was first in line to recognize
our own independence in 1905, nor
how the #RedArmy later swept out
the nazis. _xD83C__xDDF3__xD83C__xDDF4_❤️_xD83C__xDDF7__xD83C__xDDFA_ https://t.co/g2SxKZAaxX</t>
  </si>
  <si>
    <t>peter_b_c
@SurfingCelia @TermitesTurd @PLnewstoday
They looked at accounts using 1
of 12 hashtags: #(I)StandWithPutin,
#(I)StandWithRussia, #(I)SupportRussia,
#(I)StandWithUkraine, #(I)StandWithZelenskyy
and #(I)SupportUkraine [12 because
with or without I, eg SupportRussia
or ISupportRussia] Why?? I have
never used any of them.</t>
  </si>
  <si>
    <t xml:space="preserve">plnewstoday
</t>
  </si>
  <si>
    <t xml:space="preserve">termitesturd
</t>
  </si>
  <si>
    <t xml:space="preserve">surfingcelia
</t>
  </si>
  <si>
    <t>cookiegonewrong
@heinrich_haupt #Putin is playing
you! #StandWithRussia. F#*#* Ukraine
F239 EU! from a small gain you
get crazy! we knew it .. but this
was a Nato way of pushing back.
time to go for WW3! And enjoy the
nukes!</t>
  </si>
  <si>
    <t xml:space="preserve">heinrich_haupt
</t>
  </si>
  <si>
    <t>theliverpooly
@Chimdi0811 @CNN Azerbaijan’s unprovoked
attacks are backed by Turkey. Turkey
is a NATO member, so sanctions
won’t be issued. #standwitharmenia
It seems sanctions are only issued
to non NATO members #standwithrussia</t>
  </si>
  <si>
    <t xml:space="preserve">cnn
</t>
  </si>
  <si>
    <t xml:space="preserve">chimdi0811
</t>
  </si>
  <si>
    <t>wille_keurige
@sunshinesaskia @pwrdbyanthony
Hoho jij leest graag wat je wil
lezen blijkbaar. #(I)StandWithPutin,
#(I)StandWithRussia, #(I)SupportRussia,
#(I)StandWithUkraine, #(I)StandWithZelenskyy
and #(I)SupportUkraine. Was 60-80%
nep oftewel ook van Russische zijde.</t>
  </si>
  <si>
    <t xml:space="preserve">pwrdbyanthony
</t>
  </si>
  <si>
    <t xml:space="preserve">sunshinesaskia
</t>
  </si>
  <si>
    <t>pxalbert1
Solche Aussagen zeigen nicht nur,
dass die Nazis jetzt bei den Grünen
zu finden sind, von wo aus sie
den Russlandfeldzug zu Ende führen
wollen, das bringt @DJanecek auch
ganz nach vorne, wenn es um die
Tribunale geht. #StandWithRussia
@HeinzPeterGnth2 #neutralgermany
https://t.co/NhSrK234V2</t>
  </si>
  <si>
    <t xml:space="preserve">heinzpetergnth2
</t>
  </si>
  <si>
    <t xml:space="preserve">djanecek
</t>
  </si>
  <si>
    <t>tamer_lannn
Hələ bəzilərinin profilində “StandwithUkraine”
yazılanları var no war deyir. Peysəllər
hələdə başa düşmürki öz ərazisini
qoruyan Ukrayna ilə Azərbaycan
arasında fərq yoxdu. Maraqlıdı
görəsən Ukrayna Krıma girəndə adlarını
dəyişdirib “StandwithRussia” eliyəcəklər
ya yox. https://t.co/PMdv41npVe</t>
  </si>
  <si>
    <t>cagataycirit12
Biz kazanacağız! #StandwithRussia
#Russia #Russianarmy</t>
  </si>
  <si>
    <t>l_spagg
@patrick_edery Dans vos rêves seulement
! ... #LaGrandeRussie #StandWithRussia
_xD83C__xDDF7__xD83C__xDDFA_</t>
  </si>
  <si>
    <t xml:space="preserve">patrick_edery
</t>
  </si>
  <si>
    <t>varangianarmy
@heyhelloirene Greetings to @WannabeTsarevna
Russia is love, Russia is us, Donbass
is along with us, and Crimea will
always be part of us. _xD83C__xDDF7__xD83C__xDDFA__xD83D__xDD4A__xD83C__xDDF7__xD83C__xDDFA_
#StandWithRussia</t>
  </si>
  <si>
    <t xml:space="preserve">wannabetsarevna
</t>
  </si>
  <si>
    <t>heyhelloirene
@heyhelloirene Greetings to @WannabeTsarevna
Russia is love, Russia is us, Donbass
is along with us, and Crimea will
always be part of us. _xD83C__xDDF7__xD83C__xDDFA__xD83D__xDD4A__xD83C__xDDF7__xD83C__xDDFA_
#StandWithRussia</t>
  </si>
  <si>
    <t>almsdoc95
@heyhelloirene Greetings to @WannabeTsarevna
Russia is love, Russia is us, Donbass
is along with us, and Crimea will
always be part of us. _xD83C__xDDF7__xD83C__xDDFA__xD83D__xDD4A__xD83C__xDDF7__xD83C__xDDFA_
#StandWithRussia</t>
  </si>
  <si>
    <t>patriotavenezo
#StandWithRussia</t>
  </si>
  <si>
    <t>yeshewalul1
#SayNoMore #TPLFMustGo #TPLFisTheCause
#TPLF #StandWithRussia #China #TrumpWasRight
#Trump #Ethiopia #Eritrea @POTUS45
@antonioguterres @Europarl_DE @vonderleyen
@AbiyAhmedAli @UlrichJvV @EmmanuelMacron
@Bundeskanzler @ABaerbock https://t.co/x77drgub57</t>
  </si>
  <si>
    <t xml:space="preserve">ulrichjvv
</t>
  </si>
  <si>
    <t xml:space="preserve">abiyahmedali
</t>
  </si>
  <si>
    <t xml:space="preserve">europarl_de
</t>
  </si>
  <si>
    <t xml:space="preserve">antonioguterres
</t>
  </si>
  <si>
    <t xml:space="preserve">potus45
</t>
  </si>
  <si>
    <t xml:space="preserve">bundeskanzler
</t>
  </si>
  <si>
    <t>milospavic_
@vonderleyen @ZelenskaUA The only
thing they’ve inspired is for Putin
to drop more bombs on their Nazi
heads. #StandWithRussia #PutinGOAT</t>
  </si>
  <si>
    <t xml:space="preserve">zelenskaua
</t>
  </si>
  <si>
    <t>ukrainewartest
App test - Ukraine should surrender
#standwithrussia</t>
  </si>
  <si>
    <t>arbontemps
Voilà pourquoi je hais l UE...
Des pitres, des clowns qui ne pensent
rien et cette armée de fonctionnaires
non élus et irresponsables devant
la loi qui nous dictent leur doxa
de marchand de fromages... #StandWithRussia
https://t.co/89BW17tROE https://t.co/YoVu464Kod</t>
  </si>
  <si>
    <t xml:space="preserve">thatdayin1992
</t>
  </si>
  <si>
    <t xml:space="preserve">pmcorchestra
</t>
  </si>
  <si>
    <t>loetitiah
Voilà pourquoi je hais l UE...
Des pitres, des clowns qui ne pensent
rien et cette armée de fonctionnaires
non élus et irresponsables devant
la loi qui nous dictent leur doxa
de marchand de fromages... #StandWithRussia
https://t.co/89BW17tROE https://t.co/YoVu464Kod</t>
  </si>
  <si>
    <t>finding_isobel
Droom lekker verder vanuit t eu-luchtkasteel,
Poetin komt je uit je nazi-hoofdkwartier
halen.. #Putiniscoming #denazifyEurope
#StandWithRussia https://t.co/f8f9urCPo8</t>
  </si>
  <si>
    <t>wimwientjes
Droom lekker verder vanuit t eu-luchtkasteel,
Poetin komt je uit je nazi-hoofdkwartier
halen.. #Putiniscoming #denazifyEurope
#StandWithRussia https://t.co/f8f9urCPo8</t>
  </si>
  <si>
    <t>witch_d0ct0r_
NATO sponsored Ukrainian rocket
hits Kindergarten in Donbass (not
the first one since 2014). #ZelenskyWarCriminal
#SanctionUkraine #DissolveNATO
#StandWithRussia https://t.co/ltcxXZnNBU</t>
  </si>
  <si>
    <t>saresistentzia
@tagesschau Es kann doch nicht
im Interesse Europas oder gar Deutschlands
sein, ein Nazi-Regime als militärische
Größe im Herzen Europas zu etablieren.
Solch Dystopie darf nicht zu unserer
Realität werden. #ArrestVdL #SanctionUkraine
#ZelenskyWarCriminal #StandWithRussia</t>
  </si>
  <si>
    <t>lux_edwards
@HEBobiwine #StandwithRUSSIA</t>
  </si>
  <si>
    <t xml:space="preserve">hebobiwine
</t>
  </si>
  <si>
    <t>ozdenozhan2
Çeçen birlikleri Neonazi avına
başladı. #StandwithRussia #Russia
https://t.co/Zj4X9w2ndk</t>
  </si>
  <si>
    <t>worldofnorth
Çeçen birlikleri Neonazi avına
başladı. #StandwithRussia #Russia
https://t.co/Zj4X9w2ndk</t>
  </si>
  <si>
    <t>1881mka1905
Çeçen birlikleri Neonazi avına
başladı. #StandwithRussia #Russia
https://t.co/Zj4X9w2ndk</t>
  </si>
  <si>
    <t>alfandioaditya1
Good Luck Boys!!! #StandWithPutin
#StandWithRussia #ЗаПобеду #СлаваРоссия
https://t.co/Uj3bY9kPEn</t>
  </si>
  <si>
    <t>rilawolf
Good Luck Boys!!! #StandWithPutin
#StandWithRussia #ЗаПобеду #СлаваРоссия
https://t.co/Uj3bY9kPEn</t>
  </si>
  <si>
    <t>lucadaini1
@EU_Commission @ZelenskaUA @vonderleyen
Von Der Leyen role is TO DISSOLVE
EUROPE in the name of @NATO and
@potus with the method of reverse
psychology.USA are masters,@Palazzo_Chigi
@Bundeskanzler @EmmanuelMacron
@BorisJohnson his disciples using
Ukronazi,all against @KremlinRussia_E.#StandWithRussia
#NotInMyName</t>
  </si>
  <si>
    <t xml:space="preserve">corriere
</t>
  </si>
  <si>
    <t xml:space="preserve">lastampa
</t>
  </si>
  <si>
    <t xml:space="preserve">repubblica
</t>
  </si>
  <si>
    <t xml:space="preserve">borisjohnson
</t>
  </si>
  <si>
    <t xml:space="preserve">palazzo_chigi
</t>
  </si>
  <si>
    <t xml:space="preserve">nato
</t>
  </si>
  <si>
    <t>bnryklmz
Ramazan Kadırov: "Ülke genelinde
sıkıyönetim ilan eder ve her türlü
silahı kullanırdım" “..İnsanları
sıkıyönetime hazırlamaya başlardım.
Yarın ne olur bilmiyoruz. Herhangi
bir dine bağlı olmayan bu şeytanların
daha çok müttefiki var. olur, çünkü
onlar şeytandır.” #StandwithRussia
https://t.co/wlfyWlGs5K</t>
  </si>
  <si>
    <t>jbl375537500
此の領域での活動を追跡している 今回、Bridget Smartのチームは
2月23日～3月8迄に投稿された以下のハッシュタグを含む全ての
tweetを入手した （# StandWithPutin、#
StandWithRussia、# SupportRussia、#
StandWithUkraine、# StandWithZelenskyy、#
SupportUkraine） 此れらのハッシュタグは、</t>
  </si>
  <si>
    <t>ekormfs1qvxzxvp
Çeçen birlikleri Neonazi avına
başladı. #StandwithRussia #Russia
https://t.co/Zj4X9w2ndk</t>
  </si>
  <si>
    <t>3ct3r
@steph_sejourne La souveraineté
européenne n'existe pas. ELLE N'EXISTE
PAS PAR DEFINITON. Retourne à l'école
petit #collabo. A mort l'#UE, justice
contre les traitres. #ViveLaFrance
#StandWithRussia #ZelenskyWarCriminal
#UkraineNazis #UrsulavonderLeyen
Souveraineté définition Larousse
: https://t.co/YOHEYwvH6E</t>
  </si>
  <si>
    <t xml:space="preserve">steph_sejourne
</t>
  </si>
  <si>
    <t>alim_gokce45
Çeçen birlikleri Neonazi avına
başladı. #StandwithRussia #Russia
https://t.co/Zj4X9w2ndk</t>
  </si>
  <si>
    <t>tekinyamur6
Rus Hava Kuvvetleri Ukrayna'nın
enerji altyapısına saldırıyor.
#StandwithRussia #Russia #Russianarmy
https://t.co/Fjxzw1Qmrf</t>
  </si>
  <si>
    <t>24_yuvi
LOL _xD83E__xDD23_ Pero ya hablando en serio:
Estamos en peligro cada que se
falsea la historia. #StandWithRussia
_xD83C__xDDF7__xD83C__xDDFA_ https://t.co/EOS3B1sZ6E</t>
  </si>
  <si>
    <t>cnyana322
Rus Hava Kuvvetleri Ukrayna'nın
enerji altyapısına saldırıyor.
#StandwithRussia #Russia #Russianarmy
https://t.co/Fjxzw1Qmrf</t>
  </si>
  <si>
    <t>tuk95993809
@Mariana_Betsa #standwithrussia
we don’t want you in Europe Ukrainian
we want your girls but nothing
else</t>
  </si>
  <si>
    <t xml:space="preserve">mariana_betsa
</t>
  </si>
  <si>
    <t>arasdal7
URA! URAAAA! #StandwithRussia #Russia
#Putin https://t.co/Obe7WmKj4J</t>
  </si>
  <si>
    <t>evabergamo
#StandWithRussia https://t.co/JoQmGlwapH</t>
  </si>
  <si>
    <t>star48625796202
Rus Hava Kuvvetleri Ukrayna'nın
enerji altyapısına saldırıyor.
#StandwithRussia #Russia #Russianarmy
https://t.co/Fjxzw1Qmrf</t>
  </si>
  <si>
    <t>tkelic
@denistrubetskoy @Bundeskanzler
Es liegt nicht in deutschem oder
europäischem Interesse, ein korruptes
rassistisches Nazi-Regime als militärische
Größe in Zentraleuropa zu etablieren.
Keine Waffen an Kiew in diesem
Stellvertreterkrieg. #ZelenskyWarCriminal
#DissolveEU #SanctionUkraine #StandWithRussia</t>
  </si>
  <si>
    <t xml:space="preserve">denistrubetskoy
</t>
  </si>
  <si>
    <t>augusto40982091
#StandWithRussia https://t.co/JxfQ148spp</t>
  </si>
  <si>
    <t>neo8emmanuel
Pandor to address Foreign Relations
Council in US #StandWithRussia
#StandwithBricks #bricks #standwithPutin
#SenzoMeyiwaTrail</t>
  </si>
  <si>
    <t>dalev82
_xD83C__xDDF7__xD83C__xDDFA__xD83E__xDD1D__xD83C__xDDF8__xD83C__xDDF0_ Большинство словаков
хотят военной победы России над
Украиной, — Euractiv публикует
результаты опроса. #StandWithRussia
https://t.co/jvnIxX0I7N</t>
  </si>
  <si>
    <t>mike_zoev
_xD83C__xDDF7__xD83C__xDDFA__xD83E__xDD1D__xD83C__xDDF8__xD83C__xDDF0_ Большинство словаков
хотят военной победы России над
Украиной, — Euractiv публикует
результаты опроса. #StandWithRussia
https://t.co/jvnIxX0I7N</t>
  </si>
  <si>
    <t>bobmozg
@JacquesFrre2 #StandWithRussia
_xD83C__xDDF7__xD83C__xDDFA_</t>
  </si>
  <si>
    <t xml:space="preserve">generalstaffua
</t>
  </si>
  <si>
    <t xml:space="preserve">snmilitary
</t>
  </si>
  <si>
    <t>furkane38029958
Çeçen birlikleri Neonazi avına
başladı. #StandwithRussia #Russia
https://t.co/Zj4X9w2ndk</t>
  </si>
  <si>
    <t>rapheluriel
@NATO has send their soldier into
Ukraine battlefield camouflage
as Ukraine 3rd Batalyon in the
latest strike against Russia by
the order America Military Commando,
they start open battle with Russia.
@UN #StandWithUkraine #StandWithRussia
#istandwithrussia</t>
  </si>
  <si>
    <t xml:space="preserve">un
</t>
  </si>
  <si>
    <t>m4rcyu5
#StandWithRussia!!! https://t.co/Ry9O69LEgi</t>
  </si>
  <si>
    <t xml:space="preserve">zzzaikar
</t>
  </si>
  <si>
    <t xml:space="preserve">ukraine66251776
</t>
  </si>
  <si>
    <t xml:space="preserve">gazetadopovo
</t>
  </si>
  <si>
    <t xml:space="preserve">otempo
</t>
  </si>
  <si>
    <t xml:space="preserve">annawrds
</t>
  </si>
  <si>
    <t xml:space="preserve">jpgmary
</t>
  </si>
  <si>
    <t xml:space="preserve">anesfoufa
</t>
  </si>
  <si>
    <t xml:space="preserve">rwapodcast
</t>
  </si>
  <si>
    <t xml:space="preserve">pablospyer
</t>
  </si>
  <si>
    <t xml:space="preserve">drericding
</t>
  </si>
  <si>
    <t xml:space="preserve">sicnoticias
</t>
  </si>
  <si>
    <t xml:space="preserve">uolnoticias
</t>
  </si>
  <si>
    <t xml:space="preserve">hoje_no
</t>
  </si>
  <si>
    <t>_b0lil0d_
どこを見ている！キエフはここだ https://t.co/MH7lcSK7fm
#LIBEREAL #standwithrussia</t>
  </si>
  <si>
    <t>krollspellt
@franceinter @LaurenceBoone Il
ne faut pas être naïfs : la macronie
et l'UE utilisent tous les moyens
possibles et imaginables pour faire
passer leur propagande russophobe
partout où elles peuvent. Mais
on y résiste ! #StandWithRussia</t>
  </si>
  <si>
    <t xml:space="preserve">fredinmoldova
</t>
  </si>
  <si>
    <t xml:space="preserve">laurenceboone
</t>
  </si>
  <si>
    <t xml:space="preserve">franceinter
</t>
  </si>
  <si>
    <t>godandtrump114
@ronin19217435 @MinnieM96252794
No war! All fake news designed
to make Russia look bad! #StandWithRussia</t>
  </si>
  <si>
    <t xml:space="preserve">minniem96252794
</t>
  </si>
  <si>
    <t xml:space="preserve">ronin19217435
</t>
  </si>
  <si>
    <t xml:space="preserve">jacquesfrre2
</t>
  </si>
  <si>
    <t>m_degage
@JacquesFrre2 #StandWithRussia
_xD83C__xDDF7__xD83C__xDDFA_</t>
  </si>
  <si>
    <t>reinbow05061512
https://t.co/BPqSYvvxSd #Tchaikovsky
#LGBT #ロシア正教 #RussianOrthodox #ロシア
#russia #セクマイさん #standwithrussia
#allthethingshesaid #tatu #ティプシー
#inizon #1d</t>
  </si>
  <si>
    <t>34berkut
_xD83C__xDDF7__xD83C__xDDFA__xD83E__xDD1D__xD83C__xDDF8__xD83C__xDDF0_ Большинство словаков
хотят военной победы России над
Украиной, — Euractiv публикует
результаты опроса. #StandWithRussia
https://t.co/jvnIxX0I7N</t>
  </si>
  <si>
    <t>valer2valerie
@CNEWS Moi je soutiendrais @vladpoutine_fr
le temps qui faudra !#LA HONTE
#Macronlevatenguerre #MacronNousPrendPourDesCons
#StandWithRussia #soutienlaRussie</t>
  </si>
  <si>
    <t xml:space="preserve">robertmenardfr
</t>
  </si>
  <si>
    <t xml:space="preserve">vladpoutine_fr
</t>
  </si>
  <si>
    <t xml:space="preserve">cnews
</t>
  </si>
  <si>
    <t>mnogomama4170
_xD83C__xDDF7__xD83C__xDDFA__xD83E__xDD1D__xD83C__xDDF8__xD83C__xDDF0_ Большинство словаков
хотят военной победы России над
Украиной, — Euractiv публикует
результаты опроса. #StandWithRussia
https://t.co/jvnIxX0I7N</t>
  </si>
  <si>
    <t xml:space="preserve">jowadephul
</t>
  </si>
  <si>
    <t xml:space="preserve">christopherjm
</t>
  </si>
  <si>
    <t xml:space="preserve">daserste
</t>
  </si>
  <si>
    <t xml:space="preserve">carlomasala1
</t>
  </si>
  <si>
    <t xml:space="preserve">melnykandrij
</t>
  </si>
  <si>
    <t xml:space="preserve">maischberger
</t>
  </si>
  <si>
    <t xml:space="preserve">_friedrichmerz
</t>
  </si>
  <si>
    <t xml:space="preserve">welt
</t>
  </si>
  <si>
    <t xml:space="preserve">stagerbn
</t>
  </si>
  <si>
    <t xml:space="preserve">focusonline
</t>
  </si>
  <si>
    <t xml:space="preserve">miro_spd
</t>
  </si>
  <si>
    <t xml:space="preserve">denys_shmyhal
</t>
  </si>
  <si>
    <t xml:space="preserve">smartdecoro
</t>
  </si>
  <si>
    <t xml:space="preserve">tagesschau
</t>
  </si>
  <si>
    <t>seekingreader
Und wann es in #Europa so richtig
kalt wird und ihr und eure Kinder
und älteren friert dann denkt daran
für wem ihr das macht #Ukraine
ist euch sicher dankbar. #supportrussia
#StandWithRussia https://t.co/ydqIm895Y5</t>
  </si>
  <si>
    <t>croisefranco
Je vous présente Vladimir #Poutine,
le président de la Grande #Russie,un
véritable homme d'État suivi par
83 % de sa population dixit son
opposition (centre levada). Ça
change du #poudré..._xD83D__xDE0F_ #StandWithRussia
_xD83C__xDDF7__xD83C__xDDFA_ #StandWithPutin _xD83D__xDCAA_ @AgentduKGB
@p_duval @Philo95857560 @060_ilou
https://t.co/B5r5gdwDrV</t>
  </si>
  <si>
    <t>Directed</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</si>
  <si>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</si>
  <si>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</si>
  <si>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</si>
  <si>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</si>
  <si>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</si>
  <si>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</si>
  <si>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</si>
  <si>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</si>
  <si>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</si>
  <si>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</si>
  <si>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</si>
  <si>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</si>
  <si>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</si>
  <si>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</si>
  <si>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</si>
  <si>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</si>
  <si>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</si>
  <si>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</si>
  <si>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</si>
  <si>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</si>
  <si>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</si>
  <si>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</si>
  <si>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</si>
  <si>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</si>
  <si>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</si>
  <si>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</si>
  <si>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</si>
  <si>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</si>
  <si>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</si>
  <si>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</si>
  <si>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</si>
  <si>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</si>
  <si>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</si>
  <si>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</si>
  <si>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</si>
  <si>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</si>
  <si>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</si>
  <si>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</si>
  <si>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</si>
  <si>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</si>
  <si>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</si>
  <si>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</si>
  <si>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</si>
  <si>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</si>
  <si>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</si>
  <si>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</si>
  <si>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</si>
  <si>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</si>
  <si>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</si>
  <si>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</si>
  <si>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</si>
  <si>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</si>
  <si>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</si>
  <si>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</si>
  <si>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</si>
  <si>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</si>
  <si>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</si>
  <si>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</si>
  <si>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</si>
  <si>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</si>
  <si>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</si>
  <si>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</si>
  <si>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</si>
  <si>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</si>
  <si>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</si>
  <si>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</si>
  <si>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</si>
  <si>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</si>
  <si>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</si>
  <si>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</si>
  <si>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</si>
  <si>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</si>
  <si>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</si>
  <si>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</si>
  <si>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</si>
  <si>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</si>
  <si>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</si>
  <si>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</si>
  <si>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</si>
  <si>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</si>
  <si>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</si>
  <si>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</si>
  <si>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</si>
  <si>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</si>
  <si>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</si>
  <si>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#standwithrussia</t>
  </si>
  <si>
    <t>#russia</t>
  </si>
  <si>
    <t>#</t>
  </si>
  <si>
    <t>#ティプシー</t>
  </si>
  <si>
    <t>#inizon</t>
  </si>
  <si>
    <t>#1d</t>
  </si>
  <si>
    <t>#zelenskywarcriminal</t>
  </si>
  <si>
    <t>media</t>
  </si>
  <si>
    <t>africa</t>
  </si>
  <si>
    <t>#russianarmy</t>
  </si>
  <si>
    <t>#tchaikovsky</t>
  </si>
  <si>
    <t>#lgbt</t>
  </si>
  <si>
    <t>#ロシア正教</t>
  </si>
  <si>
    <t>#russianorthodox</t>
  </si>
  <si>
    <t>#ロシア</t>
  </si>
  <si>
    <t>#セクマイさん</t>
  </si>
  <si>
    <t>#allthethingshesaid</t>
  </si>
  <si>
    <t>#tatu</t>
  </si>
  <si>
    <t>ukrainian</t>
  </si>
  <si>
    <t>putin</t>
  </si>
  <si>
    <t>one</t>
  </si>
  <si>
    <t>more</t>
  </si>
  <si>
    <t>ニセモノ</t>
  </si>
  <si>
    <t>#やらせ</t>
  </si>
  <si>
    <t>#フェイク</t>
  </si>
  <si>
    <t>ve</t>
  </si>
  <si>
    <t>european</t>
  </si>
  <si>
    <t>single</t>
  </si>
  <si>
    <t>#sanctionukraine</t>
  </si>
  <si>
    <t>die</t>
  </si>
  <si>
    <t>leur</t>
  </si>
  <si>
    <t>vladmir</t>
  </si>
  <si>
    <t>grain</t>
  </si>
  <si>
    <t>reaching</t>
  </si>
  <si>
    <t>shipment</t>
  </si>
  <si>
    <t>destined</t>
  </si>
  <si>
    <t>attention</t>
  </si>
  <si>
    <t>western</t>
  </si>
  <si>
    <t>modern</t>
  </si>
  <si>
    <t>colonialism</t>
  </si>
  <si>
    <t>portrays</t>
  </si>
  <si>
    <t>#nomorecolonialism</t>
  </si>
  <si>
    <t>#russie</t>
  </si>
  <si>
    <t>#ukraine</t>
  </si>
  <si>
    <t>ukraine</t>
  </si>
  <si>
    <t>#standwithputin</t>
  </si>
  <si>
    <t>love</t>
  </si>
  <si>
    <t>birlikleri</t>
  </si>
  <si>
    <t>#putin</t>
  </si>
  <si>
    <t>contre</t>
  </si>
  <si>
    <t>nazi</t>
  </si>
  <si>
    <t>regime</t>
  </si>
  <si>
    <t>2013</t>
  </si>
  <si>
    <t>war</t>
  </si>
  <si>
    <t>#stopnato</t>
  </si>
  <si>
    <t>rus</t>
  </si>
  <si>
    <t>russie</t>
  </si>
  <si>
    <t>pro</t>
  </si>
  <si>
    <t>#stopnaziukraine</t>
  </si>
  <si>
    <t>against</t>
  </si>
  <si>
    <t>supportrussia</t>
  </si>
  <si>
    <t>guerre</t>
  </si>
  <si>
    <t>standwithputin</t>
  </si>
  <si>
    <t>standwithukraine</t>
  </si>
  <si>
    <t>etats</t>
  </si>
  <si>
    <t>unis</t>
  </si>
  <si>
    <t>réclament</t>
  </si>
  <si>
    <t>l'unité</t>
  </si>
  <si>
    <t>alliés</t>
  </si>
  <si>
    <t>comment</t>
  </si>
  <si>
    <t>yankees</t>
  </si>
  <si>
    <t>demandent</t>
  </si>
  <si>
    <t>mondiale</t>
  </si>
  <si>
    <t>sauver</t>
  </si>
  <si>
    <t>économie</t>
  </si>
  <si>
    <t>d'obèse</t>
  </si>
  <si>
    <t>maladif</t>
  </si>
  <si>
    <t>things</t>
  </si>
  <si>
    <t>show</t>
  </si>
  <si>
    <t>#stopzelensky</t>
  </si>
  <si>
    <t>#standwithukraine</t>
  </si>
  <si>
    <t>go</t>
  </si>
  <si>
    <t>live</t>
  </si>
  <si>
    <t>special</t>
  </si>
  <si>
    <t>fight</t>
  </si>
  <si>
    <t>どこを見ている</t>
  </si>
  <si>
    <t>キエフはここだ</t>
  </si>
  <si>
    <t>#libereal</t>
  </si>
  <si>
    <t>silahlı</t>
  </si>
  <si>
    <t>#dissolveeu</t>
  </si>
  <si>
    <t>forces'</t>
  </si>
  <si>
    <t>donbass</t>
  </si>
  <si>
    <t>çeçen</t>
  </si>
  <si>
    <t>neonazi</t>
  </si>
  <si>
    <t>avına</t>
  </si>
  <si>
    <t>başladı</t>
  </si>
  <si>
    <t>kuvvetleri</t>
  </si>
  <si>
    <t>ukronazi</t>
  </si>
  <si>
    <t>standwithzelenskyy</t>
  </si>
  <si>
    <t>supportukraine</t>
  </si>
  <si>
    <t>never</t>
  </si>
  <si>
    <t>always</t>
  </si>
  <si>
    <t>60</t>
  </si>
  <si>
    <t>80</t>
  </si>
  <si>
    <t>analyses</t>
  </si>
  <si>
    <t>study</t>
  </si>
  <si>
    <t>par</t>
  </si>
  <si>
    <t>tem</t>
  </si>
  <si>
    <t>direito</t>
  </si>
  <si>
    <t>contra</t>
  </si>
  <si>
    <t>#zelenskyywarcriminal</t>
  </si>
  <si>
    <t>sim</t>
  </si>
  <si>
    <t>right</t>
  </si>
  <si>
    <t>amp</t>
  </si>
  <si>
    <t>ukrayna</t>
  </si>
  <si>
    <t>#nato</t>
  </si>
  <si>
    <t>stellvertreterkrieg</t>
  </si>
  <si>
    <t>time</t>
  </si>
  <si>
    <t>ça</t>
  </si>
  <si>
    <t>hava</t>
  </si>
  <si>
    <t>olur</t>
  </si>
  <si>
    <t>bir</t>
  </si>
  <si>
    <t>harkov</t>
  </si>
  <si>
    <t>non</t>
  </si>
  <si>
    <t>without</t>
  </si>
  <si>
    <t>those</t>
  </si>
  <si>
    <t>90</t>
  </si>
  <si>
    <t>opposition</t>
  </si>
  <si>
    <t>grande</t>
  </si>
  <si>
    <t>während</t>
  </si>
  <si>
    <t>insolvenzen</t>
  </si>
  <si>
    <t>keine</t>
  </si>
  <si>
    <t>rassisten</t>
  </si>
  <si>
    <t>waffen</t>
  </si>
  <si>
    <t>rússia</t>
  </si>
  <si>
    <t>defender</t>
  </si>
  <si>
    <t>fascist</t>
  </si>
  <si>
    <t>boyunca</t>
  </si>
  <si>
    <t>biz</t>
  </si>
  <si>
    <t>kazanacağız</t>
  </si>
  <si>
    <t>giusto</t>
  </si>
  <si>
    <t>good</t>
  </si>
  <si>
    <t>first</t>
  </si>
  <si>
    <t>along</t>
  </si>
  <si>
    <t>crimea</t>
  </si>
  <si>
    <t>part</t>
  </si>
  <si>
    <t>way</t>
  </si>
  <si>
    <t>accounts</t>
  </si>
  <si>
    <t>#forzaputin</t>
  </si>
  <si>
    <t>social</t>
  </si>
  <si>
    <t>video</t>
  </si>
  <si>
    <t>bots</t>
  </si>
  <si>
    <t>twitter</t>
  </si>
  <si>
    <t>présente</t>
  </si>
  <si>
    <t>vladimir</t>
  </si>
  <si>
    <t>#poutine</t>
  </si>
  <si>
    <t>président</t>
  </si>
  <si>
    <t>véritable</t>
  </si>
  <si>
    <t>homme</t>
  </si>
  <si>
    <t>d'état</t>
  </si>
  <si>
    <t>suivi</t>
  </si>
  <si>
    <t>83</t>
  </si>
  <si>
    <t>sa</t>
  </si>
  <si>
    <t>population</t>
  </si>
  <si>
    <t>dixit</t>
  </si>
  <si>
    <t>centre</t>
  </si>
  <si>
    <t>levada</t>
  </si>
  <si>
    <t>change</t>
  </si>
  <si>
    <t>#poudré</t>
  </si>
  <si>
    <t>agentdukgb</t>
  </si>
  <si>
    <t>militärische</t>
  </si>
  <si>
    <t>größe</t>
  </si>
  <si>
    <t>korrupten</t>
  </si>
  <si>
    <t>kiew</t>
  </si>
  <si>
    <t>washington</t>
  </si>
  <si>
    <t>#dissolvenato</t>
  </si>
  <si>
    <t>rassistisches</t>
  </si>
  <si>
    <t>power</t>
  </si>
  <si>
    <t>большинство</t>
  </si>
  <si>
    <t>словаков</t>
  </si>
  <si>
    <t>хотят</t>
  </si>
  <si>
    <t>военной</t>
  </si>
  <si>
    <t>победы</t>
  </si>
  <si>
    <t>россии</t>
  </si>
  <si>
    <t>над</t>
  </si>
  <si>
    <t>украиной</t>
  </si>
  <si>
    <t>euractiv</t>
  </si>
  <si>
    <t>публикует</t>
  </si>
  <si>
    <t>результаты</t>
  </si>
  <si>
    <t>опроса</t>
  </si>
  <si>
    <t>votre</t>
  </si>
  <si>
    <t>peuvent</t>
  </si>
  <si>
    <t>investidas</t>
  </si>
  <si>
    <t>yes</t>
  </si>
  <si>
    <t>defend</t>
  </si>
  <si>
    <t>ukrayna'nın</t>
  </si>
  <si>
    <t>enerji</t>
  </si>
  <si>
    <t>altyapısına</t>
  </si>
  <si>
    <t>saldırıyor</t>
  </si>
  <si>
    <t>#russian</t>
  </si>
  <si>
    <t>var</t>
  </si>
  <si>
    <t>ura</t>
  </si>
  <si>
    <t>uraaaa</t>
  </si>
  <si>
    <t>rf</t>
  </si>
  <si>
    <t>günaydın</t>
  </si>
  <si>
    <t>wagner</t>
  </si>
  <si>
    <t>grubu</t>
  </si>
  <si>
    <t>konser</t>
  </si>
  <si>
    <t>öncesi</t>
  </si>
  <si>
    <t>hazırlıklarını</t>
  </si>
  <si>
    <t>tamamladı</t>
  </si>
  <si>
    <t>#wagnergroup</t>
  </si>
  <si>
    <t>people</t>
  </si>
  <si>
    <t>mai</t>
  </si>
  <si>
    <t>ue</t>
  </si>
  <si>
    <t>élus</t>
  </si>
  <si>
    <t>greetings</t>
  </si>
  <si>
    <t>mehr</t>
  </si>
  <si>
    <t>sanctions</t>
  </si>
  <si>
    <t>hashtags</t>
  </si>
  <si>
    <t>intending</t>
  </si>
  <si>
    <t>#nafo</t>
  </si>
  <si>
    <t>#fella</t>
  </si>
  <si>
    <t>perfectly</t>
  </si>
  <si>
    <t>encapsulated</t>
  </si>
  <si>
    <t>gist</t>
  </si>
  <si>
    <t>meme</t>
  </si>
  <si>
    <t>away</t>
  </si>
  <si>
    <t>#wishfulthinking</t>
  </si>
  <si>
    <t>sober</t>
  </si>
  <si>
    <t>serious</t>
  </si>
  <si>
    <t>need</t>
  </si>
  <si>
    <t>hour</t>
  </si>
  <si>
    <t>contemplates</t>
  </si>
  <si>
    <t>#totalwar</t>
  </si>
  <si>
    <t>były</t>
  </si>
  <si>
    <t>2022</t>
  </si>
  <si>
    <t>dal</t>
  </si>
  <si>
    <t>lavora</t>
  </si>
  <si>
    <t>adeguare</t>
  </si>
  <si>
    <t>#kiev</t>
  </si>
  <si>
    <t>agli</t>
  </si>
  <si>
    <t>standard</t>
  </si>
  <si>
    <t>capire</t>
  </si>
  <si>
    <t>chi</t>
  </si>
  <si>
    <t>quando</t>
  </si>
  <si>
    <t>sta</t>
  </si>
  <si>
    <t>preparando</t>
  </si>
  <si>
    <t>questa</t>
  </si>
  <si>
    <t>guerra</t>
  </si>
  <si>
    <t>#usa</t>
  </si>
  <si>
    <t>stato</t>
  </si>
  <si>
    <t>canaglia</t>
  </si>
  <si>
    <t>network</t>
  </si>
  <si>
    <t>viral</t>
  </si>
  <si>
    <t>#sofia</t>
  </si>
  <si>
    <t>#bulgarian</t>
  </si>
  <si>
    <t>patriots</t>
  </si>
  <si>
    <t>spoke</t>
  </si>
  <si>
    <t>russophobic</t>
  </si>
  <si>
    <t>demonstration</t>
  </si>
  <si>
    <t>#ukrainian</t>
  </si>
  <si>
    <t>refugees</t>
  </si>
  <si>
    <t>song</t>
  </si>
  <si>
    <t>hungary</t>
  </si>
  <si>
    <t>australian</t>
  </si>
  <si>
    <t>university</t>
  </si>
  <si>
    <t>coverage</t>
  </si>
  <si>
    <t>examining</t>
  </si>
  <si>
    <t>5m</t>
  </si>
  <si>
    <t>conclusion</t>
  </si>
  <si>
    <t>posting</t>
  </si>
  <si>
    <t>unapologetically</t>
  </si>
  <si>
    <t>full</t>
  </si>
  <si>
    <t>leurs</t>
  </si>
  <si>
    <t>macht</t>
  </si>
  <si>
    <t>interesse</t>
  </si>
  <si>
    <t>europas</t>
  </si>
  <si>
    <t>etablieren</t>
  </si>
  <si>
    <t>#arrestvdl</t>
  </si>
  <si>
    <t>unterstützt</t>
  </si>
  <si>
    <t>korruptes</t>
  </si>
  <si>
    <t>corrupt</t>
  </si>
  <si>
    <t>racist</t>
  </si>
  <si>
    <t>military</t>
  </si>
  <si>
    <t>heart</t>
  </si>
  <si>
    <t>#eu</t>
  </si>
  <si>
    <t>faut</t>
  </si>
  <si>
    <t>être</t>
  </si>
  <si>
    <t>humanidade</t>
  </si>
  <si>
    <t>neonazismo</t>
  </si>
  <si>
    <t>ucraniano</t>
  </si>
  <si>
    <t>oui</t>
  </si>
  <si>
    <t>itself</t>
  </si>
  <si>
    <t>onslaughts</t>
  </si>
  <si>
    <t>humanity</t>
  </si>
  <si>
    <t>kiev</t>
  </si>
  <si>
    <t>dhc</t>
  </si>
  <si>
    <t>lhc</t>
  </si>
  <si>
    <t>kuvvetleri'nin</t>
  </si>
  <si>
    <t>ateş</t>
  </si>
  <si>
    <t>desteğiyle</t>
  </si>
  <si>
    <t>nikolaevka</t>
  </si>
  <si>
    <t>ikinci</t>
  </si>
  <si>
    <t>nikolaevka'yı</t>
  </si>
  <si>
    <t>özgürleştirdi</t>
  </si>
  <si>
    <t>ramazan</t>
  </si>
  <si>
    <t>kadırov</t>
  </si>
  <si>
    <t>ülke</t>
  </si>
  <si>
    <t>genelinde</t>
  </si>
  <si>
    <t>sıkıyönetim</t>
  </si>
  <si>
    <t>ilan</t>
  </si>
  <si>
    <t>eder</t>
  </si>
  <si>
    <t>türlü</t>
  </si>
  <si>
    <t>silahı</t>
  </si>
  <si>
    <t>kullanırdım</t>
  </si>
  <si>
    <t>insanları</t>
  </si>
  <si>
    <t>sıkıyönetime</t>
  </si>
  <si>
    <t>hazırlamaya</t>
  </si>
  <si>
    <t>başlardım</t>
  </si>
  <si>
    <t>yarın</t>
  </si>
  <si>
    <t>bilmiyoruz</t>
  </si>
  <si>
    <t>herhangi</t>
  </si>
  <si>
    <t>dine</t>
  </si>
  <si>
    <t>bağlı</t>
  </si>
  <si>
    <t>olmayan</t>
  </si>
  <si>
    <t>bu</t>
  </si>
  <si>
    <t>şeytanların</t>
  </si>
  <si>
    <t>daha</t>
  </si>
  <si>
    <t>çok</t>
  </si>
  <si>
    <t>müttefiki</t>
  </si>
  <si>
    <t>çünkü</t>
  </si>
  <si>
    <t>onlar</t>
  </si>
  <si>
    <t>şeytandır</t>
  </si>
  <si>
    <t>medyası</t>
  </si>
  <si>
    <t>askeri</t>
  </si>
  <si>
    <t>uçaklarının</t>
  </si>
  <si>
    <t>doğu</t>
  </si>
  <si>
    <t>sınırı</t>
  </si>
  <si>
    <t>uçtuğunu</t>
  </si>
  <si>
    <t>bildirdi</t>
  </si>
  <si>
    <t>metrosu</t>
  </si>
  <si>
    <t>işığına</t>
  </si>
  <si>
    <t>oldu</t>
  </si>
  <si>
    <t>rusya</t>
  </si>
  <si>
    <t>donetsk</t>
  </si>
  <si>
    <t>halk</t>
  </si>
  <si>
    <t>cumhuriyeti</t>
  </si>
  <si>
    <t>saldırılarını</t>
  </si>
  <si>
    <t>püskürtüyor</t>
  </si>
  <si>
    <t>ordusu</t>
  </si>
  <si>
    <t>bölgedeki</t>
  </si>
  <si>
    <t>hedeflere</t>
  </si>
  <si>
    <t>büyük</t>
  </si>
  <si>
    <t>darbe</t>
  </si>
  <si>
    <t>indiriyor</t>
  </si>
  <si>
    <t>ayrıca</t>
  </si>
  <si>
    <t>slavyansk</t>
  </si>
  <si>
    <t>konstantinovka'da</t>
  </si>
  <si>
    <t>patlama</t>
  </si>
  <si>
    <t>haberleri</t>
  </si>
  <si>
    <t>geliyor</t>
  </si>
  <si>
    <t>name</t>
  </si>
  <si>
    <t>using</t>
  </si>
  <si>
    <t>russian</t>
  </si>
  <si>
    <t>killed</t>
  </si>
  <si>
    <t>plant</t>
  </si>
  <si>
    <t>over</t>
  </si>
  <si>
    <t>luck</t>
  </si>
  <si>
    <t>nazis</t>
  </si>
  <si>
    <t>used</t>
  </si>
  <si>
    <t>keep</t>
  </si>
  <si>
    <t>west</t>
  </si>
  <si>
    <t>tweets</t>
  </si>
  <si>
    <t>#славаукраїні</t>
  </si>
  <si>
    <t>slava</t>
  </si>
  <si>
    <t>sanktionen</t>
  </si>
  <si>
    <t>wirken</t>
  </si>
  <si>
    <t>abbau</t>
  </si>
  <si>
    <t>deutschen</t>
  </si>
  <si>
    <t>wirtschaft</t>
  </si>
  <si>
    <t>läuft</t>
  </si>
  <si>
    <t>gut</t>
  </si>
  <si>
    <t>gesamten</t>
  </si>
  <si>
    <t>rund</t>
  </si>
  <si>
    <t>1200</t>
  </si>
  <si>
    <t>kam</t>
  </si>
  <si>
    <t>aktuell</t>
  </si>
  <si>
    <t>tag</t>
  </si>
  <si>
    <t>1000</t>
  </si>
  <si>
    <t>gemeldet</t>
  </si>
  <si>
    <t>#deindustrialisierung</t>
  </si>
  <si>
    <t>#habeck</t>
  </si>
  <si>
    <t>paradigmenwechsel</t>
  </si>
  <si>
    <t>grundrechtseinschränkungen</t>
  </si>
  <si>
    <t>reise</t>
  </si>
  <si>
    <t>bewegungsfreiheit</t>
  </si>
  <si>
    <t>neuen</t>
  </si>
  <si>
    <t>eisernen</t>
  </si>
  <si>
    <t>vorgang</t>
  </si>
  <si>
    <t>errichtet</t>
  </si>
  <si>
    <t>entscheidet</t>
  </si>
  <si>
    <t>russland</t>
  </si>
  <si>
    <t>freiheit</t>
  </si>
  <si>
    <t>menschenrechte</t>
  </si>
  <si>
    <t>#snowden</t>
  </si>
  <si>
    <t>#visabanforrussians</t>
  </si>
  <si>
    <t>#fuckukronazis</t>
  </si>
  <si>
    <t>silence</t>
  </si>
  <si>
    <t>#mondialisme</t>
  </si>
  <si>
    <t>#pegremondialiste</t>
  </si>
  <si>
    <t>#ue</t>
  </si>
  <si>
    <t>wann</t>
  </si>
  <si>
    <t>herzen</t>
  </si>
  <si>
    <t>darf</t>
  </si>
  <si>
    <t>unterstützung</t>
  </si>
  <si>
    <t>waffenlieferungen</t>
  </si>
  <si>
    <t>korrupte</t>
  </si>
  <si>
    <t>fordert</t>
  </si>
  <si>
    <t>gemein</t>
  </si>
  <si>
    <t>kriegsverbrechern</t>
  </si>
  <si>
    <t>müssen</t>
  </si>
  <si>
    <t>allowed</t>
  </si>
  <si>
    <t>endlich</t>
  </si>
  <si>
    <t>temps</t>
  </si>
  <si>
    <t>êtes</t>
  </si>
  <si>
    <t>tweet</t>
  </si>
  <si>
    <t>fait</t>
  </si>
  <si>
    <t>look</t>
  </si>
  <si>
    <t>mais</t>
  </si>
  <si>
    <t>lutar</t>
  </si>
  <si>
    <t>resist</t>
  </si>
  <si>
    <t>arsenal</t>
  </si>
  <si>
    <t>#stopnatonow</t>
  </si>
  <si>
    <t>open</t>
  </si>
  <si>
    <t>#istandwithrussia</t>
  </si>
  <si>
    <t>liegt</t>
  </si>
  <si>
    <t>deutschem</t>
  </si>
  <si>
    <t>europäischem</t>
  </si>
  <si>
    <t>zentraleuropa</t>
  </si>
  <si>
    <t>tüm</t>
  </si>
  <si>
    <t>cephe</t>
  </si>
  <si>
    <t>hattı</t>
  </si>
  <si>
    <t>topçu</t>
  </si>
  <si>
    <t>saldırıları</t>
  </si>
  <si>
    <t>gerçekleştiriyor</t>
  </si>
  <si>
    <t>aktif</t>
  </si>
  <si>
    <t>olarak</t>
  </si>
  <si>
    <t>keşifleri</t>
  </si>
  <si>
    <t>yürütüyor</t>
  </si>
  <si>
    <t>kuvvetleri'ne</t>
  </si>
  <si>
    <t>ait</t>
  </si>
  <si>
    <t>tesislere</t>
  </si>
  <si>
    <t>yüksek</t>
  </si>
  <si>
    <t>hassasiyetli</t>
  </si>
  <si>
    <t>silahlarla</t>
  </si>
  <si>
    <t>saldırı</t>
  </si>
  <si>
    <t>gerçekleştirdi</t>
  </si>
  <si>
    <t>don</t>
  </si>
  <si>
    <t>nothing</t>
  </si>
  <si>
    <t>souveraineté</t>
  </si>
  <si>
    <t>n'existe</t>
  </si>
  <si>
    <t>usa</t>
  </si>
  <si>
    <t>#notinmyname</t>
  </si>
  <si>
    <t>nel</t>
  </si>
  <si>
    <t>#standwithukriane</t>
  </si>
  <si>
    <t>riguardo</t>
  </si>
  <si>
    <t>pay</t>
  </si>
  <si>
    <t>thing</t>
  </si>
  <si>
    <t>boys</t>
  </si>
  <si>
    <t>#запобеду</t>
  </si>
  <si>
    <t>#славароссия</t>
  </si>
  <si>
    <t>sponsored</t>
  </si>
  <si>
    <t>rocket</t>
  </si>
  <si>
    <t>hits</t>
  </si>
  <si>
    <t>kindergarten</t>
  </si>
  <si>
    <t>2014</t>
  </si>
  <si>
    <t>mrs</t>
  </si>
  <si>
    <t>support</t>
  </si>
  <si>
    <t>droom</t>
  </si>
  <si>
    <t>lekker</t>
  </si>
  <si>
    <t>verder</t>
  </si>
  <si>
    <t>vanuit</t>
  </si>
  <si>
    <t>luchtkasteel</t>
  </si>
  <si>
    <t>poetin</t>
  </si>
  <si>
    <t>komt</t>
  </si>
  <si>
    <t>uit</t>
  </si>
  <si>
    <t>hoofdkwartier</t>
  </si>
  <si>
    <t>halen</t>
  </si>
  <si>
    <t>#putiniscoming</t>
  </si>
  <si>
    <t>#denazifyeurope</t>
  </si>
  <si>
    <t>voilà</t>
  </si>
  <si>
    <t>pourquoi</t>
  </si>
  <si>
    <t>hais</t>
  </si>
  <si>
    <t>pitres</t>
  </si>
  <si>
    <t>clowns</t>
  </si>
  <si>
    <t>pensent</t>
  </si>
  <si>
    <t>rien</t>
  </si>
  <si>
    <t>cette</t>
  </si>
  <si>
    <t>armée</t>
  </si>
  <si>
    <t>fonctionnaires</t>
  </si>
  <si>
    <t>irresponsables</t>
  </si>
  <si>
    <t>devant</t>
  </si>
  <si>
    <t>loi</t>
  </si>
  <si>
    <t>dictent</t>
  </si>
  <si>
    <t>doxa</t>
  </si>
  <si>
    <t>marchand</t>
  </si>
  <si>
    <t>fromages</t>
  </si>
  <si>
    <t>russlandfeldzug</t>
  </si>
  <si>
    <t>tote</t>
  </si>
  <si>
    <t>jij</t>
  </si>
  <si>
    <t>turkey</t>
  </si>
  <si>
    <t>issued</t>
  </si>
  <si>
    <t>seems</t>
  </si>
  <si>
    <t>12</t>
  </si>
  <si>
    <t>tahdmb</t>
  </si>
  <si>
    <t>many</t>
  </si>
  <si>
    <t>norway</t>
  </si>
  <si>
    <t>history</t>
  </si>
  <si>
    <t>mind</t>
  </si>
  <si>
    <t>times</t>
  </si>
  <si>
    <t>drowning</t>
  </si>
  <si>
    <t>masses</t>
  </si>
  <si>
    <t>hysterical</t>
  </si>
  <si>
    <t>lies</t>
  </si>
  <si>
    <t>forget</t>
  </si>
  <si>
    <t>line</t>
  </si>
  <si>
    <t>recognize</t>
  </si>
  <si>
    <t>independence</t>
  </si>
  <si>
    <t>1905</t>
  </si>
  <si>
    <t>#redarmy</t>
  </si>
  <si>
    <t>later</t>
  </si>
  <si>
    <t>swept</t>
  </si>
  <si>
    <t>#putinwarcriminal</t>
  </si>
  <si>
    <t>najważniejsze</t>
  </si>
  <si>
    <t>wyniki</t>
  </si>
  <si>
    <t>badań</t>
  </si>
  <si>
    <t>wpisów</t>
  </si>
  <si>
    <t>hashtagami</t>
  </si>
  <si>
    <t>generowane</t>
  </si>
  <si>
    <t>przez</t>
  </si>
  <si>
    <t>boty</t>
  </si>
  <si>
    <t>16</t>
  </si>
  <si>
    <t>tych</t>
  </si>
  <si>
    <t>botowych</t>
  </si>
  <si>
    <t>kont</t>
  </si>
  <si>
    <t>proukraińskie</t>
  </si>
  <si>
    <t>ma</t>
  </si>
  <si>
    <t>ci</t>
  </si>
  <si>
    <t>#zelenskycocaineaddicted</t>
  </si>
  <si>
    <t>#naziukraine</t>
  </si>
  <si>
    <t>abbiamo</t>
  </si>
  <si>
    <t>anti</t>
  </si>
  <si>
    <t>#india</t>
  </si>
  <si>
    <t>#isupportrussia</t>
  </si>
  <si>
    <t>#supportputin</t>
  </si>
  <si>
    <t>#russiaukraine</t>
  </si>
  <si>
    <t>#ukriane</t>
  </si>
  <si>
    <t>ucraini</t>
  </si>
  <si>
    <t>general</t>
  </si>
  <si>
    <t>politique</t>
  </si>
  <si>
    <t>farewell</t>
  </si>
  <si>
    <t>hell</t>
  </si>
  <si>
    <t>puppet</t>
  </si>
  <si>
    <t>satan</t>
  </si>
  <si>
    <t>#standwithsyria</t>
  </si>
  <si>
    <t>#standwithassad</t>
  </si>
  <si>
    <t>#zelensky</t>
  </si>
  <si>
    <t>vs</t>
  </si>
  <si>
    <t>#assad</t>
  </si>
  <si>
    <t>#usaevilempire</t>
  </si>
  <si>
    <t>#westandwithrussia</t>
  </si>
  <si>
    <t>democracy</t>
  </si>
  <si>
    <t>autocracy</t>
  </si>
  <si>
    <t>brussels</t>
  </si>
  <si>
    <t>such</t>
  </si>
  <si>
    <t>collect</t>
  </si>
  <si>
    <t>ukrainians</t>
  </si>
  <si>
    <t>aware</t>
  </si>
  <si>
    <t>bucha</t>
  </si>
  <si>
    <t>stand</t>
  </si>
  <si>
    <t>hard</t>
  </si>
  <si>
    <t>pray</t>
  </si>
  <si>
    <t>että</t>
  </si>
  <si>
    <t>حقیقت</t>
  </si>
  <si>
    <t>جان</t>
  </si>
  <si>
    <t>کر</t>
  </si>
  <si>
    <t>جیو</t>
  </si>
  <si>
    <t>#behindyouskipper</t>
  </si>
  <si>
    <t>#standwithasifali</t>
  </si>
  <si>
    <t>я</t>
  </si>
  <si>
    <t>бы</t>
  </si>
  <si>
    <t>хотел</t>
  </si>
  <si>
    <t>напомнить</t>
  </si>
  <si>
    <t>пёся</t>
  </si>
  <si>
    <t>поддерживает</t>
  </si>
  <si>
    <t>спецоперацию</t>
  </si>
  <si>
    <t>на</t>
  </si>
  <si>
    <t>украине</t>
  </si>
  <si>
    <t>#своихнебросаем</t>
  </si>
  <si>
    <t>nope</t>
  </si>
  <si>
    <t>true</t>
  </si>
  <si>
    <t>face</t>
  </si>
  <si>
    <t>contemporary</t>
  </si>
  <si>
    <t>fascism</t>
  </si>
  <si>
    <t>#fuckzelenskywarcriminal</t>
  </si>
  <si>
    <t>ah</t>
  </si>
  <si>
    <t>ils</t>
  </si>
  <si>
    <t>sont</t>
  </si>
  <si>
    <t>beaux</t>
  </si>
  <si>
    <t>résultats</t>
  </si>
  <si>
    <t>français</t>
  </si>
  <si>
    <t>fiers</t>
  </si>
  <si>
    <t>issus</t>
  </si>
  <si>
    <t>choix</t>
  </si>
  <si>
    <t>électoraux</t>
  </si>
  <si>
    <t>maintenant</t>
  </si>
  <si>
    <t>assumer</t>
  </si>
  <si>
    <t>#stoprussophobia</t>
  </si>
  <si>
    <t>spilling</t>
  </si>
  <si>
    <t>blood</t>
  </si>
  <si>
    <t>maybe</t>
  </si>
  <si>
    <t>#cia</t>
  </si>
  <si>
    <t>defunct</t>
  </si>
  <si>
    <t>attack</t>
  </si>
  <si>
    <t>day</t>
  </si>
  <si>
    <t>lie</t>
  </si>
  <si>
    <t>idiot</t>
  </si>
  <si>
    <t>death</t>
  </si>
  <si>
    <t>#kherson</t>
  </si>
  <si>
    <t>channels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</si>
  <si>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</si>
  <si>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</si>
  <si>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</si>
  <si>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</si>
  <si>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</si>
  <si>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</si>
  <si>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</si>
  <si>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</si>
  <si>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</si>
  <si>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</si>
  <si>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</si>
  <si>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</si>
  <si>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</si>
  <si>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</si>
  <si>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</si>
  <si>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</si>
  <si>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</si>
  <si>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</si>
  <si>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</si>
  <si>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</si>
  <si>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</si>
  <si>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</si>
  <si>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</si>
  <si>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</si>
  <si>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</si>
  <si>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</si>
  <si>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</si>
  <si>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</si>
  <si>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</si>
  <si>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</si>
  <si>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</si>
  <si>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</si>
  <si>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</si>
  <si>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</si>
  <si>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</si>
  <si>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</si>
  <si>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</si>
  <si>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</si>
  <si>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</si>
  <si>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</si>
  <si>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</si>
  <si>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</si>
  <si>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</si>
  <si>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</si>
  <si>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</si>
  <si>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</si>
  <si>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</si>
  <si>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</si>
  <si>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</si>
  <si>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</si>
  <si>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</si>
  <si>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</si>
  <si>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</si>
  <si>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</si>
  <si>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</si>
  <si>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</si>
  <si>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</si>
  <si>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</si>
  <si>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</si>
  <si>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</si>
  <si>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</si>
  <si>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</si>
  <si>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</si>
  <si>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</si>
  <si>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</si>
  <si>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https://www.lesechos.fr/monde/enjeux-internationaux/les-etats-unis-reclament-lunite-des-allies-contre-la-russie-1787144?xtor=CS4-6235</t>
  </si>
  <si>
    <t>https://www.youtube.com/watch?v=PMOHqsUyk7Y&amp;feature=youtu.be</t>
  </si>
  <si>
    <t>https://www.youtube.com/watch?v=V75pj41VFGk</t>
  </si>
  <si>
    <t>https://www.youtube.com/watch?v=ejG32fwnsV4&amp;feature=youtu.be</t>
  </si>
  <si>
    <t>https://www.restaurant-kiev.com</t>
  </si>
  <si>
    <t>https://ameblo.jp/historical-gay/entry-10222227037.html</t>
  </si>
  <si>
    <t>https://www.youtube.com/watch?v=uHIVevq290k&amp;feature=youtu.be</t>
  </si>
  <si>
    <t>https://twitter.com/MaxDfelladius/status/1569308389137649669</t>
  </si>
  <si>
    <t>https://arxiv.org/pdf/2208.07038.pdf</t>
  </si>
  <si>
    <t>https://twitter.com/chicohalS/status/1570009415805190147</t>
  </si>
  <si>
    <t>Entire Graph Count</t>
  </si>
  <si>
    <t>Top URLs in Tweet in G1</t>
  </si>
  <si>
    <t>https://roma.mid.ru/it/press-centre/commento_della_rappresentante_ufficiale_del_ministero_degli_affari_esteri_della_federazione_russa_ma/</t>
  </si>
  <si>
    <t>https://www.reuters.com/world/europe/tens-thousands-protest-prague-against-czech-government-eu-nato-2022-09-03/</t>
  </si>
  <si>
    <t>https://twitter.com/DanielsonKassa1/status/1569891516281245697</t>
  </si>
  <si>
    <t>Top URLs in Tweet in G2</t>
  </si>
  <si>
    <t>G1 Count</t>
  </si>
  <si>
    <t>https://twitter.com/MMerangul/status/1568596784678666250</t>
  </si>
  <si>
    <t>https://twitter.com/mathematic1313/status/1548439504783978499</t>
  </si>
  <si>
    <t>https://twitter.com/ArthurM40330824/status/1567605573222277121</t>
  </si>
  <si>
    <t>https://twitter.com/mdfzeh/status/1568260918512951296</t>
  </si>
  <si>
    <t>Top URLs in Tweet in G3</t>
  </si>
  <si>
    <t>G2 Count</t>
  </si>
  <si>
    <t>Top URLs in Tweet in G4</t>
  </si>
  <si>
    <t>G3 Count</t>
  </si>
  <si>
    <t>https://twitter.com/AZmilitary1/status/1569795425397268481</t>
  </si>
  <si>
    <t>https://twitter.com/blackintheempir/status/1569873091781591043</t>
  </si>
  <si>
    <t>Top URLs in Tweet in G5</t>
  </si>
  <si>
    <t>G4 Count</t>
  </si>
  <si>
    <t>Top URLs in Tweet in G6</t>
  </si>
  <si>
    <t>G5 Count</t>
  </si>
  <si>
    <t>Top URLs in Tweet in G7</t>
  </si>
  <si>
    <t>G6 Count</t>
  </si>
  <si>
    <t>https://twitter.com/ZelenskyyUa/status/1568608679871537153</t>
  </si>
  <si>
    <t>Top URLs in Tweet in G8</t>
  </si>
  <si>
    <t>G7 Count</t>
  </si>
  <si>
    <t>Top URLs in Tweet in G9</t>
  </si>
  <si>
    <t>G8 Count</t>
  </si>
  <si>
    <t>Top URLs in Tweet in G10</t>
  </si>
  <si>
    <t>G9 Count</t>
  </si>
  <si>
    <t>G10 Count</t>
  </si>
  <si>
    <t>Top URLs in Tweet</t>
  </si>
  <si>
    <t>https://roma.mid.ru/it/press-centre/commento_della_rappresentante_ufficiale_del_ministero_degli_affari_esteri_della_federazione_russa_ma/ https://www.reuters.com/world/europe/tens-thousands-protest-prague-against-czech-government-eu-nato-2022-09-03/ https://twitter.com/DanielsonKassa1/status/1569891516281245697</t>
  </si>
  <si>
    <t>https://www.restaurant-kiev.com https://www.youtube.com/watch?v=PMOHqsUyk7Y&amp;feature=youtu.be https://www.youtube.com/watch?v=V75pj41VFGk https://www.youtube.com/watch?v=ejG32fwnsV4&amp;feature=youtu.be https://ameblo.jp/historical-gay/entry-10222227037.html https://www.youtube.com/watch?v=uHIVevq290k&amp;feature=youtu.be https://twitter.com/MMerangul/status/1568596784678666250 https://twitter.com/mathematic1313/status/1548439504783978499 https://twitter.com/ArthurM40330824/status/1567605573222277121 https://twitter.com/mdfzeh/status/1568260918512951296</t>
  </si>
  <si>
    <t>https://twitter.com/AZmilitary1/status/1569795425397268481 https://twitter.com/blackintheempir/status/1569873091781591043</t>
  </si>
  <si>
    <t>https://www.lesechos.fr/monde/enjeux-internationaux/les-etats-unis-reclament-lunite-des-allies-contre-la-russie-1787144?xtor=CS4-6235 https://twitter.com/ZelenskyyUa/status/1568608679871537153</t>
  </si>
  <si>
    <t>https://twitter.com/StepanGronk/status/1568043302032928768</t>
  </si>
  <si>
    <t>https://twitter.com/LoetitiaH/status/1569980083820969986</t>
  </si>
  <si>
    <t>https://twitter.com/Cambiacasacca/status/1567434742311567360</t>
  </si>
  <si>
    <t>https://twitter.com/DJanecek/status/1569290251906031619 https://twitter.com/EFDavies/status/1569272600055930880</t>
  </si>
  <si>
    <t>https://twitter.com/MelnykAndrij/status/1568195866107813888</t>
  </si>
  <si>
    <t>https://twitter.com/Sloe_Rida/status/1566178662969638912 https://twitter.com/AniaKoniec/status/1567616706171764737 https://twitter.com/LanguageIearner/status/1568012944285507584 https://twitter.com/i/status/1567414255762247682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</si>
  <si>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</si>
  <si>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</si>
  <si>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</si>
  <si>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</si>
  <si>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</si>
  <si>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</si>
  <si>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</si>
  <si>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</si>
  <si>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</si>
  <si>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</si>
  <si>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</si>
  <si>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</si>
  <si>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mid.ru reuters.com twitter.com</t>
  </si>
  <si>
    <t>youtube.com restaurant-kiev.com twitter.com ameblo.jp edu.au</t>
  </si>
  <si>
    <t>lesechos.fr twitter.com</t>
  </si>
  <si>
    <t>Top Hashtags in Tweet in Entire Graph</t>
  </si>
  <si>
    <t>ティプシー</t>
  </si>
  <si>
    <t>inizon</t>
  </si>
  <si>
    <t>1d</t>
  </si>
  <si>
    <t>zelenskywarcriminal</t>
  </si>
  <si>
    <t>russianarmy</t>
  </si>
  <si>
    <t>tchaikovsky</t>
  </si>
  <si>
    <t>lgbt</t>
  </si>
  <si>
    <t>ロシア正教</t>
  </si>
  <si>
    <t>Top Hashtags in Tweet in G1</t>
  </si>
  <si>
    <t>sanctionukraine</t>
  </si>
  <si>
    <t>dissolveeu</t>
  </si>
  <si>
    <t>dissolvenato</t>
  </si>
  <si>
    <t>arrestvdl</t>
  </si>
  <si>
    <t>notinmyname</t>
  </si>
  <si>
    <t>standwithukriane</t>
  </si>
  <si>
    <t>cduverbieten</t>
  </si>
  <si>
    <t>Top Hashtags in Tweet in G2</t>
  </si>
  <si>
    <t>russianorthodox</t>
  </si>
  <si>
    <t>ロシア</t>
  </si>
  <si>
    <t>Top Hashtags in Tweet in G3</t>
  </si>
  <si>
    <t>wagnergroup</t>
  </si>
  <si>
    <t>fenerbahcedinamokiev</t>
  </si>
  <si>
    <t>Top Hashtags in Tweet in G4</t>
  </si>
  <si>
    <t>stopnato</t>
  </si>
  <si>
    <t>stopnaziukraine</t>
  </si>
  <si>
    <t>stopzelensky</t>
  </si>
  <si>
    <t>zelenskyywarcriminal</t>
  </si>
  <si>
    <t>usaevilempire</t>
  </si>
  <si>
    <t>westandwithrussia</t>
  </si>
  <si>
    <t>stopnatonow</t>
  </si>
  <si>
    <t>Top Hashtags in Tweet in G5</t>
  </si>
  <si>
    <t>nomorecolonialism</t>
  </si>
  <si>
    <t>Top Hashtags in Tweet in G6</t>
  </si>
  <si>
    <t>Top Hashtags in Tweet in G7</t>
  </si>
  <si>
    <t>standwithsyria</t>
  </si>
  <si>
    <t>standwithassad</t>
  </si>
  <si>
    <t>zelensky</t>
  </si>
  <si>
    <t>assad</t>
  </si>
  <si>
    <t>Top Hashtags in Tweet in G8</t>
  </si>
  <si>
    <t>fuckukronazis</t>
  </si>
  <si>
    <t>pegremondialiste</t>
  </si>
  <si>
    <t>mondialisme</t>
  </si>
  <si>
    <t>fuckzelenskywarcriminal</t>
  </si>
  <si>
    <t>stoprussophobia</t>
  </si>
  <si>
    <t>aphatie</t>
  </si>
  <si>
    <t>Top Hashtags in Tweet in G9</t>
  </si>
  <si>
    <t>Top Hashtags in Tweet in G10</t>
  </si>
  <si>
    <t>poutine</t>
  </si>
  <si>
    <t>poudré</t>
  </si>
  <si>
    <t>Top Hashtags in Tweet</t>
  </si>
  <si>
    <t>standwithrussia sanctionukraine zelenskywarcriminal dissolveeu dissolvenato arrestvdl standwithukraine notinmyname standwithukriane cduverbieten</t>
  </si>
  <si>
    <t>standwithrussia ティプシー inizon 1d russia tchaikovsky lgbt ロシア正教 russianorthodox ロシア</t>
  </si>
  <si>
    <t>standwithrussia russia russianarmy putin wagnergroup russian fenerbahcedinamokiev</t>
  </si>
  <si>
    <t>standwithrussia zelenskywarcriminal stopnato stopnaziukraine stopzelensky zelenskyywarcriminal standwithputin usaevilempire westandwithrussia stopnatonow</t>
  </si>
  <si>
    <t>standwithrussia ukraine russie standwithputin standwithsyria standwithassad zelensky assad</t>
  </si>
  <si>
    <t>standwithrussia fuckukronazis zelenskywarcriminal pegremondialiste mondialisme fuckzelenskywarcriminal ue stoprussophobia aphatie ukronazi</t>
  </si>
  <si>
    <t>forzaputin standwithrussia zelenskywarcriminal zelenskycocaineaddicted naziukraine forzabrics forzaeef fuckusa fucknato fuckeu</t>
  </si>
  <si>
    <t>standwithrussia stopnaziukraine russia eu stopnato natocriminals</t>
  </si>
  <si>
    <t>standwithrussia putin putin4ever</t>
  </si>
  <si>
    <t>standwithrussia nafo fella wishfulthinking totalwar</t>
  </si>
  <si>
    <t>standwithrussia deindustrialisierung habeck snowden visabanforrussians</t>
  </si>
  <si>
    <t>standwithrussia la macronlevatenguerre macronnousprendpourdescons soutienlarussie zemmouravaitraison reconquete lareconquetecontinue jevotereconquete</t>
  </si>
  <si>
    <t>standwithrussia kiev nato usa nonato</t>
  </si>
  <si>
    <t>standwithrussia slavarossiya</t>
  </si>
  <si>
    <t>boycottqatar boycottqatar2022 boycottqatarfifaworldcup2022 boycottfifa boycottfifaworldcup2022 boycottqatarairways boycottarab boycottpuppetsofamerica boycottwahabiislam boycottmohammadbinabdulwahabislam</t>
  </si>
  <si>
    <t>standwithrussia nato russia ukraine cia kherson uranium ue wagners dombass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</si>
  <si>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</si>
  <si>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</si>
  <si>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</si>
  <si>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</si>
  <si>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</si>
  <si>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</si>
  <si>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</si>
  <si>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</si>
  <si>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</si>
  <si>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</si>
  <si>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</si>
  <si>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</si>
  <si>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#standwithrussia #sanctionukraine #zelenskywarcriminal nazi regime vonderleyen #dissolveeu die bundeskanzler europe</t>
  </si>
  <si>
    <t>#standwithrussia #ティプシー #inizon #1d #russia #tchaikovsky #lgbt #ロシア正教 #russianorthodox #ロシア</t>
  </si>
  <si>
    <t>#standwithrussia #russia #russianarmy ve birlikleri rus silahlı çeçen neonazi avına</t>
  </si>
  <si>
    <t>#standwithrussia #zelenskywarcriminal #stopnato #stopnaziukraine #stopzelensky tem direito contra nato #zelenskyywarcriminal</t>
  </si>
  <si>
    <t>africa media vladmir putin ukrainian grain reaching european single shipment</t>
  </si>
  <si>
    <t>#standwithrussia etats unis réclament l'unité alliés contre russie comment yankees</t>
  </si>
  <si>
    <t>#standwithrussia amp leurs #fuckukronazis #zelenskywarcriminal #pegremondialiste #mondialisme #fuckzelenskywarcriminal #ue #stoprussophobia</t>
  </si>
  <si>
    <t>#standwithrussia hungary jhahneu democracy over autocracy brussels washington nato general_ben</t>
  </si>
  <si>
    <t>présente vladimir #poutine président grande #russie véritable homme d'état suivi</t>
  </si>
  <si>
    <t>war study ukraine #standwithukraine #standwithrussia australian university twitter coverage examining</t>
  </si>
  <si>
    <t>#forzaputin #standwithrussia #zelenskywarcriminal #zelenskycocaineaddicted #naziukraine abbiamo ma non ci</t>
  </si>
  <si>
    <t>russia #standwithrussia love donbass along crimea always part heyhelloirene greetings</t>
  </si>
  <si>
    <t>#standwithrussia #putin että putin slava russia</t>
  </si>
  <si>
    <t>#standwithrussia jacquesfrre2 generalstaffua</t>
  </si>
  <si>
    <t>davidgiglioca potus charliespiering nope true face contemporary fascism #putin those</t>
  </si>
  <si>
    <t>analyses #standwithrussia without intending #nafo #fella perfectly encapsulated gist meme</t>
  </si>
  <si>
    <t># used collect tweets hashtags standwithputin standwithrussia supportrussia standwithukraine standwithzelenskyy</t>
  </si>
  <si>
    <t>während insolvenzen pro #standwithrussia die sanktionen wirken abbau deutschen wirtschaft</t>
  </si>
  <si>
    <t>большинство словаков хотят военной победы россии над украиной euractiv публикует</t>
  </si>
  <si>
    <t>votre #standwithrussia</t>
  </si>
  <si>
    <t>mais #standwithrussia</t>
  </si>
  <si>
    <t>#india kremlinrussia_e russia #isupportrussia #standwithrussia #supportputin #standwithputin #russiaukraine #ukriane</t>
  </si>
  <si>
    <t>#standwithrussia voilà pourquoi hais ue pitres clowns pensent rien cette</t>
  </si>
  <si>
    <t># 12 supportrussia</t>
  </si>
  <si>
    <t>#standwithrussia dal 2013 lavora adeguare #kiev agli standard #nato giusto</t>
  </si>
  <si>
    <t>video social network go viral #sofia #bulgarian patriots spoke against</t>
  </si>
  <si>
    <t>die russlandfeldzug #standwithrussia tote</t>
  </si>
  <si>
    <t>turkey nato sanctions issued</t>
  </si>
  <si>
    <t>bhl #standwithrussia</t>
  </si>
  <si>
    <t>nixelpixel я бы хотел напомнить пёся поддерживает спецоперацию на украине</t>
  </si>
  <si>
    <t>souveraineté n'existe</t>
  </si>
  <si>
    <t>good luck boys #standwithputin #standwithrussia #запобеду #славароссия</t>
  </si>
  <si>
    <t>droom lekker verder vanuit eu luchtkasteel poetin komt uit nazi</t>
  </si>
  <si>
    <t># były najważniejsze wyniki badań 60 80 wpisów hashtagami standwithputin</t>
  </si>
  <si>
    <t># such</t>
  </si>
  <si>
    <t>حقیقت جان کر جیو #behindyouskipper #standwithrussia #standwithasifali</t>
  </si>
  <si>
    <t>#standwithrussia #nato pro spilling blood #russia channels defunct #ukraine #cia</t>
  </si>
  <si>
    <t>Top Word Pairs in Tweet in Entire Graph</t>
  </si>
  <si>
    <t>#standwithrussia,#russia</t>
  </si>
  <si>
    <t>#standwithrussia,#ティプシー</t>
  </si>
  <si>
    <t>#tchaikovsky,#lgbt</t>
  </si>
  <si>
    <t>#lgbt,#ロシア正教</t>
  </si>
  <si>
    <t>#ロシア正教,#russianorthodox</t>
  </si>
  <si>
    <t>#russianorthodox,#ロシア</t>
  </si>
  <si>
    <t>#ロシア,#russia</t>
  </si>
  <si>
    <t>#セクマイさん,#standwithrussia</t>
  </si>
  <si>
    <t>#allthethingshesaid,#tatu</t>
  </si>
  <si>
    <t>#ティプシー,#inizon</t>
  </si>
  <si>
    <t>Top Word Pairs in Tweet in G1</t>
  </si>
  <si>
    <t>#zelenskywarcriminal,#sanctionukraine</t>
  </si>
  <si>
    <t>#sanctionukraine,#standwithrussia</t>
  </si>
  <si>
    <t>nazi,regime</t>
  </si>
  <si>
    <t>regime,militärische</t>
  </si>
  <si>
    <t>militärische,größe</t>
  </si>
  <si>
    <t>#sanctionukraine,#zelenskywarcriminal</t>
  </si>
  <si>
    <t>korrupten,rassisten</t>
  </si>
  <si>
    <t>keine,waffen</t>
  </si>
  <si>
    <t>#arrestvdl,#sanctionukraine</t>
  </si>
  <si>
    <t>#zelenskywarcriminal,#standwithrussia</t>
  </si>
  <si>
    <t>Top Word Pairs in Tweet in G2</t>
  </si>
  <si>
    <t>ニセモノ,#やらせ</t>
  </si>
  <si>
    <t>Top Word Pairs in Tweet in G3</t>
  </si>
  <si>
    <t>#russia,#russianarmy</t>
  </si>
  <si>
    <t>çeçen,birlikleri</t>
  </si>
  <si>
    <t>birlikleri,neonazi</t>
  </si>
  <si>
    <t>neonazi,avına</t>
  </si>
  <si>
    <t>avına,başladı</t>
  </si>
  <si>
    <t>başladı,#standwithrussia</t>
  </si>
  <si>
    <t>#russia,#putin</t>
  </si>
  <si>
    <t>biz,kazanacağız</t>
  </si>
  <si>
    <t>kazanacağız,#standwithrussia</t>
  </si>
  <si>
    <t>Top Word Pairs in Tweet in G4</t>
  </si>
  <si>
    <t>tem,direito</t>
  </si>
  <si>
    <t>#zelenskywarcriminal,#stopzelensky</t>
  </si>
  <si>
    <t>#stopnato,#stopnaziukraine</t>
  </si>
  <si>
    <t>#stopnaziukraine,#standwithrussia</t>
  </si>
  <si>
    <t>defender,contra</t>
  </si>
  <si>
    <t>#zelenskyywarcriminal,#zelenskywarcriminal</t>
  </si>
  <si>
    <t>#zelenskywarcriminal,#stopnato</t>
  </si>
  <si>
    <t>#standwithrussia,#standwithrussia</t>
  </si>
  <si>
    <t>rússia,tem</t>
  </si>
  <si>
    <t>direito,defender</t>
  </si>
  <si>
    <t>Top Word Pairs in Tweet in G5</t>
  </si>
  <si>
    <t>vladmir,putin</t>
  </si>
  <si>
    <t>putin,ukrainian</t>
  </si>
  <si>
    <t>ukrainian,grain</t>
  </si>
  <si>
    <t>grain,reaching</t>
  </si>
  <si>
    <t>reaching,european</t>
  </si>
  <si>
    <t>european,single</t>
  </si>
  <si>
    <t>single,shipment</t>
  </si>
  <si>
    <t>shipment,destined</t>
  </si>
  <si>
    <t>destined,africa</t>
  </si>
  <si>
    <t>africa,more</t>
  </si>
  <si>
    <t>Top Word Pairs in Tweet in G6</t>
  </si>
  <si>
    <t>Top Word Pairs in Tweet in G7</t>
  </si>
  <si>
    <t>etats,unis</t>
  </si>
  <si>
    <t>unis,réclament</t>
  </si>
  <si>
    <t>réclament,l'unité</t>
  </si>
  <si>
    <t>l'unité,alliés</t>
  </si>
  <si>
    <t>alliés,contre</t>
  </si>
  <si>
    <t>contre,russie</t>
  </si>
  <si>
    <t>russie,comment</t>
  </si>
  <si>
    <t>comment,yankees</t>
  </si>
  <si>
    <t>yankees,demandent</t>
  </si>
  <si>
    <t>demandent,guerre</t>
  </si>
  <si>
    <t>Top Word Pairs in Tweet in G8</t>
  </si>
  <si>
    <t>ah,ils</t>
  </si>
  <si>
    <t>ils,sont</t>
  </si>
  <si>
    <t>sont,beaux</t>
  </si>
  <si>
    <t>beaux,résultats</t>
  </si>
  <si>
    <t>résultats,sanctions</t>
  </si>
  <si>
    <t>sanctions,contre</t>
  </si>
  <si>
    <t>russie,français</t>
  </si>
  <si>
    <t>français,amp</t>
  </si>
  <si>
    <t>amp,ue</t>
  </si>
  <si>
    <t>Top Word Pairs in Tweet in G9</t>
  </si>
  <si>
    <t>jhahneu,#standwithrussia</t>
  </si>
  <si>
    <t>#standwithrussia,democracy</t>
  </si>
  <si>
    <t>democracy,over</t>
  </si>
  <si>
    <t>over,autocracy</t>
  </si>
  <si>
    <t>autocracy,brussels</t>
  </si>
  <si>
    <t>brussels,washington</t>
  </si>
  <si>
    <t>#standwithrussia,nato</t>
  </si>
  <si>
    <t>nato,hungary</t>
  </si>
  <si>
    <t>general_ben,#standwithrussia</t>
  </si>
  <si>
    <t>#standwithrussia,hungary</t>
  </si>
  <si>
    <t>Top Word Pairs in Tweet in G10</t>
  </si>
  <si>
    <t>présente,vladimir</t>
  </si>
  <si>
    <t>vladimir,#poutine</t>
  </si>
  <si>
    <t>#poutine,président</t>
  </si>
  <si>
    <t>président,grande</t>
  </si>
  <si>
    <t>grande,#russie</t>
  </si>
  <si>
    <t>#russie,véritable</t>
  </si>
  <si>
    <t>véritable,homme</t>
  </si>
  <si>
    <t>homme,d'état</t>
  </si>
  <si>
    <t>d'état,suivi</t>
  </si>
  <si>
    <t>suivi,par</t>
  </si>
  <si>
    <t>Top Word Pairs in Tweet</t>
  </si>
  <si>
    <t>#zelenskywarcriminal,#sanctionukraine  #sanctionukraine,#standwithrussia  nazi,regime  regime,militärische  militärische,größe  #sanctionukraine,#zelenskywarcriminal  korrupten,rassisten  keine,waffen  #arrestvdl,#sanctionukraine  #zelenskywarcriminal,#standwithrussia</t>
  </si>
  <si>
    <t>#standwithrussia,#ティプシー  #tchaikovsky,#lgbt  #lgbt,#ロシア正教  #ロシア正教,#russianorthodox  #russianorthodox,#ロシア  #ロシア,#russia  #セクマイさん,#standwithrussia  #allthethingshesaid,#tatu  #ティプシー,#inizon  ニセモノ,#やらせ</t>
  </si>
  <si>
    <t>#standwithrussia,#russia  #russia,#russianarmy  çeçen,birlikleri  birlikleri,neonazi  neonazi,avına  avına,başladı  başladı,#standwithrussia  #russia,#putin  biz,kazanacağız  kazanacağız,#standwithrussia</t>
  </si>
  <si>
    <t>tem,direito  #zelenskywarcriminal,#stopzelensky  #stopnato,#stopnaziukraine  #stopnaziukraine,#standwithrussia  defender,contra  #zelenskyywarcriminal,#zelenskywarcriminal  #zelenskywarcriminal,#stopnato  #standwithrussia,#standwithrussia  rússia,tem  direito,defender</t>
  </si>
  <si>
    <t>vladmir,putin  putin,ukrainian  ukrainian,grain  grain,reaching  reaching,european  european,single  single,shipment  shipment,destined  destined,africa  africa,more</t>
  </si>
  <si>
    <t>etats,unis  unis,réclament  réclament,l'unité  l'unité,alliés  alliés,contre  contre,russie  russie,comment  comment,yankees  yankees,demandent  demandent,guerre</t>
  </si>
  <si>
    <t>ah,ils  ils,sont  sont,beaux  beaux,résultats  résultats,sanctions  sanctions,contre  contre,russie  russie,français  français,amp  amp,ue</t>
  </si>
  <si>
    <t>jhahneu,#standwithrussia  #standwithrussia,democracy  democracy,over  over,autocracy  autocracy,brussels  brussels,washington  #standwithrussia,nato  nato,hungary  general_ben,#standwithrussia  #standwithrussia,hungary</t>
  </si>
  <si>
    <t>présente,vladimir  vladimir,#poutine  #poutine,président  président,grande  grande,#russie  #russie,véritable  véritable,homme  homme,d'état  d'état,suivi  suivi,par</t>
  </si>
  <si>
    <t>#standwithukraine,#standwithrussia  #standwithrussia,australian  australian,university  university,study  study,twitter  twitter,war  war,coverage  coverage,examining  examining,5m  5m,conclusion</t>
  </si>
  <si>
    <t>#forzaputin,#standwithrussia  ma,non</t>
  </si>
  <si>
    <t>russia,love  love,russia  russia,donbass  donbass,along  along,crimea  crimea,always  always,part  part,#standwithrussia  heyhelloirene,greetings  greetings,wannabetsarevna</t>
  </si>
  <si>
    <t>slava,russia  russia,#standwithrussia</t>
  </si>
  <si>
    <t>jacquesfrre2,#standwithrussia  generalstaffua,#standwithrussia</t>
  </si>
  <si>
    <t>davidgiglioca,potus  potus,charliespiering  charliespiering,nope  nope,true  true,face  face,contemporary  contemporary,fascism  fascism,#putin  #putin,those  those,#standwithrussia</t>
  </si>
  <si>
    <t>without,intending  intending,#nafo  #nafo,#fella  #fella,perfectly  perfectly,encapsulated  encapsulated,gist  gist,analyses  analyses,meme  meme,time  time,those</t>
  </si>
  <si>
    <t>collect,tweets  hashtags,#  #,standwithputin  standwithputin,#  #,standwithrussia  standwithrussia,#  #,supportrussia  supportrussia,#  #,standwithukraine  standwithukraine,#</t>
  </si>
  <si>
    <t>sanktionen,wirken  wirken,abbau  abbau,deutschen  deutschen,wirtschaft  wirtschaft,läuft  läuft,gut  gut,während  während,gesamten  gesamten,mai  mai,2022</t>
  </si>
  <si>
    <t>большинство,словаков  словаков,хотят  хотят,военной  военной,победы  победы,россии  россии,над  над,украиной  украиной,euractiv  euractiv,публикует  публикует,результаты</t>
  </si>
  <si>
    <t>#india,kremlinrussia_e  kremlinrussia_e,russia  russia,#isupportrussia  #isupportrussia,#standwithrussia  #standwithrussia,#supportputin  #supportputin,#standwithputin  #standwithputin,#russiaukraine  #russiaukraine,#ukriane</t>
  </si>
  <si>
    <t>voilà,pourquoi  pourquoi,hais  hais,ue  ue,pitres  pitres,clowns  clowns,pensent  pensent,rien  rien,cette  cette,armée  armée,fonctionnaires</t>
  </si>
  <si>
    <t>dal,2013  2013,lavora  lavora,adeguare  adeguare,#kiev  #kiev,agli  agli,standard  standard,#nato  #nato,giusto  giusto,capire  capire,chi</t>
  </si>
  <si>
    <t>video,social  social,network  network,go  go,viral  viral,#sofia  #sofia,#bulgarian  #bulgarian,patriots  patriots,spoke  spoke,against  against,russophobic</t>
  </si>
  <si>
    <t>nixelpixel,я  я,бы  бы,хотел  хотел,напомнить  напомнить,пёся  пёся,поддерживает  поддерживает,спецоперацию  спецоперацию,на  на,украине  украине,#standwithrussia</t>
  </si>
  <si>
    <t>good,luck  luck,boys  boys,#standwithputin  #standwithputin,#standwithrussia  #standwithrussia,#запобеду  #запобеду,#славароссия</t>
  </si>
  <si>
    <t>droom,lekker  lekker,verder  verder,vanuit  vanuit,eu  eu,luchtkasteel  luchtkasteel,poetin  poetin,komt  komt,uit  uit,nazi  nazi,hoofdkwartier</t>
  </si>
  <si>
    <t>najważniejsze,wyniki  wyniki,badań  badań,60  60,80  80,wpisów  wpisów,hashtagami  hashtagami,#  #,standwithputin  standwithputin,#  #,standwithrussia</t>
  </si>
  <si>
    <t>حقیقت,جان  جان,کر  کر,جیو  جیو,#behindyouskipper  #behindyouskipper,#standwithrussia  #standwithrussia,#standwithasifali</t>
  </si>
  <si>
    <t>defunct,#ukraine  #nato,#cia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</si>
  <si>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</si>
  <si>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</si>
  <si>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</si>
  <si>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</si>
  <si>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</si>
  <si>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</si>
  <si>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</si>
  <si>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</si>
  <si>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</si>
  <si>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</si>
  <si>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</si>
  <si>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</si>
  <si>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</si>
  <si>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</si>
  <si>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</si>
  <si>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</si>
  <si>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</si>
  <si>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</si>
  <si>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</si>
  <si>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</si>
  <si>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</si>
  <si>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</si>
  <si>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</si>
  <si>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vonderleyen tagesschau spencerguard denistrubetskoy zelenskyyua jowadephul christopherjm maischberger _friedrichmerz welt</t>
  </si>
  <si>
    <t>ukraine66251776 sicnoticias moveebuff1953 rwapodcast hoje_no gazetadopovo annawrds jpgmary anesfoufa pablospyer</t>
  </si>
  <si>
    <t>sudradio 24hpujadas</t>
  </si>
  <si>
    <t>eu_commission natopress vonderleyen mhmck meiselasb</t>
  </si>
  <si>
    <t>pietroraffa ilpolemista4 jacopo_iacoboni vita66011510 aldotorchiaro</t>
  </si>
  <si>
    <t>heyhelloirene dagnytaggart369</t>
  </si>
  <si>
    <t>infussambas sarjanenantti veitera</t>
  </si>
  <si>
    <t>jacquesfrre2 generalstaffua snmilitary</t>
  </si>
  <si>
    <t>freilichlior onequantumleap</t>
  </si>
  <si>
    <t>cnews robertmenardfr</t>
  </si>
  <si>
    <t>franceinter fredinmoldova</t>
  </si>
  <si>
    <t>pmcorchestra thatdayin1992</t>
  </si>
  <si>
    <t>cjbjcjbj dassenlaurens gertjansegers</t>
  </si>
  <si>
    <t>Top Mentioned in Tweet</t>
  </si>
  <si>
    <t>bundeskanzler kremlinrussia_e zelenskaua zelenskyyua vonderleyen emmanuelmacron nato potus eu_commission melnykandrij</t>
  </si>
  <si>
    <t>otempo rwapodcast</t>
  </si>
  <si>
    <t>mgcanmore mfa_russia rusmission_eu euinrussia vonderleyen josepborrellf rf_osce mission_rf rusbotschaft ambrusfrance</t>
  </si>
  <si>
    <t>jmaphatie patrickrogere phdavidmtb cecile2menibus bilgerphilippe francoisedegois loiklfp</t>
  </si>
  <si>
    <t>jhahneu general_ben jensstoltenberg</t>
  </si>
  <si>
    <t>agentdukgb p_duval philo95857560 060_ilou</t>
  </si>
  <si>
    <t>tucosal75136559 wendellwickets rus_emb_ireland</t>
  </si>
  <si>
    <t>mikaelgabriel iidavallin</t>
  </si>
  <si>
    <t>potus charliespiering</t>
  </si>
  <si>
    <t>antonio27182818 josh_watt_</t>
  </si>
  <si>
    <t>kremlinrussia_e russia</t>
  </si>
  <si>
    <t>sarananni abaerbock</t>
  </si>
  <si>
    <t>termitesturd plnewstoday</t>
  </si>
  <si>
    <t>usopen _markpetchey</t>
  </si>
  <si>
    <t>djanecek heinzpetergnth2</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</si>
  <si>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</si>
  <si>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</si>
  <si>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</si>
  <si>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</si>
  <si>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</si>
  <si>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</si>
  <si>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</si>
  <si>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</si>
  <si>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</si>
  <si>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</si>
  <si>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</si>
  <si>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</si>
  <si>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repubblica welt lastampa corriere focusonline tagesschau witch_d0ct0r_ un christopherjm daserste</t>
  </si>
  <si>
    <t>varyagi _b0lil0d_ jbl375537500 doctornazab gerasimos2016 freescotsman92 evabergamo patriotavenezo jameswmoore neo8emmanuel</t>
  </si>
  <si>
    <t>arasdal7 ozdenozhan2 1881mka1905 tekinyamur6 star48625796202 alim_gokce45 bnryklmz levent42402926 ekormfs1qvxzxvp worldofnorth</t>
  </si>
  <si>
    <t>uolnoticias otempo sicnoticias gazetadopovo moveebuff1953 drericding hoje_no pablospyer zzzaikar rwapodcast</t>
  </si>
  <si>
    <t>ruinin_football wonde2014 ghedays mengistutefer16 habibhassen7180 messaymohammed ethiopi00829015 mkebatu addiseshetu adiss07705421</t>
  </si>
  <si>
    <t>mgcanmore mfa_russia rf_osce ambrusfrance rusbotschaft rusembitaly euinrussia mission_rf josepborrellf rusmission_eu</t>
  </si>
  <si>
    <t>ophiuse ancient_caxotte marcvin40543445 bretag_romantiq xav0621 patricialcq jfaix13 carlistjc brutionnepnm ogach_69</t>
  </si>
  <si>
    <t>sudradio bilgerphilippe cecile2menibus francoisedegois jmaphatie 24hpujadas phdavidmtb patrickrogere loiklfp oliverswift65</t>
  </si>
  <si>
    <t>mhmck eu_commission meiselasb natopress jhahneu kakukktakukta jensstoltenberg general_ben</t>
  </si>
  <si>
    <t>myriamjerome phacotte 060_ilou p_duval croisefranco jeanonekit philo95857560 spydercof</t>
  </si>
  <si>
    <t>riocard911 jamesfoley57 rus_emb_ireland 100anb tucosal75136559 lucygatsby brian_lefevre_ wendellwickets</t>
  </si>
  <si>
    <t>jacopo_iacoboni pietroraffa mark_dive vita66011510 ilpolemista4 guerini_lorenzo aldotorchiaro</t>
  </si>
  <si>
    <t>alex87431641 varangianarmy almsdoc95 heyhelloirene wannabetsarevna vasilsimeonovbg</t>
  </si>
  <si>
    <t>veitera iidavallin realpasitapani sarjanenantti infussambas mikaelgabriel</t>
  </si>
  <si>
    <t>jacquesfrre2 m_degage generalstaffua snmilitary bobmozg</t>
  </si>
  <si>
    <t>charliespiering chakhoyanandrew davidgiglioca potus syanyakernytska</t>
  </si>
  <si>
    <t>carmenacoleman solomon73155195 akorybko gamodana ymnkv</t>
  </si>
  <si>
    <t>onequantumleap freilichlior filipkatundsk antonio27182818 josh_watt_</t>
  </si>
  <si>
    <t>realfantomas stegnerralle achguck therealrsbonn 1984_is_near</t>
  </si>
  <si>
    <t>dalev82 mnogomama4170 34berkut mike_zoev</t>
  </si>
  <si>
    <t>cnews robertmenardfr valer2valerie vladpoutine_fr</t>
  </si>
  <si>
    <t>franceinter krollspellt laurenceboone fredinmoldova</t>
  </si>
  <si>
    <t>kremlinrussia_e russia spicymanit maier_maier8</t>
  </si>
  <si>
    <t>thatdayin1992 arbontemps loetitiah pmcorchestra</t>
  </si>
  <si>
    <t>goeringeckardt sarananni levin3700 abaerbock</t>
  </si>
  <si>
    <t>surfingcelia plnewstoday peter_b_c termitesturd</t>
  </si>
  <si>
    <t>giovannicalcara robymark1 luckystrike2030 palmenco08</t>
  </si>
  <si>
    <t>edisabela1 hassany89 george_w_bu readovkaworld</t>
  </si>
  <si>
    <t>gertjansegers cjbjcjbj reservoir_dogs8 dassenlaurens</t>
  </si>
  <si>
    <t>usopen pavyg _markpetchey zivkovasiljev</t>
  </si>
  <si>
    <t>minniem96252794 ronin19217435 godandtrump114</t>
  </si>
  <si>
    <t>djanecek heinzpetergnth2 pxalbert1</t>
  </si>
  <si>
    <t>pwrdbyanthony sunshinesaskia wille_keurige</t>
  </si>
  <si>
    <t>cnn theliverpooly chimdi0811</t>
  </si>
  <si>
    <t>drjasonleong howardlee_my khairulazzwa1</t>
  </si>
  <si>
    <t>galantias1 spiritofho conservatnik228</t>
  </si>
  <si>
    <t>bhl nilhrevan benkutowski</t>
  </si>
  <si>
    <t>nixelpixel shxtcowboy markwol64553906</t>
  </si>
  <si>
    <t>mariana_betsa tuk95993809</t>
  </si>
  <si>
    <t>3ct3r steph_sejourne</t>
  </si>
  <si>
    <t>alfandioaditya1 rilawolf</t>
  </si>
  <si>
    <t>hebobiwine lux_edwards</t>
  </si>
  <si>
    <t>wimwientjes finding_isobel</t>
  </si>
  <si>
    <t>l_spagg patrick_edery</t>
  </si>
  <si>
    <t>heinrich_haupt cookiegonewrong</t>
  </si>
  <si>
    <t>reuters arifvns1985</t>
  </si>
  <si>
    <t>actualidadrt berniedelf</t>
  </si>
  <si>
    <t>pp_now kr33b</t>
  </si>
  <si>
    <t>rusembturkey selpermer</t>
  </si>
  <si>
    <t>aleksandarcbl jacksonhinklle</t>
  </si>
  <si>
    <t>stratpol_site ludwig04796864</t>
  </si>
  <si>
    <t>serpens48 sangreal1965</t>
  </si>
  <si>
    <t>ukraine_world nzabakira4</t>
  </si>
  <si>
    <t>sujall13 gregorgysi</t>
  </si>
  <si>
    <t>dilkash_1 saifullahalipti</t>
  </si>
  <si>
    <t>poseidon325_ gorkembo</t>
  </si>
  <si>
    <t>miky3881 albertofazolo</t>
  </si>
  <si>
    <t>jokerdepressif bayrou</t>
  </si>
  <si>
    <t>ipurdley davidbu85029668</t>
  </si>
  <si>
    <t>URLs in Tweet by Count</t>
  </si>
  <si>
    <t>https://twitter.com/i/status/1567414255762247682</t>
  </si>
  <si>
    <t>https://twitter.com/LanguageIearner/status/1568012944285507584 https://twitter.com/AniaKoniec/status/1567616706171764737 https://twitter.com/Sloe_Rida/status/1566178662969638912</t>
  </si>
  <si>
    <t>https://www.adelaide.edu.au/newsroom/news/list/2022/09/08/bots-manipulate-public-opinion-in-russia-ukraine-conflict</t>
  </si>
  <si>
    <t>https://twitter.com/M_Guliyev2/status/1569679577844154369</t>
  </si>
  <si>
    <t>https://www.reuters.com/world/europe/tens-thousands-protest-prague-against-czech-government-eu-nato-2022-09-03/ https://roma.mid.ru/it/press-centre/commento_della_rappresentante_ufficiale_del_ministero_degli_affari_esteri_della_federazione_russa_ma/</t>
  </si>
  <si>
    <t>https://twitter.com/AriSL2022/status/1569952276776714240</t>
  </si>
  <si>
    <t>https://twitter.com/DmitryEvic/status/1570320429495226371</t>
  </si>
  <si>
    <t>https://twitter.com/blackintheempir/status/1569873091781591043 https://twitter.com/AZmilitary1/status/1569795425397268481</t>
  </si>
  <si>
    <t>https://www.youtube.com/watch?v=PMOHqsUyk7Y&amp;feature=youtu.be https://www.youtube.com/watch?v=V75pj41VFGk https://www.youtube.com/watch?v=ejG32fwnsV4&amp;feature=youtu.be https://ameblo.jp/historical-gay/entry-10222227037.html https://www.youtube.com/watch?v=uHIVevq290k&amp;feature=youtu.be</t>
  </si>
  <si>
    <t>URLs in Tweet by Salience</t>
  </si>
  <si>
    <t>Domains in Tweet by Count</t>
  </si>
  <si>
    <t>reuters.com mid.ru</t>
  </si>
  <si>
    <t>youtube.com ameblo.jp</t>
  </si>
  <si>
    <t>Domains in Tweet by Salience</t>
  </si>
  <si>
    <t>ameblo.jp youtube.com</t>
  </si>
  <si>
    <t>Hashtags in Tweet by Count</t>
  </si>
  <si>
    <t>standwithrussia russia russianarmy putin russian fenerbahcedinamokiev wagnergroup</t>
  </si>
  <si>
    <t>standwithrussia nato cia ukraine russia uranium ue dombass kherson wagners</t>
  </si>
  <si>
    <t>standwithrussia fuckukronazis mondialisme pegremondialiste zelenskywarcriminal fuckzelenskywarcriminal ue stoprussophobia aphatie ukronazi</t>
  </si>
  <si>
    <t>standwithrussia standwithputin standwithsyria standwithassad zelensky assad ukraine russie</t>
  </si>
  <si>
    <t>standwithrussia zelenskywarcriminal stopnato stopnaziukraine stopzelensky zelenskyywarcriminal standwithputin stopnatonow usaevilempire westandwithrussia</t>
  </si>
  <si>
    <t>славаукраїні рашизм yкраїна россия stoprussia slavaukraini standwithukraine istandwithukraine russianarmy russianairforce</t>
  </si>
  <si>
    <t>forzaputin standwithrussia zelenskycocaineaddicted zelenskywarcriminal naziukraine forzabrics forzaeef fuckusa fucknato fuckeu</t>
  </si>
  <si>
    <t>standwithrussia sanctionukraine zelenskywarcriminal dissolveeu arrestvdl dissolvenato haltdiefressespringerpresse eu cduverbieten</t>
  </si>
  <si>
    <t>standwithrussia russia russian russianarmy</t>
  </si>
  <si>
    <t>standwithrussia notinmyname standwithukraine standwithukriane russiaisaterroriststate standwithukraine️</t>
  </si>
  <si>
    <t>standwithrussia russia russianarmy putin wagnergroup</t>
  </si>
  <si>
    <t>standwithrussia russia russianarmy russian putin wagnergroup</t>
  </si>
  <si>
    <t>standwithrussia ティプシー inizon 1d tchaikovsky lgbt ロシア正教 russianorthodox ロシア russia</t>
  </si>
  <si>
    <t>Hashtags in Tweet by Salience</t>
  </si>
  <si>
    <t>putin russianarmy russian fenerbahcedinamokiev wagnergroup russia standwithrussia</t>
  </si>
  <si>
    <t>nato cia ukraine russia uranium ue dombass kherson wagners standwithrussia</t>
  </si>
  <si>
    <t>fuckzelenskywarcriminal ue stoprussophobia aphatie ukronazi gotoehpad stop_russophobia fuckaphatie fucknwo fuckwef</t>
  </si>
  <si>
    <t>deindustrialisierung habeck snowden visabanforrussians standwithrussia</t>
  </si>
  <si>
    <t>putin putin4ever standwithrussia</t>
  </si>
  <si>
    <t>stopnaziukraine russia eu stopnato natocriminals standwithrussia</t>
  </si>
  <si>
    <t>ukraine russie standwithputin standwithsyria standwithassad zelensky assad standwithrussia</t>
  </si>
  <si>
    <t>zelenskyywarcriminal stopnaziukraine stopzelensky standwithputin stopnatonow stopnato usaevilempire westandwithrussia zelenskywarcriminal standwithrussia</t>
  </si>
  <si>
    <t>kiev nato usa nonato standwithrussia</t>
  </si>
  <si>
    <t>zelenskycocaineaddicted zelenskywarcriminal naziukraine forzabrics forzaeef fuckusa fucknato fuckeu stopnwo stopwef</t>
  </si>
  <si>
    <t>neutralgermany standwithrussia</t>
  </si>
  <si>
    <t>russianarmy standwithrussia russia</t>
  </si>
  <si>
    <t>dissolveeu arrestvdl dissolvenato zelenskywarcriminal haltdiefressespringerpresse eu cduverbieten sanctionukraine standwithrussia</t>
  </si>
  <si>
    <t>russia russian russianarmy standwithrussia</t>
  </si>
  <si>
    <t>notinmyname standwithukraine standwithukriane russiaisaterroriststate standwithukraine️ standwithrussia</t>
  </si>
  <si>
    <t>russianarmy putin wagnergroup standwithrussia russia</t>
  </si>
  <si>
    <t>russianarmy russian putin wagnergroup russia standwithrussia</t>
  </si>
  <si>
    <t>ニセモノ やらせ フェイク tchaikovsky lgbt ロシア正教 russianorthodox ロシア russia セクマイさん</t>
  </si>
  <si>
    <t>la macronlevatenguerre macronnousprendpourdescons soutienlarussie zemmouravaitraison reconquete lareconquetecontinue jevotereconquete standwithrussia</t>
  </si>
  <si>
    <t>Top Words in Tweet by Count</t>
  </si>
  <si>
    <t>günaydın wagner grubu konser öncesi hazırlıklarını tamamladı #standwithrussia #russia #russianarmy</t>
  </si>
  <si>
    <t>#standwithrussia #russia #russianarmy ve rus silahlı kuvvetleri #putin birlikleri ukrayna</t>
  </si>
  <si>
    <t>ipurdley oops #russian video russian trolls proving ukraine attacked power</t>
  </si>
  <si>
    <t>#standwithrussia #nato pro spilling blood maybe always #cia defunct #ukraine</t>
  </si>
  <si>
    <t>pavyg usopen looks _markpetchey soon boycotting men final moderna open</t>
  </si>
  <si>
    <t>bayrou êtes synthèse bêtise hommes politique contemporains n'êtes pantin servile</t>
  </si>
  <si>
    <t>kartoen mgcanmore mfa_russia rusmission_eu euinrussia vonderleyen josepborrellf rf_osce mission_rf rusbotschaft</t>
  </si>
  <si>
    <t>#standwithrussia amp leurs #fuckukronazis #mondialisme #pegremondialiste #zelenskywarcriminal #fuckzelenskywarcriminal sudradio ah</t>
  </si>
  <si>
    <t>#standwithrussia #kremlin #poutineinnocent</t>
  </si>
  <si>
    <t>die paradigmenwechsel während eu grundrechtseinschränkungen reise bewegungsfreiheit neuen eisernen vorgang</t>
  </si>
  <si>
    <t>bhl #slavarossiya #standwithrussia</t>
  </si>
  <si>
    <t>ukrainians #standwithrussia</t>
  </si>
  <si>
    <t>insolvenzen sanktionen wirken abbau deutschen wirtschaft läuft gut während gesamten</t>
  </si>
  <si>
    <t># albertofazolo studio analizza periodo 24 febbraio marzo basato sui</t>
  </si>
  <si>
    <t>gorkembo #standwithrussia</t>
  </si>
  <si>
    <t>#standwithrussia gregorgysi vergessen</t>
  </si>
  <si>
    <t>#standwithrussia #blacklenin #communism #slavacocaine #hunterbidenlaptop #wef fuck #elensky good luck</t>
  </si>
  <si>
    <t>study war ukraine #standwithukraine #standwithrussia australian university twitter coverage examining</t>
  </si>
  <si>
    <t>ja venäjän ukrainan konfliktin ympärillä käytäviin verkkokeskusteluihin miten botit voivat</t>
  </si>
  <si>
    <t>galantias1 spiritofho #russiapower #standwithrussia #zelenskymustgo #denatofication</t>
  </si>
  <si>
    <t>#standwithrussia #putin putin slava russia että infussambas pray veitera vapauttaa</t>
  </si>
  <si>
    <t>lucygatsby tucosal75136559 wendellwickets rus_emb_ireland thanks read article applies first two</t>
  </si>
  <si>
    <t>biz kazanacağız #standwithrussia #russia #russianarmy</t>
  </si>
  <si>
    <t>#putin #russia #standwithrussia stand russia</t>
  </si>
  <si>
    <t>aware bucha way #standwithrussia #stopnaziukraine killed people</t>
  </si>
  <si>
    <t>russia #standwithrussia love donbass along crimea always part go heyhelloirene</t>
  </si>
  <si>
    <t>goeringeckardt sarananni abaerbock #standwithrussia</t>
  </si>
  <si>
    <t>ukraine gone end september russia ukrainians #standwithrussia</t>
  </si>
  <si>
    <t># used collect tweets hashtags standwithputin supportrussia standwithukraine standwithzelenskyy supportukraine</t>
  </si>
  <si>
    <t>ukraine_world #standwithrussia</t>
  </si>
  <si>
    <t># such sangreal1965 research bipartisan analysed couplets standwithputin supportrussia standwithukraine</t>
  </si>
  <si>
    <t>etats unis réclament l'unité alliés contre russie comment yankees demandent</t>
  </si>
  <si>
    <t>#standwithrussia farewell go hell puppet satan #standwithputin #standwithsyria #standwithassad #zelensky</t>
  </si>
  <si>
    <t>#standwithrussia cjbjcjbj gertjansegers jij hebt bloed aan handen dassenlaurens</t>
  </si>
  <si>
    <t>#standwithrussia hungary jhahneu democracy over autocracy brussels washington general_ben nato</t>
  </si>
  <si>
    <t>moveebuff1953 yes sim oui #zelenskywarcriminal #stopzelensky #stopnaziukraine #usaevilempire #standwithrussia #westandwithrussia</t>
  </si>
  <si>
    <t>leur stratpol_site toute racaille veautante politique médiatique peuvent compter fait</t>
  </si>
  <si>
    <t>general βλαδίμηρε πούτιν όταν παίρνεις τις αποφάσεις σου θα κοιτάς</t>
  </si>
  <si>
    <t>jacksonhinklle donbas krim bright shine diamond #standwithrussia</t>
  </si>
  <si>
    <t>ve rus ordusu harkov bölgedeki hedeflere büyük bir darbe indiriyor</t>
  </si>
  <si>
    <t>l'esercito dei bot filo ucraini passato guerre sono state combattute</t>
  </si>
  <si>
    <t>#belgrade #serbia #standwithrussia #orthodox photos belgrade</t>
  </si>
  <si>
    <t>#славаукраїні #рашизм #yкраїна #россия #stoprussia #slavaukraini #standwithukraine #istandwithukraine #russianarmy #russianairforce</t>
  </si>
  <si>
    <t>anti self declared left wing imperialists support conservative dictators war</t>
  </si>
  <si>
    <t>rusembturkey #standwithrussia</t>
  </si>
  <si>
    <t>howardlee_my drjasonleong #standwithrussia</t>
  </si>
  <si>
    <t>dal 2013 lavora adeguare #kiev agli standard #nato giusto capire</t>
  </si>
  <si>
    <t>#forzaputin #standwithrussia ma non ci #zelenskycocaineaddicted #zelenskywarcriminal #naziukraine abbiamo pietroraffa</t>
  </si>
  <si>
    <t>analyses without intending #nafo #fella perfectly encapsulated gist meme time</t>
  </si>
  <si>
    <t>akorybko #standwithrussia</t>
  </si>
  <si>
    <t>spencerguard judeanne66 banned opposition party without doubt behaving fascist government</t>
  </si>
  <si>
    <t>actualidadrt #putinwarcriminal #standwithrussia</t>
  </si>
  <si>
    <t>reuters #boycottqatar #boycottqatar2022 #boycottqatarfifaworldcup2022 #boycottfifa #boycottfifaworldcup2022 #boycottqatarairways #boycottarab #boycottpuppetsofamerica #boycottwahabiislam</t>
  </si>
  <si>
    <t>tahdmb many norway #standwithrussia good keep history mind times west</t>
  </si>
  <si>
    <t># 12 supportrussia surfingcelia termitesturd plnewstoday looked accounts using hashtags</t>
  </si>
  <si>
    <t>heinrich_haupt #putin playing #standwithrussia f# # ukraine f239 eu small</t>
  </si>
  <si>
    <t>turkey nato sanctions issued chimdi0811 cnn azerbaijan unprovoked attacks backed</t>
  </si>
  <si>
    <t># sunshinesaskia pwrdbyanthony hoho jij leest graag wat wil lezen</t>
  </si>
  <si>
    <t>die russlandfeldzug #standwithrussia tote solche aussagen zeigen nazis grünen finden</t>
  </si>
  <si>
    <t>ukrayna hələ bəzilərinin profilində standwithukraine yazılanları var war deyir peysəllər</t>
  </si>
  <si>
    <t>#standwithrussia #russia #russianarmy biz kazanacağız ukronazi medyası rus askeri uçaklarının</t>
  </si>
  <si>
    <t>patrick_edery rêves seulement #lagranderussie #standwithrussia</t>
  </si>
  <si>
    <t>russia heyhelloirene greetings wannabetsarevna love donbass along crimea always part</t>
  </si>
  <si>
    <t>#saynomore #tplfmustgo #tplfisthecause #tplf #standwithrussia #china #trumpwasright #trump #ethiopia #eritrea</t>
  </si>
  <si>
    <t>vonderleyen zelenskaua thing ve inspired putin drop more bombs nazi</t>
  </si>
  <si>
    <t>app test ukraine surrender #standwithrussia</t>
  </si>
  <si>
    <t>#standwithrussia pmcorchestra thatdayin1992 re completely right nato's bombing legal terrorism</t>
  </si>
  <si>
    <t>voilà pourquoi hais ue pitres clowns pensent rien cette armée</t>
  </si>
  <si>
    <t>nato sponsored ukrainian rocket hits kindergarten donbass first one 2014</t>
  </si>
  <si>
    <t>#standwithrussia #sanctionukraine #zelenskywarcriminal nazi regime die #dissolveeu rassisten stellvertreterkrieg tagesschau</t>
  </si>
  <si>
    <t>hebobiwine #standwithrussia</t>
  </si>
  <si>
    <t>birlikleri #standwithrussia çeçen neonazi avına başladı #russia dhc amp lhc</t>
  </si>
  <si>
    <t>çeçen birlikleri neonazi avına başladı #standwithrussia #russia</t>
  </si>
  <si>
    <t>#standwithrussia kremlinrussia_e never eu_commission vonderleyen against #standwithukraine ukrainian zelenskyyua zelenskaua</t>
  </si>
  <si>
    <t>olur ramazan kadırov ülke genelinde sıkıyönetim ilan eder ve türlü</t>
  </si>
  <si>
    <t># 此の領域での活動を追跡している 今回 bridget smartのチームは 2月23日 3月8迄に投稿された以下のハッシュタグを含む全ての tweetを入手した standwithputin supportrussia</t>
  </si>
  <si>
    <t>#standwithrussia #russia birlikleri #russianarmy çeçen neonazi avına başladı ura uraaaa</t>
  </si>
  <si>
    <t>souveraineté n'existe steph_sejourne européenne par definiton retourne l'école petit #collabo</t>
  </si>
  <si>
    <t>rus hava kuvvetleri ukrayna'nın enerji altyapısına saldırıyor #standwithrussia #russia #russianarmy</t>
  </si>
  <si>
    <t>lol hablando serio estamos peligro falsea historia #standwithrussia</t>
  </si>
  <si>
    <t>mariana_betsa #standwithrussia don europe ukrainian girls nothing</t>
  </si>
  <si>
    <t>ura uraaaa #standwithrussia #russia #putin</t>
  </si>
  <si>
    <t>#standwithrussia #russia #russianarmy ve rus silahlı kuvvetleri birlikleri hava olur</t>
  </si>
  <si>
    <t>denistrubetskoy bundeskanzler liegt deutschem europäischem interesse korruptes rassistisches nazi regime</t>
  </si>
  <si>
    <t>pandor address foreign relations council #standwithrussia #standwithbricks #bricks #standwithputin #senzomeyiwatrail</t>
  </si>
  <si>
    <t>#standwithrussia generalstaffua jacquesfrre2 snmilitary</t>
  </si>
  <si>
    <t>ukraine russia nato send soldier battlefield camouflage 3rd batalyon latest</t>
  </si>
  <si>
    <t>#standwithrussia ukraine66251776 zzzaikar</t>
  </si>
  <si>
    <t>どこを見ている キエフはここだ #libereal #standwithrussia</t>
  </si>
  <si>
    <t>mais #standwithrussia franceinter laurenceboone faut être naïfs macronie l'ue utilisent</t>
  </si>
  <si>
    <t>ronin19217435 minniem96252794 war fake news designed make russia look bad</t>
  </si>
  <si>
    <t>jacquesfrre2 #standwithrussia</t>
  </si>
  <si>
    <t>#standwithrussia #ティプシー #inizon #1d #tchaikovsky #lgbt #ロシア正教 #russianorthodox #ロシア #russia</t>
  </si>
  <si>
    <t>votre #standwithrussia cnews soutiendrais vladpoutine_fr temps faudra #la honte #macronlevatenguerre</t>
  </si>
  <si>
    <t>wann #europa richtig kalt eure kinder älteren friert denkt daran</t>
  </si>
  <si>
    <t>Top Words in Tweet by Salience</t>
  </si>
  <si>
    <t>silahlı ve kuvvetleri olur rf rus #putin birlikleri #russianarmy ukrayna</t>
  </si>
  <si>
    <t>pro maybe attack day lie idiot death channels #nato spilling</t>
  </si>
  <si>
    <t>leurs amp #fuckzelenskywarcriminal sudradio ah ils sont beaux résultats sanctions</t>
  </si>
  <si>
    <t>insolvenzen die sanktionen wirken abbau deutschen wirtschaft läuft gut gesamten</t>
  </si>
  <si>
    <t>että #putin putin slava russia infussambas pray veitera vapauttaa meidät</t>
  </si>
  <si>
    <t>russia go love donbass along crimea always part heyhelloirene greetings</t>
  </si>
  <si>
    <t>freilichlior researcher lazy algorithm contain results based onequantumleap antonio27182818 josh_watt_</t>
  </si>
  <si>
    <t>zelenskyyua emmanuelmacron etats unis réclament l'unité alliés contre russie comment</t>
  </si>
  <si>
    <t>cjbjcjbj gertjansegers jij hebt bloed aan handen dassenlaurens #standwithrussia</t>
  </si>
  <si>
    <t>democracy over autocracy brussels washington general_ben nato jhahneu eu_commission meiselasb</t>
  </si>
  <si>
    <t>right tem direito contra defender against regime sim rússia nato</t>
  </si>
  <si>
    <t>ci abbiamo ma non #zelenskycocaineaddicted #zelenskywarcriminal #naziukraine pietroraffa fantastico più</t>
  </si>
  <si>
    <t>tote solche aussagen zeigen nazis grünen finden ende führen wollen</t>
  </si>
  <si>
    <t>biz kazanacağız ukronazi medyası rus askeri uçaklarının doğu sınırı boyunca</t>
  </si>
  <si>
    <t>pmcorchestra thatdayin1992 re completely right nato's bombing legal terrorism usa</t>
  </si>
  <si>
    <t>die europe bundeskanzler europas #dissolveeu rassisten stellvertreterkrieg regime tagesschau keine</t>
  </si>
  <si>
    <t>çeçen neonazi avına başladı #russia dhc amp lhc rus silahlı</t>
  </si>
  <si>
    <t>people riguardo pay plant against zelenskaua europe name nato potus</t>
  </si>
  <si>
    <t>birlikleri #russianarmy çeçen neonazi avına başladı ura uraaaa #putin rusya</t>
  </si>
  <si>
    <t>silahlı kuvvetleri ve olur rf rus birlikleri #russianarmy hava bir</t>
  </si>
  <si>
    <t>jacquesfrre2 generalstaffua snmilitary #standwithrussia</t>
  </si>
  <si>
    <t>ukraine66251776 zzzaikar #standwithrussia</t>
  </si>
  <si>
    <t>franceinter laurenceboone faut être naïfs macronie l'ue utilisent tous moyens</t>
  </si>
  <si>
    <t>ニセモノ #やらせ #フェイク things live 2013 russia show love #tchaikovsky</t>
  </si>
  <si>
    <t>votre cnews soutiendrais vladpoutine_fr temps faudra #la honte #macronlevatenguerre #macronnousprendpourdescons</t>
  </si>
  <si>
    <t>Top Word Pairs in Tweet by Count</t>
  </si>
  <si>
    <t>günaydın,wagner  wagner,grubu  grubu,konser  konser,öncesi  öncesi,hazırlıklarını  hazırlıklarını,tamamladı  tamamladı,#standwithrussia  #standwithrussia,#russia  #russia,#russianarmy  #russianarmy,#wagnergroup</t>
  </si>
  <si>
    <t>#standwithrussia,#russia  #russia,#russianarmy  #russia,#putin  rf,silahlı  silahlı,kuvvetleri  ukrayna,harkov  harkov,metrosu  metrosu,işığına  işığına,oldu  oldu,zelenskyyua</t>
  </si>
  <si>
    <t>ipurdley,oops  oops,#russian  #russian,video  video,russian  russian,trolls  trolls,proving  proving,ukraine  ukraine,attacked  attacked,power  power,plant</t>
  </si>
  <si>
    <t>#nato,#cia  defunct,#ukraine  happy,countries  countries,protracting  protracting,special  special,operation  operation,thus  thus,spilling  spilling,more  more,blood</t>
  </si>
  <si>
    <t>pavyg,usopen  usopen,looks  looks,_markpetchey  _markpetchey,soon  soon,boycotting  boycotting,men  men,final  final,moderna  moderna,open  open,#standwithrussia</t>
  </si>
  <si>
    <t>bayrou,êtes  êtes,synthèse  synthèse,bêtise  bêtise,hommes  hommes,politique  politique,contemporains  contemporains,n'êtes  n'êtes,pantin  pantin,servile  servile,marionnette</t>
  </si>
  <si>
    <t>kartoen,mgcanmore  mgcanmore,mfa_russia  mfa_russia,rusmission_eu  rusmission_eu,euinrussia  euinrussia,vonderleyen  vonderleyen,josepborrellf  josepborrellf,rf_osce  rf_osce,mission_rf  mission_rf,rusbotschaft  rusbotschaft,ambrusfrance</t>
  </si>
  <si>
    <t>#standwithrussia,#kremlin  #kremlin,#poutineinnocent</t>
  </si>
  <si>
    <t>paradigmenwechsel,während  während,die  die,eu  eu,grundrechtseinschränkungen  grundrechtseinschränkungen,reise  reise,bewegungsfreiheit  bewegungsfreiheit,neuen  neuen,eisernen  eisernen,vorgang  vorgang,errichtet</t>
  </si>
  <si>
    <t>bhl,#slavarossiya  #slavarossiya,#standwithrussia</t>
  </si>
  <si>
    <t>bhl,#standwithrussia</t>
  </si>
  <si>
    <t>ukrainians,#standwithrussia</t>
  </si>
  <si>
    <t>albertofazolo,studio  studio,analizza  analizza,periodo  periodo,24  24,febbraio  febbraio,marzo  marzo,basato  basato,sui  sui,seguenti  seguenti,#</t>
  </si>
  <si>
    <t>gorkembo,#standwithrussia</t>
  </si>
  <si>
    <t>#standwithrussia,gregorgysi  gregorgysi,vergessen</t>
  </si>
  <si>
    <t>#standwithrussia,#blacklenin  #blacklenin,#communism  #communism,#slavacocaine  #slavacocaine,#hunterbidenlaptop  #hunterbidenlaptop,#wef  #wef,fuck  fuck,#elensky  #elensky,good  good,luck  luck,killing</t>
  </si>
  <si>
    <t>venäjän,ja  ja,ukrainan  ukrainan,konfliktin  konfliktin,ympärillä  ympärillä,käytäviin  käytäviin,verkkokeskusteluihin  verkkokeskusteluihin,ja  ja,miten  miten,botit  botit,voivat</t>
  </si>
  <si>
    <t>galantias1,spiritofho  spiritofho,#russiapower  #russiapower,#standwithrussia  #standwithrussia,#zelenskymustgo  #zelenskymustgo,#denatofication</t>
  </si>
  <si>
    <t>slava,russia  russia,#standwithrussia  infussambas,pray  pray,#putin  #putin,#standwithrussia  veitera,putin  putin,vapauttaa  vapauttaa,meidät  meidät,slava  sarjanenantti,mikaelgabriel</t>
  </si>
  <si>
    <t>lucygatsby,tucosal75136559  tucosal75136559,wendellwickets  wendellwickets,rus_emb_ireland  rus_emb_ireland,thanks  thanks,read  read,article  article,applies  applies,first  first,two  two,weeks</t>
  </si>
  <si>
    <t>biz,kazanacağız  kazanacağız,#standwithrussia  #standwithrussia,#russia  #russia,#russianarmy</t>
  </si>
  <si>
    <t>#putin,#russia  #russia,#standwithrussia  #standwithrussia,stand  stand,russia</t>
  </si>
  <si>
    <t>aware,bucha  bucha,way  way,#standwithrussia  #standwithrussia,#stopnaziukraine  #stopnaziukraine,killed  killed,people</t>
  </si>
  <si>
    <t>goeringeckardt,sarananni  sarananni,abaerbock  abaerbock,#standwithrussia</t>
  </si>
  <si>
    <t>ukraine,gone  gone,end  end,september  september,russia  russia,ukrainians  ukrainians,#standwithrussia</t>
  </si>
  <si>
    <t>ukraine_world,#standwithrussia</t>
  </si>
  <si>
    <t>sangreal1965,research  research,bipartisan  bipartisan,analysed  analysed,couplets  couplets,such  such,#  #,standwithputin  standwithputin,#  #,standwithrussia  standwithrussia,#</t>
  </si>
  <si>
    <t>farewell,go  go,hell  hell,puppet  puppet,satan  satan,#standwithrussia  #standwithrussia,#standwithputin  #standwithputin,#standwithsyria  #standwithsyria,#standwithassad  #standwithassad,#zelensky  #zelensky,vs</t>
  </si>
  <si>
    <t>cjbjcjbj,#standwithrussia  gertjansegers,jij  jij,hebt  hebt,bloed  bloed,aan  aan,handen  handen,#standwithrussia  dassenlaurens,#standwithrussia</t>
  </si>
  <si>
    <t>jhahneu,#standwithrussia  #standwithrussia,democracy  democracy,over  over,autocracy  autocracy,brussels  brussels,washington  general_ben,#standwithrussia  #standwithrussia,hungary  #standwithrussia,nato  nato,hungary</t>
  </si>
  <si>
    <t>moveebuff1953,yes  yes,sim  sim,oui  oui,#zelenskywarcriminal  #zelenskywarcriminal,#stopzelensky  #stopzelensky,#stopnaziukraine  #stopnaziukraine,#usaevilempire  #usaevilempire,#standwithrussia  #standwithrussia,#westandwithrussia</t>
  </si>
  <si>
    <t>tem,direito  #stopnato,#stopnaziukraine  #stopnaziukraine,#standwithrussia  #zelenskywarcriminal,#stopzelensky  defender,contra  #zelenskyywarcriminal,#zelenskywarcriminal  #zelenskywarcriminal,#stopnato  #standwithrussia,#standwithrussia  rússia,tem  direito,defender</t>
  </si>
  <si>
    <t>stratpol_site,toute  toute,racaille  racaille,veautante  veautante,politique  politique,médiatique  médiatique,peuvent  peuvent,compter  compter,fait  fait,triomphalisme  triomphalisme,chie</t>
  </si>
  <si>
    <t>βλαδίμηρε,πούτιν  πούτιν,όταν  όταν,παίρνεις  παίρνεις,τις  τις,αποφάσεις  αποφάσεις,σου  σου,θα  θα,κοιτάς  κοιτάς,κατάματα  κατάματα,αυτούς</t>
  </si>
  <si>
    <t>jacksonhinklle,donbas  donbas,krim  krim,bright  bright,shine  shine,diamond  diamond,#standwithrussia</t>
  </si>
  <si>
    <t>rus,ordusu  ordusu,harkov  harkov,ve  ve,bölgedeki  bölgedeki,hedeflere  hedeflere,büyük  büyük,bir  bir,darbe  darbe,indiriyor  indiriyor,ayrıca</t>
  </si>
  <si>
    <t>l'esercito,dei  dei,bot  bot,filo  filo,ucraini  ucraini,passato  passato,guerre  guerre,sono  sono,state  state,combattute  combattute,principalmente</t>
  </si>
  <si>
    <t>#belgrade,#serbia  #serbia,#standwithrussia  #standwithrussia,#orthodox  #orthodox,photos  photos,belgrade</t>
  </si>
  <si>
    <t>#славаукраїні,#славаукраїні  #славаукраїні,#рашизм  #рашизм,#yкраїна  #yкраїна,#россия  #россия,#stoprussia  #stoprussia,#slavaukraini  #slavaukraini,#standwithukraine  #standwithukraine,#istandwithukraine  #istandwithukraine,#russianarmy  #russianarmy,#russianairforce</t>
  </si>
  <si>
    <t>self,declared  declared,left  left,wing  wing,anti  anti,imperialists  imperialists,support  support,conservative  conservative,dictators  dictators,war  war,imperialist</t>
  </si>
  <si>
    <t>rusembturkey,#standwithrussia</t>
  </si>
  <si>
    <t>howardlee_my,drjasonleong  drjasonleong,#standwithrussia</t>
  </si>
  <si>
    <t>#forzaputin,#standwithrussia  ma,non  pietroraffa,fantastico  fantastico,più  più,tweet  tweet,concentrato  concentrato,idiozie  idiozie,rara  rara,bellezza  bellezza,forza</t>
  </si>
  <si>
    <t>akorybko,#standwithrussia</t>
  </si>
  <si>
    <t>spencerguard,judeanne66  judeanne66,banned  banned,opposition  opposition,party  party,without  without,doubt  doubt,behaving  behaving,fascist  fascist,government  government,#standwithrussia</t>
  </si>
  <si>
    <t>actualidadrt,#putinwarcriminal  #putinwarcriminal,#standwithrussia</t>
  </si>
  <si>
    <t>reuters,#boycottqatar  #boycottqatar,#boycottqatar2022  #boycottqatar2022,#boycottqatarfifaworldcup2022  #boycottqatarfifaworldcup2022,#boycottfifa  #boycottfifa,#boycottfifaworldcup2022  #boycottfifaworldcup2022,#boycottqatarairways  #boycottqatarairways,#boycottarab  #boycottarab,#boycottpuppetsofamerica  #boycottpuppetsofamerica,#boycottwahabiislam  #boycottwahabiislam,#boycottmohammadbinabdulwahabislam</t>
  </si>
  <si>
    <t>tahdmb,many  many,norway  norway,#standwithrussia  #standwithrussia,good  good,keep  keep,history  history,mind  mind,times  times,west  west,drowning</t>
  </si>
  <si>
    <t>surfingcelia,termitesturd  termitesturd,plnewstoday  plnewstoday,looked  looked,accounts  accounts,using  using,12  12,hashtags  hashtags,#  #,standwithputin  standwithputin,#</t>
  </si>
  <si>
    <t>heinrich_haupt,#putin  #putin,playing  playing,#standwithrussia  #standwithrussia,f#  f#,#  #,ukraine  ukraine,f239  f239,eu  eu,small  small,gain</t>
  </si>
  <si>
    <t>chimdi0811,cnn  cnn,azerbaijan  azerbaijan,unprovoked  unprovoked,attacks  attacks,backed  backed,turkey  turkey,turkey  turkey,nato  nato,member  member,sanctions</t>
  </si>
  <si>
    <t>sunshinesaskia,pwrdbyanthony  pwrdbyanthony,hoho  hoho,jij  jij,leest  leest,graag  graag,wat  wat,wil  wil,lezen  lezen,blijkbaar  blijkbaar,#</t>
  </si>
  <si>
    <t>solche,aussagen  aussagen,zeigen  zeigen,die  die,nazis  nazis,grünen  grünen,finden  finden,russlandfeldzug  russlandfeldzug,ende  ende,führen  führen,wollen</t>
  </si>
  <si>
    <t>hələ,bəzilərinin  bəzilərinin,profilində  profilində,standwithukraine  standwithukraine,yazılanları  yazılanları,var  var,war  war,deyir  deyir,peysəllər  peysəllər,hələdə  hələdə,başa</t>
  </si>
  <si>
    <t>#standwithrussia,#russia  biz,kazanacağız  kazanacağız,#standwithrussia  #russia,#russianarmy  ukronazi,medyası  medyası,rus  rus,askeri  askeri,uçaklarının  uçaklarının,doğu  doğu,sınırı</t>
  </si>
  <si>
    <t>patrick_edery,rêves  rêves,seulement  seulement,#lagranderussie  #lagranderussie,#standwithrussia</t>
  </si>
  <si>
    <t>heyhelloirene,greetings  greetings,wannabetsarevna  wannabetsarevna,russia  russia,love  love,russia  russia,donbass  donbass,along  along,crimea  crimea,always  always,part</t>
  </si>
  <si>
    <t>#saynomore,#tplfmustgo  #tplfmustgo,#tplfisthecause  #tplfisthecause,#tplf  #tplf,#standwithrussia  #standwithrussia,#china  #china,#trumpwasright  #trumpwasright,#trump  #trump,#ethiopia  #ethiopia,#eritrea  #eritrea,potus45</t>
  </si>
  <si>
    <t>vonderleyen,zelenskaua  zelenskaua,thing  thing,ve  ve,inspired  inspired,putin  putin,drop  drop,more  more,bombs  bombs,nazi  nazi,heads</t>
  </si>
  <si>
    <t>app,test  test,ukraine  ukraine,surrender  surrender,#standwithrussia</t>
  </si>
  <si>
    <t>pmcorchestra,#standwithrussia  thatdayin1992,re  re,completely  completely,right  right,nato's  nato's,bombing  bombing,legal  legal,terrorism  terrorism,#standwithrussia  #standwithrussia,usa</t>
  </si>
  <si>
    <t>nato,sponsored  sponsored,ukrainian  ukrainian,rocket  rocket,hits  hits,kindergarten  kindergarten,donbass  donbass,first  first,one  one,2014  2014,#zelenskywarcriminal</t>
  </si>
  <si>
    <t>#zelenskywarcriminal,#sanctionukraine  #sanctionukraine,#standwithrussia  nazi,regime  #sanctionukraine,#zelenskywarcriminal  korrupten,rassisten  regime,militärische  militärische,größe  #arrestvdl,#sanctionukraine  #zelenskywarcriminal,#standwithrussia  rassisten,stellvertreterkrieg</t>
  </si>
  <si>
    <t>hebobiwine,#standwithrussia</t>
  </si>
  <si>
    <t>çeçen,birlikleri  birlikleri,neonazi  neonazi,avına  avına,başladı  başladı,#standwithrussia  #standwithrussia,#russia  dhc,amp  amp,lhc  lhc,birlikleri  birlikleri,rus</t>
  </si>
  <si>
    <t>çeçen,birlikleri  birlikleri,neonazi  neonazi,avına  avına,başladı  başladı,#standwithrussia  #standwithrussia,#russia</t>
  </si>
  <si>
    <t>kremlinrussia_e,#standwithrussia  never,#standwithukraine  eu_commission,zelenskaua  nato,potus  vonderleyen,eu_commission  #standwithrussia,never  zelenskaua,vonderleyen  vonderleyen,leyen  leyen,role  role,dissolve</t>
  </si>
  <si>
    <t>ramazan,kadırov  kadırov,ülke  ülke,genelinde  genelinde,sıkıyönetim  sıkıyönetim,ilan  ilan,eder  eder,ve  ve,türlü  türlü,silahı  silahı,kullanırdım</t>
  </si>
  <si>
    <t>此の領域での活動を追跡している,今回  今回,bridget  bridget,smartのチームは  smartのチームは,2月23日  2月23日,3月8迄に投稿された以下のハッシュタグを含む全ての  3月8迄に投稿された以下のハッシュタグを含む全ての,tweetを入手した  tweetを入手した,#  #,standwithputin  standwithputin,#  #,standwithrussia</t>
  </si>
  <si>
    <t>#standwithrussia,#russia  #russia,#russianarmy  çeçen,birlikleri  birlikleri,neonazi  neonazi,avına  avına,başladı  başladı,#standwithrussia  ura,uraaaa  uraaaa,#standwithrussia  #russia,#putin</t>
  </si>
  <si>
    <t>steph_sejourne,souveraineté  souveraineté,européenne  européenne,n'existe  n'existe,n'existe  n'existe,par  par,definiton  definiton,retourne  retourne,l'école  l'école,petit  petit,#collabo</t>
  </si>
  <si>
    <t>rus,hava  hava,kuvvetleri  kuvvetleri,ukrayna'nın  ukrayna'nın,enerji  enerji,altyapısına  altyapısına,saldırıyor  saldırıyor,#standwithrussia  #standwithrussia,#russia  #russia,#russianarmy</t>
  </si>
  <si>
    <t>lol,hablando  hablando,serio  serio,estamos  estamos,peligro  peligro,falsea  falsea,historia  historia,#standwithrussia</t>
  </si>
  <si>
    <t>mariana_betsa,#standwithrussia  #standwithrussia,don  don,europe  europe,ukrainian  ukrainian,girls  girls,nothing</t>
  </si>
  <si>
    <t>ura,uraaaa  uraaaa,#standwithrussia  #standwithrussia,#russia  #russia,#putin</t>
  </si>
  <si>
    <t>#standwithrussia,#russia  #russia,#russianarmy  rf,silahlı  silahlı,kuvvetleri  rus,hava  hava,kuvvetleri  kuvvetleri,ukrayna'nın  ukrayna'nın,enerji  enerji,altyapısına  altyapısına,saldırıyor</t>
  </si>
  <si>
    <t>denistrubetskoy,bundeskanzler  bundeskanzler,liegt  liegt,deutschem  deutschem,europäischem  europäischem,interesse  interesse,korruptes  korruptes,rassistisches  rassistisches,nazi  nazi,regime  regime,militärische</t>
  </si>
  <si>
    <t>pandor,address  address,foreign  foreign,relations  relations,council  council,#standwithrussia  #standwithrussia,#standwithbricks  #standwithbricks,#bricks  #bricks,#standwithputin  #standwithputin,#senzomeyiwatrail</t>
  </si>
  <si>
    <t>generalstaffua,#standwithrussia  jacquesfrre2,#standwithrussia  snmilitary,#standwithrussia</t>
  </si>
  <si>
    <t>nato,send  send,soldier  soldier,ukraine  ukraine,battlefield  battlefield,camouflage  camouflage,ukraine  ukraine,3rd  3rd,batalyon  batalyon,latest  latest,strike</t>
  </si>
  <si>
    <t>ukraine66251776,#standwithrussia  zzzaikar,#standwithrussia</t>
  </si>
  <si>
    <t>どこを見ている,キエフはここだ  キエフはここだ,#libereal  #libereal,#standwithrussia</t>
  </si>
  <si>
    <t>franceinter,laurenceboone  laurenceboone,faut  faut,être  être,naïfs  naïfs,macronie  macronie,l'ue  l'ue,utilisent  utilisent,tous  tous,moyens  moyens,possibles</t>
  </si>
  <si>
    <t>ronin19217435,minniem96252794  minniem96252794,war  war,fake  fake,news  news,designed  designed,make  make,russia  russia,look  look,bad  bad,#standwithrussia</t>
  </si>
  <si>
    <t>jacquesfrre2,#standwithrussia</t>
  </si>
  <si>
    <t>cnews,soutiendrais  soutiendrais,vladpoutine_fr  vladpoutine_fr,temps  temps,faudra  faudra,#la  #la,honte  honte,#macronlevatenguerre  #macronlevatenguerre,#macronnousprendpourdescons  #macronnousprendpourdescons,#standwithrussia  #standwithrussia,#soutienlarussie</t>
  </si>
  <si>
    <t>wann,#europa  #europa,richtig  richtig,kalt  kalt,eure  eure,kinder  kinder,älteren  älteren,friert  friert,denkt  denkt,daran  daran,wem</t>
  </si>
  <si>
    <t>Top Word Pairs in Tweet by Salience</t>
  </si>
  <si>
    <t>rf,silahlı  silahlı,kuvvetleri  #russia,#russianarmy  #russia,#putin  #standwithrussia,#russia  ukrayna,harkov  harkov,metrosu  metrosu,işığına  işığına,oldu  oldu,zelenskyyua</t>
  </si>
  <si>
    <t>freilichlior,researcher  researcher,lazy  lazy,used  used,algorithm  algorithm,collect  tweets,contain  contain,hashtags  supportukraine,results  results,based  onequantumleap,antonio27182818</t>
  </si>
  <si>
    <t>zelenskyyua,emmanuelmacron  emmanuelmacron,farewell  etats,unis  unis,réclament  réclament,l'unité  l'unité,alliés  alliés,contre  contre,russie  russie,comment  comment,yankees</t>
  </si>
  <si>
    <t>tem,direito  defender,contra  #stopnato,#stopnaziukraine  #stopnaziukraine,#standwithrussia  #zelenskywarcriminal,#stopzelensky  #zelenskyywarcriminal,#zelenskywarcriminal  #zelenskywarcriminal,#stopnato  #standwithrussia,#standwithrussia  rússia,tem  direito,defender</t>
  </si>
  <si>
    <t>ma,non  pietroraffa,fantastico  fantastico,più  più,tweet  tweet,concentrato  concentrato,idiozie  idiozie,rara  rara,bellezza  bellezza,forza  forza,russia</t>
  </si>
  <si>
    <t>biz,kazanacağız  kazanacağız,#standwithrussia  #russia,#russianarmy  ukronazi,medyası  medyası,rus  rus,askeri  askeri,uçaklarının  uçaklarının,doğu  doğu,sınırı  sınırı,boyunca</t>
  </si>
  <si>
    <t>#zelenskywarcriminal,#sanctionukraine  #sanctionukraine,#standwithrussia  nazi,regime  #sanctionukraine,#zelenskywarcriminal  korrupten,rassisten  endlich,die  regime,militärische  militärische,größe  #arrestvdl,#sanctionukraine  #zelenskywarcriminal,#standwithrussia</t>
  </si>
  <si>
    <t>eu_commission,zelenskaua  nato,potus  vonderleyen,eu_commission  #standwithrussia,never  kremlinrussia_e,#standwithrussia  never,#standwithukraine  zelenskaua,vonderleyen  vonderleyen,leyen  leyen,role  role,dissolve</t>
  </si>
  <si>
    <t>#russia,#russianarmy  çeçen,birlikleri  birlikleri,neonazi  neonazi,avına  avına,başladı  başladı,#standwithrussia  ura,uraaaa  uraaaa,#standwithrussia  #russia,#putin  rusya,ve</t>
  </si>
  <si>
    <t>rf,silahlı  silahlı,kuvvetleri  #russia,#russianarmy  #standwithrussia,#russia  rus,hava  hava,kuvvetleri  kuvvetleri,ukrayna'nın  ukrayna'nın,enerji  enerji,altyapısına  altyapısına,saldırıyor</t>
  </si>
  <si>
    <t>jacquesfrre2,#standwithrussia  generalstaffua,#standwithrussia  snmilitary,#standwithrussia</t>
  </si>
  <si>
    <t>#tatu,#1d  #russia,#セクマイさん  #standwithrussia,#allthethingshesaid  ニセモノ,#やらせ  #やらせ,#フェイク  #フェイク,#standwithrussia  #ティプシー,#1d  #1d,#inizon  #tatu,#ティプシー  #inizon,#1d</t>
  </si>
  <si>
    <t>Count of Relationship Date (UTC)</t>
  </si>
  <si>
    <t>Row Labels</t>
  </si>
  <si>
    <t>Grand Total</t>
  </si>
  <si>
    <t>Feb</t>
  </si>
  <si>
    <t>28-Feb</t>
  </si>
  <si>
    <t>Mar</t>
  </si>
  <si>
    <t>5-Mar</t>
  </si>
  <si>
    <t>May</t>
  </si>
  <si>
    <t>3-May</t>
  </si>
  <si>
    <t>4-May</t>
  </si>
  <si>
    <t>Sep</t>
  </si>
  <si>
    <t>2-Sep</t>
  </si>
  <si>
    <t>4-Sep</t>
  </si>
  <si>
    <t>5-Sep</t>
  </si>
  <si>
    <t>7-Sep</t>
  </si>
  <si>
    <t>8-Sep</t>
  </si>
  <si>
    <t>9-Sep</t>
  </si>
  <si>
    <t>10-Sep</t>
  </si>
  <si>
    <t>11-Sep</t>
  </si>
  <si>
    <t>12-Sep</t>
  </si>
  <si>
    <t>13-Sep</t>
  </si>
  <si>
    <t>14-Sep</t>
  </si>
  <si>
    <t>15-Sep</t>
  </si>
  <si>
    <t>128, 128, 128</t>
  </si>
  <si>
    <t>138, 118, 118</t>
  </si>
  <si>
    <t>202, 53, 53</t>
  </si>
  <si>
    <t>148, 108, 108</t>
  </si>
  <si>
    <t>171, 85, 85</t>
  </si>
  <si>
    <t>161, 95, 95</t>
  </si>
  <si>
    <t>245, 10, 10</t>
  </si>
  <si>
    <t>Red</t>
  </si>
  <si>
    <t>212, 43, 43</t>
  </si>
  <si>
    <t>G1: standwithrussia sanctionukraine zelenskywarcriminal dissolveeu dissolvenato arrestvdl standwithukraine notinmyname standwithukriane cduverbieten</t>
  </si>
  <si>
    <t>G2: standwithrussia ティプシー inizon 1d russia tchaikovsky lgbt ロシア正教 russianorthodox ロシア</t>
  </si>
  <si>
    <t>G3: standwithrussia russia russianarmy putin wagnergroup russian fenerbahcedinamokiev</t>
  </si>
  <si>
    <t>G4: standwithrussia zelenskywarcriminal stopnato stopnaziukraine stopzelensky zelenskyywarcriminal standwithputin usaevilempire westandwithrussia stopnatonow</t>
  </si>
  <si>
    <t>G5: nomorecolonialism standwithrussia</t>
  </si>
  <si>
    <t>G6: standwithrussia</t>
  </si>
  <si>
    <t>G7: standwithrussia ukraine russie standwithputin standwithsyria standwithassad zelensky assad</t>
  </si>
  <si>
    <t>G8: standwithrussia fuckukronazis zelenskywarcriminal pegremondialiste mondialisme fuckzelenskywarcriminal ue stoprussophobia aphatie ukronazi</t>
  </si>
  <si>
    <t>G9: standwithrussia</t>
  </si>
  <si>
    <t>G10: poutine russie poudré standwithrussia standwithputin</t>
  </si>
  <si>
    <t>G11: standwithukraine standwithrussia</t>
  </si>
  <si>
    <t>G12: forzaputin standwithrussia zelenskywarcriminal zelenskycocaineaddicted naziukraine forzabrics forzaeef fuckusa fucknato fuckeu</t>
  </si>
  <si>
    <t>G13: standwithrussia stopnaziukraine russia eu stopnato natocriminals</t>
  </si>
  <si>
    <t>G14: standwithrussia putin putin4ever</t>
  </si>
  <si>
    <t>G15: standwithrussia</t>
  </si>
  <si>
    <t>G16: putin standwithrussia</t>
  </si>
  <si>
    <t>G17: standwithrussia nafo fella wishfulthinking totalwar</t>
  </si>
  <si>
    <t>G19: standwithrussia deindustrialisierung habeck snowden visabanforrussians</t>
  </si>
  <si>
    <t>G20: standwithrussia</t>
  </si>
  <si>
    <t>G21: standwithrussia la macronlevatenguerre macronnousprendpourdescons soutienlarussie zemmouravaitraison reconquete lareconquetecontinue jevotereconquete</t>
  </si>
  <si>
    <t>G22: standwithrussia</t>
  </si>
  <si>
    <t>G23: india isupportrussia standwithrussia supportputin standwithputin russiaukraine ukriane</t>
  </si>
  <si>
    <t>G24: standwithrussia</t>
  </si>
  <si>
    <t>G25: standwithrussia</t>
  </si>
  <si>
    <t>G27: standwithrussia kiev nato usa nonato</t>
  </si>
  <si>
    <t>G28: sofia bulgarian ukrainian russia standwithrussia</t>
  </si>
  <si>
    <t>G29: standwithrussia</t>
  </si>
  <si>
    <t>G30: standwithrussia</t>
  </si>
  <si>
    <t>G31: standwithrussia</t>
  </si>
  <si>
    <t>G32: standwithrussia neutralgermany</t>
  </si>
  <si>
    <t>G34: standwitharmenia standwithrussia</t>
  </si>
  <si>
    <t>G35: standwithrussia</t>
  </si>
  <si>
    <t>G36: russiapower standwithrussia zelenskymustgo denatofication</t>
  </si>
  <si>
    <t>G37: standwithrussia slavarossiya</t>
  </si>
  <si>
    <t>G38: standwithrussia своихнебросаем</t>
  </si>
  <si>
    <t>G39: standwithrussia</t>
  </si>
  <si>
    <t>G40: collabo ue vivelafrance standwithrussia zelenskywarcriminal ukrainenazis ursulavonderleyen</t>
  </si>
  <si>
    <t>G41: standwithputin standwithrussia запобеду славароссия</t>
  </si>
  <si>
    <t>G42: standwithrussia</t>
  </si>
  <si>
    <t>G43: putiniscoming denazifyeurope standwithrussia</t>
  </si>
  <si>
    <t>G44: lagranderussie standwithrussia</t>
  </si>
  <si>
    <t>G45: putin standwithrussia</t>
  </si>
  <si>
    <t>G46: boycottqatar boycottqatar2022 boycottqatarfifaworldcup2022 boycottfifa boycottfifaworldcup2022 boycottqatarairways boycottarab boycottpuppetsofamerica boycottwahabiislam boycottmohammadbinabdulwahabislam</t>
  </si>
  <si>
    <t>G47: putinwarcriminal standwithrussia</t>
  </si>
  <si>
    <t>G49: standwithrussia</t>
  </si>
  <si>
    <t>G50: standwithrussia</t>
  </si>
  <si>
    <t>G51: standwithrussia</t>
  </si>
  <si>
    <t>G53: standwithrussia</t>
  </si>
  <si>
    <t>G54: standwithrussia</t>
  </si>
  <si>
    <t>G55: behindyouskipper standwithrussia standwithasifali</t>
  </si>
  <si>
    <t>G56: standwithrussia</t>
  </si>
  <si>
    <t>G57: standwithukraine standwithzelenskyyand supportukraine putinwarcriminal</t>
  </si>
  <si>
    <t>G58: standwithrussia</t>
  </si>
  <si>
    <t>G59: standwithrussia nato russia ukraine cia kherson uranium ue wagners dombass</t>
  </si>
  <si>
    <t>Edge Weight▓1▓13▓0▓True▓Gray▓Red▓▓Edge Weight▓1▓13▓0▓5▓10▓False▓Edge Weight▓1▓13▓0▓50▓15▓False▓▓0▓0▓0▓True▓Black▓Black▓▓Betweenness Centrality▓0▓594▓3▓100▓1000▓False▓▓0▓0▓0▓0▓0▓False▓▓0▓0▓0▓0▓0▓False▓▓0▓0▓0▓0▓0▓False</t>
  </si>
  <si>
    <t>GraphSource░TwitterSearch▓GraphTerm░standwithrussia▓ImportDescription░The graph represents a network of 328 Twitter users whose recent tweets contained "standwithrussia", or who were replied to or mentioned in those tweets, taken from a data set limited to a maximum of 18,000 tweets.  The network was obtained from Twitter on Thursday, 15 September 2022 at 20:21 UTC.
The tweets in the network were tweeted over the 8-day, 13-hour, 55-minute period from Wednesday, 07 September 2022 at 05:38 UTC to Thursday, 15 September 2022 at 19:34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"mentions".▓ImportSuggestedTitle░standwithrussia Twitter NodeXL SNA Map and Report for Thursday, 15 September 2022 at 20:20 UTC▓ImportSuggestedFileNameNoExtension░2022-09-15 20-20-34 NodeXL Twitter Search standwithrussia▓GroupingDescription░The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</si>
  <si>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</si>
  <si>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328 Twitter users whose recent tweets contained "standwithrussia", or who were replied to or mentioned in those tweets, taken from a data set limited to a maximum of 18,000 tweets.  The network was obtained from Twitter on Thursday, 15 September 2022 at 20:21 UTC.
The tweets in the network were tweeted over the 8-day, 13-hour, 55-minute period from Wednesday, 07 September 2022 at 05:38 UTC to Thursday, 15 September 2022 at 19:34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</si>
  <si>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</si>
  <si>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</si>
  <si>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https://nodexlgraphgallery.org/Pages/Graph.aspx?graphID=281897</t>
  </si>
  <si>
    <t>https://nodexlgraphgallery.org/Images/Image.ashx?graphID=281897&amp;type=f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</si>
</sst>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5">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4"/>
      <tableStyleElement type="headerRow" dxfId="503"/>
    </tableStyle>
    <tableStyle name="NodeXL Table" pivot="0" count="1">
      <tableStyleElement type="headerRow" dxfId="50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805460"/>
        <c:axId val="30140277"/>
      </c:barChart>
      <c:catAx>
        <c:axId val="108054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140277"/>
        <c:crosses val="autoZero"/>
        <c:auto val="1"/>
        <c:lblOffset val="100"/>
        <c:noMultiLvlLbl val="0"/>
      </c:catAx>
      <c:valAx>
        <c:axId val="30140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054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standwithrussia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Series'!$A$26:$A$47</c:f>
              <c:strCache>
                <c:ptCount val="16"/>
                <c:pt idx="0">
                  <c:v>28-Feb
Feb
2022</c:v>
                </c:pt>
                <c:pt idx="1">
                  <c:v>5-Mar
Mar</c:v>
                </c:pt>
                <c:pt idx="2">
                  <c:v>3-May
May</c:v>
                </c:pt>
                <c:pt idx="3">
                  <c:v>4-May</c:v>
                </c:pt>
                <c:pt idx="4">
                  <c:v>2-Sep
Sep</c:v>
                </c:pt>
                <c:pt idx="5">
                  <c:v>4-Sep</c:v>
                </c:pt>
                <c:pt idx="6">
                  <c:v>5-Sep</c:v>
                </c:pt>
                <c:pt idx="7">
                  <c:v>7-Sep</c:v>
                </c:pt>
                <c:pt idx="8">
                  <c:v>8-Sep</c:v>
                </c:pt>
                <c:pt idx="9">
                  <c:v>9-Sep</c:v>
                </c:pt>
                <c:pt idx="10">
                  <c:v>10-Sep</c:v>
                </c:pt>
                <c:pt idx="11">
                  <c:v>11-Sep</c:v>
                </c:pt>
                <c:pt idx="12">
                  <c:v>12-Sep</c:v>
                </c:pt>
                <c:pt idx="13">
                  <c:v>13-Sep</c:v>
                </c:pt>
                <c:pt idx="14">
                  <c:v>14-Sep</c:v>
                </c:pt>
                <c:pt idx="15">
                  <c:v>15-Sep</c:v>
                </c:pt>
              </c:strCache>
            </c:strRef>
          </c:cat>
          <c:val>
            <c:numRef>
              <c:f>'Time Series'!$B$26:$B$47</c:f>
              <c:numCache>
                <c:formatCode>General</c:formatCode>
                <c:ptCount val="16"/>
                <c:pt idx="0">
                  <c:v>1</c:v>
                </c:pt>
                <c:pt idx="1">
                  <c:v>1</c:v>
                </c:pt>
                <c:pt idx="2">
                  <c:v>1</c:v>
                </c:pt>
                <c:pt idx="3">
                  <c:v>1</c:v>
                </c:pt>
                <c:pt idx="4">
                  <c:v>1</c:v>
                </c:pt>
                <c:pt idx="5">
                  <c:v>1</c:v>
                </c:pt>
                <c:pt idx="6">
                  <c:v>2</c:v>
                </c:pt>
                <c:pt idx="7">
                  <c:v>25</c:v>
                </c:pt>
                <c:pt idx="8">
                  <c:v>36</c:v>
                </c:pt>
                <c:pt idx="9">
                  <c:v>35</c:v>
                </c:pt>
                <c:pt idx="10">
                  <c:v>25</c:v>
                </c:pt>
                <c:pt idx="11">
                  <c:v>46</c:v>
                </c:pt>
                <c:pt idx="12">
                  <c:v>39</c:v>
                </c:pt>
                <c:pt idx="13">
                  <c:v>29</c:v>
                </c:pt>
                <c:pt idx="14">
                  <c:v>62</c:v>
                </c:pt>
                <c:pt idx="15">
                  <c:v>34</c:v>
                </c:pt>
              </c:numCache>
            </c:numRef>
          </c:val>
        </c:ser>
        <c:axId val="33930734"/>
        <c:axId val="36941151"/>
      </c:barChart>
      <c:catAx>
        <c:axId val="33930734"/>
        <c:scaling>
          <c:orientation val="minMax"/>
        </c:scaling>
        <c:axPos val="b"/>
        <c:delete val="0"/>
        <c:numFmt formatCode="General" sourceLinked="1"/>
        <c:majorTickMark val="out"/>
        <c:minorTickMark val="none"/>
        <c:tickLblPos val="nextTo"/>
        <c:crossAx val="36941151"/>
        <c:crosses val="autoZero"/>
        <c:auto val="1"/>
        <c:lblOffset val="100"/>
        <c:noMultiLvlLbl val="0"/>
      </c:catAx>
      <c:valAx>
        <c:axId val="36941151"/>
        <c:scaling>
          <c:orientation val="minMax"/>
        </c:scaling>
        <c:axPos val="l"/>
        <c:majorGridlines/>
        <c:delete val="0"/>
        <c:numFmt formatCode="General" sourceLinked="1"/>
        <c:majorTickMark val="out"/>
        <c:minorTickMark val="none"/>
        <c:tickLblPos val="nextTo"/>
        <c:crossAx val="339307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27038"/>
        <c:axId val="25443343"/>
      </c:barChart>
      <c:catAx>
        <c:axId val="28270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443343"/>
        <c:crosses val="autoZero"/>
        <c:auto val="1"/>
        <c:lblOffset val="100"/>
        <c:noMultiLvlLbl val="0"/>
      </c:catAx>
      <c:valAx>
        <c:axId val="25443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70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663496"/>
        <c:axId val="47644873"/>
      </c:barChart>
      <c:catAx>
        <c:axId val="276634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644873"/>
        <c:crosses val="autoZero"/>
        <c:auto val="1"/>
        <c:lblOffset val="100"/>
        <c:noMultiLvlLbl val="0"/>
      </c:catAx>
      <c:valAx>
        <c:axId val="47644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634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150674"/>
        <c:axId val="34029475"/>
      </c:barChart>
      <c:catAx>
        <c:axId val="261506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029475"/>
        <c:crosses val="autoZero"/>
        <c:auto val="1"/>
        <c:lblOffset val="100"/>
        <c:noMultiLvlLbl val="0"/>
      </c:catAx>
      <c:valAx>
        <c:axId val="340294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506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829820"/>
        <c:axId val="4924061"/>
      </c:barChart>
      <c:catAx>
        <c:axId val="378298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24061"/>
        <c:crosses val="autoZero"/>
        <c:auto val="1"/>
        <c:lblOffset val="100"/>
        <c:noMultiLvlLbl val="0"/>
      </c:catAx>
      <c:valAx>
        <c:axId val="4924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298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316550"/>
        <c:axId val="63304631"/>
      </c:barChart>
      <c:catAx>
        <c:axId val="443165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304631"/>
        <c:crosses val="autoZero"/>
        <c:auto val="1"/>
        <c:lblOffset val="100"/>
        <c:noMultiLvlLbl val="0"/>
      </c:catAx>
      <c:valAx>
        <c:axId val="633046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16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870768"/>
        <c:axId val="27401457"/>
      </c:barChart>
      <c:catAx>
        <c:axId val="328707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401457"/>
        <c:crosses val="autoZero"/>
        <c:auto val="1"/>
        <c:lblOffset val="100"/>
        <c:noMultiLvlLbl val="0"/>
      </c:catAx>
      <c:valAx>
        <c:axId val="274014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70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286522"/>
        <c:axId val="4925515"/>
      </c:barChart>
      <c:catAx>
        <c:axId val="452865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25515"/>
        <c:crosses val="autoZero"/>
        <c:auto val="1"/>
        <c:lblOffset val="100"/>
        <c:noMultiLvlLbl val="0"/>
      </c:catAx>
      <c:valAx>
        <c:axId val="4925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865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329636"/>
        <c:axId val="63422405"/>
      </c:barChart>
      <c:catAx>
        <c:axId val="44329636"/>
        <c:scaling>
          <c:orientation val="minMax"/>
        </c:scaling>
        <c:axPos val="b"/>
        <c:delete val="1"/>
        <c:majorTickMark val="out"/>
        <c:minorTickMark val="none"/>
        <c:tickLblPos val="none"/>
        <c:crossAx val="63422405"/>
        <c:crosses val="autoZero"/>
        <c:auto val="1"/>
        <c:lblOffset val="100"/>
        <c:noMultiLvlLbl val="0"/>
      </c:catAx>
      <c:valAx>
        <c:axId val="63422405"/>
        <c:scaling>
          <c:orientation val="minMax"/>
        </c:scaling>
        <c:axPos val="l"/>
        <c:delete val="1"/>
        <c:majorTickMark val="out"/>
        <c:minorTickMark val="none"/>
        <c:tickLblPos val="none"/>
        <c:crossAx val="443296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114300</xdr:colOff>
      <xdr:row>21</xdr:row>
      <xdr:rowOff>95250</xdr:rowOff>
    </xdr:to>
    <xdr:graphicFrame macro="">
      <xdr:nvGraphicFramePr>
        <xdr:cNvPr id="2" name="Chart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9" refreshedBy="Liz Stedman" refreshedVersion="8">
  <cacheSource type="worksheet">
    <worksheetSource ref="A2:BN341"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338">
        <d v="2022-09-07T05:33:20.000"/>
        <d v="2022-09-07T07:03:10.000"/>
        <d v="2022-09-07T09:19:15.000"/>
        <d v="2022-09-07T11:37:57.000"/>
        <d v="2022-09-07T12:43:58.000"/>
        <d v="2022-09-07T17:13:15.000"/>
        <d v="2022-09-07T05:38:14.000"/>
        <d v="2022-09-07T05:40:17.000"/>
        <d v="2022-09-07T14:32:16.000"/>
        <d v="2022-09-08T04:53:12.000"/>
        <d v="2022-09-08T05:17:28.000"/>
        <d v="2022-09-08T07:09:24.000"/>
        <d v="2022-09-02T11:05:55.000"/>
        <d v="2022-09-08T07:27:00.000"/>
        <d v="2022-09-08T07:47:57.000"/>
        <d v="2022-09-08T07:51:26.000"/>
        <d v="2022-09-08T08:33:47.000"/>
        <d v="2022-05-04T09:21:20.000"/>
        <d v="2022-09-08T09:18:39.000"/>
        <d v="2022-09-08T10:39:49.000"/>
        <d v="2022-09-08T14:03:12.000"/>
        <d v="2022-09-08T14:09:41.000"/>
        <d v="2022-09-08T15:44:43.000"/>
        <d v="2022-09-08T15:56:26.000"/>
        <d v="2022-09-08T17:12:08.000"/>
        <d v="2022-09-08T18:18:26.000"/>
        <d v="2022-09-08T18:19:26.000"/>
        <d v="2022-09-08T07:37:10.000"/>
        <d v="2022-09-08T08:04:02.000"/>
        <d v="2022-09-08T19:37:23.000"/>
        <d v="2022-09-08T21:55:39.000"/>
        <d v="2022-09-09T11:30:20.000"/>
        <d v="2022-09-09T11:36:50.000"/>
        <d v="2022-09-09T11:40:56.000"/>
        <d v="2022-09-09T11:54:54.000"/>
        <d v="2022-09-09T11:56:11.000"/>
        <d v="2022-09-09T11:57:39.000"/>
        <d v="2022-09-09T11:58:44.000"/>
        <d v="2022-09-09T12:02:40.000"/>
        <d v="2022-09-09T12:05:11.000"/>
        <d v="2022-09-09T12:05:46.000"/>
        <d v="2022-09-09T12:25:30.000"/>
        <d v="2022-09-09T12:31:55.000"/>
        <d v="2022-09-09T14:48:40.000"/>
        <d v="2022-09-09T15:28:31.000"/>
        <d v="2022-09-09T16:04:31.000"/>
        <d v="2022-09-09T16:34:38.000"/>
        <d v="2022-09-09T19:41:42.000"/>
        <d v="2022-09-05T18:31:40.000"/>
        <d v="2022-09-09T18:34:24.000"/>
        <d v="2022-09-09T20:01:15.000"/>
        <d v="2022-09-09T20:02:56.000"/>
        <d v="2022-09-07T13:07:04.000"/>
        <d v="2022-09-07T17:49:14.000"/>
        <d v="2022-09-07T17:54:14.000"/>
        <d v="2022-09-07T17:58:17.000"/>
        <d v="2022-09-07T18:24:58.000"/>
        <d v="2022-09-07T21:18:58.000"/>
        <d v="2022-09-09T20:40:37.000"/>
        <d v="2022-09-09T20:50:27.000"/>
        <d v="2022-09-09T21:39:01.000"/>
        <d v="2022-09-09T21:43:54.000"/>
        <d v="2022-09-10T05:47:47.000"/>
        <d v="2022-09-09T10:53:19.000"/>
        <d v="2022-09-09T11:14:57.000"/>
        <d v="2022-09-10T08:49:02.000"/>
        <d v="2022-09-10T08:56:15.000"/>
        <d v="2022-09-10T11:57:43.000"/>
        <d v="2022-09-10T13:35:13.000"/>
        <d v="2022-09-09T11:28:44.000"/>
        <d v="2022-09-10T15:08:11.000"/>
        <d v="2022-09-10T15:24:08.000"/>
        <d v="2022-09-10T22:06:24.000"/>
        <d v="2022-09-10T20:53:53.000"/>
        <d v="2022-09-10T22:29:44.000"/>
        <d v="2022-09-11T06:33:48.000"/>
        <d v="2022-09-11T06:53:57.000"/>
        <d v="2022-09-05T18:38:45.000"/>
        <d v="2022-09-11T07:20:24.000"/>
        <d v="2022-09-11T07:52:44.000"/>
        <d v="2022-09-11T11:14:21.000"/>
        <d v="2022-09-11T10:32:25.000"/>
        <d v="2022-09-11T11:17:41.000"/>
        <d v="2022-09-11T11:54:21.000"/>
        <d v="2022-09-11T12:59:38.000"/>
        <d v="2022-09-11T14:05:18.000"/>
        <d v="2022-09-08T16:21:07.000"/>
        <d v="2022-09-10T12:22:31.000"/>
        <d v="2022-09-11T14:36:36.000"/>
        <d v="2022-09-11T16:58:38.000"/>
        <d v="2022-09-11T14:35:49.000"/>
        <d v="2022-09-11T14:32:07.000"/>
        <d v="2022-09-11T14:36:55.000"/>
        <d v="2022-09-11T17:18:34.000"/>
        <d v="2022-09-11T17:19:01.000"/>
        <d v="2022-09-11T14:31:52.000"/>
        <d v="2022-09-11T17:47:18.000"/>
        <d v="2022-09-11T17:53:47.000"/>
        <d v="2022-09-11T17:56:39.000"/>
        <d v="2022-09-11T17:59:25.000"/>
        <d v="2022-09-11T17:59:50.000"/>
        <d v="2022-09-11T18:04:14.000"/>
        <d v="2022-09-11T18:23:01.000"/>
        <d v="2022-09-11T18:31:00.000"/>
        <d v="2022-09-10T18:21:30.000"/>
        <d v="2022-09-10T18:22:47.000"/>
        <d v="2022-09-11T14:00:15.000"/>
        <d v="2022-09-11T18:35:24.000"/>
        <d v="2022-09-11T19:15:16.000"/>
        <d v="2022-09-10T11:55:30.000"/>
        <d v="2022-09-11T19:27:12.000"/>
        <d v="2022-09-11T19:59:50.000"/>
        <d v="2022-09-11T20:01:14.000"/>
        <d v="2022-09-11T21:17:54.000"/>
        <d v="2022-09-11T23:30:09.000"/>
        <d v="2022-09-12T00:19:12.000"/>
        <d v="2022-09-12T00:35:36.000"/>
        <d v="2022-02-28T23:05:28.000"/>
        <d v="2022-09-12T01:48:00.000"/>
        <d v="2022-09-12T05:55:30.000"/>
        <d v="2022-09-12T07:42:13.000"/>
        <d v="2022-09-12T08:02:55.000"/>
        <d v="2022-09-12T08:20:08.000"/>
        <d v="2022-09-12T10:15:20.000"/>
        <d v="2022-09-08T08:04:38.000"/>
        <d v="2022-09-12T08:18:56.000"/>
        <d v="2022-09-12T10:22:08.000"/>
        <d v="2022-09-08T09:53:28.000"/>
        <d v="2022-09-09T09:25:04.000"/>
        <d v="2022-09-10T14:49:05.000"/>
        <d v="2022-09-11T10:03:08.000"/>
        <d v="2022-09-12T12:27:19.000"/>
        <d v="2022-09-12T13:29:05.000"/>
        <d v="2022-09-12T14:01:05.000"/>
        <d v="2022-09-12T14:30:55.000"/>
        <d v="2022-09-12T15:09:10.000"/>
        <d v="2022-09-12T16:08:09.000"/>
        <d v="2022-09-12T16:11:13.000"/>
        <d v="2022-09-12T13:19:42.000"/>
        <d v="2022-09-12T17:52:59.000"/>
        <d v="2022-09-12T19:08:30.000"/>
        <d v="2022-09-12T21:13:53.000"/>
        <d v="2022-05-03T22:28:15.000"/>
        <d v="2022-09-12T22:09:38.000"/>
        <d v="2022-09-13T01:23:06.000"/>
        <d v="2022-09-13T08:11:01.000"/>
        <d v="2022-09-13T11:22:42.000"/>
        <d v="2022-09-13T11:29:51.000"/>
        <d v="2022-09-13T11:44:48.000"/>
        <d v="2022-09-12T11:32:43.000"/>
        <d v="2022-09-13T13:35:08.000"/>
        <d v="2022-09-12T16:11:17.000"/>
        <d v="2022-09-13T13:37:08.000"/>
        <d v="2022-09-13T13:38:12.000"/>
        <d v="2022-09-13T18:39:41.000"/>
        <d v="2022-09-13T19:54:20.000"/>
        <d v="2022-09-13T19:47:45.000"/>
        <d v="2022-09-13T19:45:03.000"/>
        <d v="2022-09-13T20:42:18.000"/>
        <d v="2022-09-08T06:28:42.000"/>
        <d v="2022-09-10T23:07:00.000"/>
        <d v="2022-09-13T19:49:11.000"/>
        <d v="2022-09-13T23:47:48.000"/>
        <d v="2022-09-14T06:20:21.000"/>
        <d v="2022-09-14T06:20:46.000"/>
        <d v="2022-09-14T08:08:38.000"/>
        <d v="2022-09-12T18:31:19.000"/>
        <d v="2022-09-13T06:46:49.000"/>
        <d v="2022-09-14T10:52:03.000"/>
        <d v="2022-09-14T10:54:09.000"/>
        <d v="2022-09-14T11:56:23.000"/>
        <d v="2022-09-14T12:01:48.000"/>
        <d v="2022-09-14T13:01:28.000"/>
        <d v="2022-09-14T14:57:07.000"/>
        <d v="2022-09-14T12:59:41.000"/>
        <d v="2022-09-14T15:23:58.000"/>
        <d v="2022-09-14T15:29:57.000"/>
        <d v="2022-09-14T16:12:02.000"/>
        <d v="2022-03-05T18:24:27.000"/>
        <d v="2022-09-14T18:21:54.000"/>
        <d v="2022-09-13T21:14:19.000"/>
        <d v="2022-09-08T17:30:45.000"/>
        <d v="2022-09-10T17:35:33.000"/>
        <d v="2022-09-11T21:28:49.000"/>
        <d v="2022-09-13T21:03:27.000"/>
        <d v="2022-09-14T18:25:59.000"/>
        <d v="2022-09-14T18:34:23.000"/>
        <d v="2022-09-14T18:53:21.000"/>
        <d v="2022-09-08T00:05:15.000"/>
        <d v="2022-09-12T11:34:17.000"/>
        <d v="2022-09-14T20:03:36.000"/>
        <d v="2022-09-14T20:03:45.000"/>
        <d v="2022-09-14T20:05:31.000"/>
        <d v="2022-09-14T21:17:13.000"/>
        <d v="2022-09-14T22:38:28.000"/>
        <d v="2022-09-15T00:18:36.000"/>
        <d v="2022-09-15T00:35:18.000"/>
        <d v="2022-09-15T08:22:32.000"/>
        <d v="2022-09-15T08:33:05.000"/>
        <d v="2022-09-15T08:44:05.000"/>
        <d v="2022-09-07T18:42:44.000"/>
        <d v="2022-09-10T21:32:56.000"/>
        <d v="2022-09-12T08:43:58.000"/>
        <d v="2022-09-12T13:14:12.000"/>
        <d v="2022-09-12T15:31:52.000"/>
        <d v="2022-09-14T05:00:27.000"/>
        <d v="2022-09-14T05:00:53.000"/>
        <d v="2022-09-14T19:39:31.000"/>
        <d v="2022-09-14T19:39:56.000"/>
        <d v="2022-09-14T19:40:07.000"/>
        <d v="2022-09-14T19:40:16.000"/>
        <d v="2022-09-15T08:49:37.000"/>
        <d v="2022-09-15T09:10:24.000"/>
        <d v="2022-09-15T09:28:25.000"/>
        <d v="2022-09-15T10:16:32.000"/>
        <d v="2022-09-15T10:39:34.000"/>
        <d v="2022-09-14T07:44:00.000"/>
        <d v="2022-09-14T07:44:19.000"/>
        <d v="2022-09-14T07:44:35.000"/>
        <d v="2022-09-14T08:43:22.000"/>
        <d v="2022-09-15T11:23:54.000"/>
        <d v="2022-09-07T07:02:33.000"/>
        <d v="2022-09-08T15:06:42.000"/>
        <d v="2022-09-08T16:10:10.000"/>
        <d v="2022-09-10T19:58:23.000"/>
        <d v="2022-09-11T21:16:34.000"/>
        <d v="2022-09-12T11:09:47.000"/>
        <d v="2022-09-12T13:18:37.000"/>
        <d v="2022-09-13T12:44:23.000"/>
        <d v="2022-09-13T16:57:47.000"/>
        <d v="2022-09-14T10:46:06.000"/>
        <d v="2022-09-14T14:50:10.000"/>
        <d v="2022-09-14T15:58:11.000"/>
        <d v="2022-09-14T19:02:29.000"/>
        <d v="2022-09-14T22:36:46.000"/>
        <d v="2022-09-15T11:43:39.000"/>
        <d v="2022-09-15T12:45:08.000"/>
        <d v="2022-09-14T13:09:36.000"/>
        <d v="2022-09-07T15:04:11.000"/>
        <d v="2022-09-14T14:39:06.000"/>
        <d v="2022-09-15T13:23:09.000"/>
        <d v="2022-09-04T21:40:54.000"/>
        <d v="2022-09-09T21:56:42.000"/>
        <d v="2022-09-11T18:31:21.000"/>
        <d v="2022-09-12T18:56:20.000"/>
        <d v="2022-09-14T20:02:16.000"/>
        <d v="2022-09-14T20:02:32.000"/>
        <d v="2022-09-14T20:58:04.000"/>
        <d v="2022-09-14T20:54:35.000"/>
        <d v="2022-09-14T20:59:30.000"/>
        <d v="2022-09-14T23:01:37.000"/>
        <d v="2022-09-14T23:04:36.000"/>
        <d v="2022-09-08T23:29:40.000"/>
        <d v="2022-09-14T23:07:41.000"/>
        <d v="2022-09-14T23:08:21.000"/>
        <d v="2022-09-14T23:50:27.000"/>
        <d v="2022-09-15T14:45:45.000"/>
        <d v="2022-09-07T16:10:37.000"/>
        <d v="2022-09-08T16:10:38.000"/>
        <d v="2022-09-09T16:10:38.000"/>
        <d v="2022-09-10T16:10:33.000"/>
        <d v="2022-09-11T16:10:28.000"/>
        <d v="2022-09-12T16:10:30.000"/>
        <d v="2022-09-13T16:10:33.000"/>
        <d v="2022-09-14T16:10:28.000"/>
        <d v="2022-09-15T16:10:37.000"/>
        <d v="2022-09-08T09:08:53.000"/>
        <d v="2022-09-15T16:42:03.000"/>
        <d v="2022-09-15T17:11:34.000"/>
        <d v="2022-09-13T18:32:11.000"/>
        <d v="2022-09-15T11:19:08.000"/>
        <d v="2022-09-15T11:31:16.000"/>
        <d v="2022-09-15T17:48:05.000"/>
        <d v="2022-09-07T15:00:59.000"/>
        <d v="2022-09-07T15:01:07.000"/>
        <d v="2022-09-07T18:30:28.000"/>
        <d v="2022-09-07T23:01:27.000"/>
        <d v="2022-09-08T15:00:57.000"/>
        <d v="2022-09-08T15:01:10.000"/>
        <d v="2022-09-08T18:30:32.000"/>
        <d v="2022-09-08T23:01:29.000"/>
        <d v="2022-09-08T23:01:34.000"/>
        <d v="2022-09-09T15:01:14.000"/>
        <d v="2022-09-09T15:01:36.000"/>
        <d v="2022-09-09T18:30:40.000"/>
        <d v="2022-09-09T23:01:04.000"/>
        <d v="2022-09-09T23:01:14.000"/>
        <d v="2022-09-10T15:00:48.000"/>
        <d v="2022-09-10T15:00:54.000"/>
        <d v="2022-09-10T18:30:29.000"/>
        <d v="2022-09-10T23:00:55.000"/>
        <d v="2022-09-10T23:01:13.000"/>
        <d v="2022-09-11T15:01:09.000"/>
        <d v="2022-09-11T15:01:13.000"/>
        <d v="2022-09-11T18:30:37.000"/>
        <d v="2022-09-11T23:00:31.000"/>
        <d v="2022-09-11T23:00:36.000"/>
        <d v="2022-09-12T15:00:37.000"/>
        <d v="2022-09-12T15:00:54.000"/>
        <d v="2022-09-12T18:30:33.000"/>
        <d v="2022-09-12T23:00:57.000"/>
        <d v="2022-09-12T23:01:05.000"/>
        <d v="2022-09-13T15:01:06.000"/>
        <d v="2022-09-13T15:01:37.000"/>
        <d v="2022-09-13T18:30:36.000"/>
        <d v="2022-09-13T23:01:03.000"/>
        <d v="2022-09-13T23:01:14.000"/>
        <d v="2022-09-14T15:00:45.000"/>
        <d v="2022-09-14T15:01:08.000"/>
        <d v="2022-09-14T18:30:40.000"/>
        <d v="2022-09-14T23:00:58.000"/>
        <d v="2022-09-14T23:01:11.000"/>
        <d v="2022-09-15T15:01:12.000"/>
        <d v="2022-09-15T15:01:32.000"/>
        <d v="2022-09-15T18:30:38.000"/>
        <d v="2022-09-15T19:06:30.000"/>
        <d v="2022-09-07T17:05:57.000"/>
        <d v="2022-09-15T19:18:47.000"/>
        <d v="2022-09-15T10:33:16.000"/>
        <d v="2022-09-15T19:20:35.000"/>
        <d v="2022-09-11T10:00:27.000"/>
        <d v="2022-09-11T15:40:46.000"/>
        <d v="2022-09-12T10:11:52.000"/>
        <d v="2022-09-13T20:03:02.000"/>
        <d v="2022-09-14T05:45:57.000"/>
        <d v="2022-09-14T06:25:18.000"/>
        <d v="2022-09-14T09:15:59.000"/>
        <d v="2022-09-14T16:30:00.000"/>
        <d v="2022-09-14T17:23:40.000"/>
        <d v="2022-09-15T05:45:20.000"/>
        <d v="2022-09-15T06:00:35.000"/>
        <d v="2022-09-15T16:08:22.000"/>
        <d v="2022-09-15T17:23:52.000"/>
        <d v="2022-09-13T06:15:56.000"/>
        <d v="2022-09-14T16:15:41.000"/>
        <d v="2022-09-15T19:23:12.000"/>
        <d v="2022-09-14T12:58:31.000"/>
        <d v="2022-09-15T19:34:02.000"/>
      </sharedItems>
      <fieldGroup par="67" base="15">
        <rangePr groupBy="days" autoEnd="1" autoStart="1" startDate="2022-02-28T23:05:28.000" endDate="2022-09-15T19:34:02.000"/>
        <groupItems count="368">
          <s v="&lt;28/0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5/09/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5">
        <rangePr groupBy="months" autoEnd="1" autoStart="1" startDate="2022-02-28T23:05:28.000" endDate="2022-09-15T19:34:02.000"/>
        <groupItems count="14">
          <s v="&lt;28/02/2022"/>
          <s v="Jan"/>
          <s v="Feb"/>
          <s v="Mar"/>
          <s v="Apr"/>
          <s v="May"/>
          <s v="Jun"/>
          <s v="Jul"/>
          <s v="Aug"/>
          <s v="Sep"/>
          <s v="Oct"/>
          <s v="Nov"/>
          <s v="Dec"/>
          <s v="&gt;15/09/2022"/>
        </groupItems>
      </fieldGroup>
    </cacheField>
    <cacheField name="Years" databaseField="0">
      <sharedItems containsMixedTypes="0" count="0"/>
      <fieldGroup base="15">
        <rangePr groupBy="years" autoEnd="1" autoStart="1" startDate="2022-02-28T23:05:28.000" endDate="2022-09-15T19:34:02.000"/>
        <groupItems count="3">
          <s v="&lt;28/02/2022"/>
          <s v="2022"/>
          <s v="&gt;15/09/2022"/>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339">
  <r>
    <s v="croisefranco"/>
    <s v="060_ilou"/>
    <m/>
    <m/>
    <m/>
    <m/>
    <m/>
    <m/>
    <m/>
    <m/>
    <s v="No"/>
    <n v="3"/>
    <m/>
    <m/>
    <s v="MentionsInRetweet"/>
    <x v="0"/>
    <s v="Je vous présente Vladimir #Poutine, le président de la Grande #Russie,un véritable homme d'État suivi par 83 % de sa population dixit son opposition (centre levada)._x000a_Ça change du #poudré...😏_x000a_#StandWithRussia 🇷🇺_x000a_#StandWithPutin 💪_x000a_@AgentduKGB _x000a_@p_duval _x000a_@Philo95857560 _x000a_@060_ilou https://t.co/B5r5gdwDrV"/>
    <m/>
    <m/>
    <s v="poutine russie poudré standwithrussia standwithputin"/>
    <s v="https://pbs.twimg.com/media/Fb6ZZsqWYAUww3Q.jpg"/>
    <s v="https://pbs.twimg.com/media/Fb6ZZsqWYAUww3Q.jpg"/>
    <d v="2022-09-07T05:33:20.000"/>
    <d v="2022-09-07T00:00:00.000"/>
    <s v="05:33:20"/>
    <s v="https://twitter.com/croisefranco/status/1567385509206364161"/>
    <m/>
    <m/>
    <s v="1567385509206364161"/>
    <m/>
    <b v="0"/>
    <n v="0"/>
    <s v=""/>
    <b v="0"/>
    <s v="fr"/>
    <m/>
    <s v=""/>
    <b v="0"/>
    <n v="35"/>
    <s v="1566858391003209729"/>
    <s v="Twitter for Android"/>
    <b v="0"/>
    <s v="1566858391003209729"/>
    <s v="Tweet"/>
    <n v="0"/>
    <n v="0"/>
    <m/>
    <m/>
    <m/>
    <m/>
    <m/>
    <m/>
    <m/>
    <m/>
    <n v="1"/>
    <s v="10"/>
    <s v="10"/>
    <m/>
    <m/>
    <m/>
    <m/>
    <m/>
    <m/>
    <m/>
    <m/>
    <m/>
  </r>
  <r>
    <s v="dinara59920357t"/>
    <s v="amaresyev"/>
    <m/>
    <m/>
    <m/>
    <m/>
    <m/>
    <m/>
    <m/>
    <m/>
    <s v="No"/>
    <n v="7"/>
    <m/>
    <m/>
    <s v="Retweet"/>
    <x v="1"/>
    <s v="Günaydın 👋 Wagner grubu konser öncesi son hazırlıklarını tamamladı. #StandwithRussia #Russia #Russianarmy #WagnerGroup 🇷🇺🇷🇺 https://t.co/hzP1jzmcQz"/>
    <m/>
    <m/>
    <s v="standwithrussia russia russianarmy wagnergroup"/>
    <s v="https://pbs.twimg.com/media/FcCNOtRX0AMZ0JE.jpg"/>
    <s v="https://pbs.twimg.com/media/FcCNOtRX0AMZ0JE.jpg"/>
    <d v="2022-09-07T07:03:10.000"/>
    <d v="2022-09-07T00:00:00.000"/>
    <s v="07:03:10"/>
    <s v="https://twitter.com/dinara59920357t/status/1567408117473808387"/>
    <m/>
    <m/>
    <s v="1567408117473808387"/>
    <m/>
    <b v="0"/>
    <n v="0"/>
    <s v=""/>
    <b v="0"/>
    <s v="tr"/>
    <m/>
    <s v=""/>
    <b v="0"/>
    <n v="3"/>
    <s v="1567407959860252672"/>
    <s v="Twitter for Android"/>
    <b v="0"/>
    <s v="1567407959860252672"/>
    <s v="Tweet"/>
    <n v="0"/>
    <n v="0"/>
    <m/>
    <m/>
    <m/>
    <m/>
    <m/>
    <m/>
    <m/>
    <m/>
    <n v="1"/>
    <s v="3"/>
    <s v="3"/>
    <n v="0"/>
    <n v="0"/>
    <n v="0"/>
    <n v="0"/>
    <n v="0"/>
    <n v="0"/>
    <n v="12"/>
    <n v="100"/>
    <n v="12"/>
  </r>
  <r>
    <s v="davidbu85029668"/>
    <s v="ipurdley"/>
    <m/>
    <m/>
    <m/>
    <m/>
    <m/>
    <m/>
    <m/>
    <m/>
    <s v="No"/>
    <n v="8"/>
    <m/>
    <m/>
    <s v="Replies to"/>
    <x v="2"/>
    <s v="@IPurdley oops #Russian video from Russian trolls proving Ukraine attacked power plant if shown to be hoax,,,,,  Bwaah haar har  Slava #Urkaine and #Kherson #Standwithrussia_x000a_https://t.co/yoALmXfuUn"/>
    <s v="https://twitter.com/i/status/1567414255762247682"/>
    <s v="twitter.com"/>
    <s v="russian urkaine kherson standwithrussia"/>
    <m/>
    <s v="https://abs.twimg.com/sticky/default_profile_images/default_profile_normal.png"/>
    <d v="2022-09-07T09:19:15.000"/>
    <d v="2022-09-07T00:00:00.000"/>
    <s v="09:19:15"/>
    <s v="https://twitter.com/davidbu85029668/status/1567442362166824960"/>
    <m/>
    <m/>
    <s v="1567442362166824960"/>
    <s v="1566721170363371522"/>
    <b v="0"/>
    <n v="1"/>
    <s v="1503798293171777537"/>
    <b v="1"/>
    <s v="en"/>
    <m/>
    <s v="1567414255762247682"/>
    <b v="0"/>
    <n v="0"/>
    <s v=""/>
    <s v="Twitter Web App"/>
    <b v="0"/>
    <s v="1566721170363371522"/>
    <s v="Tweet"/>
    <n v="0"/>
    <n v="0"/>
    <m/>
    <m/>
    <m/>
    <m/>
    <m/>
    <m/>
    <m/>
    <m/>
    <n v="1"/>
    <s v="59"/>
    <s v="59"/>
    <n v="1"/>
    <n v="4"/>
    <n v="1"/>
    <n v="4"/>
    <n v="0"/>
    <n v="0"/>
    <n v="23"/>
    <n v="92"/>
    <n v="25"/>
  </r>
  <r>
    <s v="zivkovasiljev"/>
    <s v="_markpetchey"/>
    <m/>
    <m/>
    <m/>
    <m/>
    <m/>
    <m/>
    <m/>
    <m/>
    <s v="No"/>
    <n v="9"/>
    <m/>
    <m/>
    <s v="Mentions"/>
    <x v="3"/>
    <s v="@pavyg @usopen Looks like @_markpetchey may soon be boycotting the men’s final of the Moderna Open  #StandWithRussia"/>
    <m/>
    <m/>
    <s v="standwithrussia"/>
    <m/>
    <s v="https://pbs.twimg.com/profile_images/502141633870462976/P9rJm9Fl_normal.jpeg"/>
    <d v="2022-09-07T11:37:57.000"/>
    <d v="2022-09-07T00:00:00.000"/>
    <s v="11:37:57"/>
    <s v="https://twitter.com/zivkovasiljev/status/1567477268682838016"/>
    <m/>
    <m/>
    <s v="1567477268682838016"/>
    <s v="1567409523773657088"/>
    <b v="0"/>
    <n v="1"/>
    <s v="405579267"/>
    <b v="0"/>
    <s v="en"/>
    <m/>
    <s v=""/>
    <b v="0"/>
    <n v="0"/>
    <s v=""/>
    <s v="Twitter for iPhone"/>
    <b v="0"/>
    <s v="1567409523773657088"/>
    <s v="Tweet"/>
    <n v="0"/>
    <n v="0"/>
    <m/>
    <m/>
    <m/>
    <m/>
    <m/>
    <m/>
    <m/>
    <m/>
    <n v="1"/>
    <s v="30"/>
    <s v="30"/>
    <m/>
    <m/>
    <m/>
    <m/>
    <m/>
    <m/>
    <m/>
    <m/>
    <m/>
  </r>
  <r>
    <s v="jokerdepressif"/>
    <s v="bayrou"/>
    <m/>
    <m/>
    <m/>
    <m/>
    <m/>
    <m/>
    <m/>
    <m/>
    <s v="No"/>
    <n v="12"/>
    <m/>
    <m/>
    <s v="Replies to"/>
    <x v="4"/>
    <s v="@bayrou Vous êtes une synthèse de la bêtise de nos Hommes politique contemporains._x000a_Vous n'êtes que le pantin servile de la marionnette de l'Élyssé._x000a_Retourné à votre région et n'essayez pas de rivaliser avec les glorieux dirigeants Russe._x000a__x000a_#StandWithRussia https://t.co/v3dKUZCiu6"/>
    <m/>
    <m/>
    <s v="standwithrussia"/>
    <s v="https://pbs.twimg.com/tweet_video_thumb/FcDbXzfXoAEgGup.jpg"/>
    <s v="https://pbs.twimg.com/tweet_video_thumb/FcDbXzfXoAEgGup.jpg"/>
    <d v="2022-09-07T12:43:58.000"/>
    <d v="2022-09-07T00:00:00.000"/>
    <s v="12:43:58"/>
    <s v="https://twitter.com/jokerdepressif/status/1567493879758209026"/>
    <m/>
    <m/>
    <s v="1567493879758209026"/>
    <s v="1567407115471298560"/>
    <b v="0"/>
    <n v="0"/>
    <s v="17211968"/>
    <b v="0"/>
    <s v="fr"/>
    <m/>
    <s v=""/>
    <b v="0"/>
    <n v="0"/>
    <s v=""/>
    <s v="Twitter for Android"/>
    <b v="0"/>
    <s v="1567407115471298560"/>
    <s v="Tweet"/>
    <n v="0"/>
    <n v="0"/>
    <m/>
    <m/>
    <m/>
    <m/>
    <m/>
    <m/>
    <m/>
    <m/>
    <n v="1"/>
    <s v="58"/>
    <s v="58"/>
    <n v="0"/>
    <n v="0"/>
    <n v="0"/>
    <n v="0"/>
    <n v="0"/>
    <n v="0"/>
    <n v="39"/>
    <n v="100"/>
    <n v="39"/>
  </r>
  <r>
    <s v="settequaranta"/>
    <s v="ambrusfrance"/>
    <m/>
    <m/>
    <m/>
    <m/>
    <m/>
    <m/>
    <m/>
    <m/>
    <s v="No"/>
    <n v="13"/>
    <m/>
    <m/>
    <s v="Mentions"/>
    <x v="5"/>
    <s v="@kartoen @mgcanmore @mfa_russia @RusMission_EU @EUinRussia @vonderleyen @JosepBorrellF @RF_OSCE @mission_rf @RusBotschaft @AmbRusFrance @rusembitaly Millions of Italians supporting  the Russiana._x000a_#StandWithRussia"/>
    <m/>
    <m/>
    <s v="standwithrussia"/>
    <m/>
    <s v="https://pbs.twimg.com/profile_images/1563246885241909248/k2EvfvnG_normal.jpg"/>
    <d v="2022-09-07T17:13:15.000"/>
    <d v="2022-09-07T00:00:00.000"/>
    <s v="17:13:15"/>
    <s v="https://twitter.com/settequaranta/status/1567561650156310531"/>
    <m/>
    <m/>
    <s v="1567561650156310531"/>
    <s v="1567547462360907776"/>
    <b v="0"/>
    <n v="0"/>
    <s v="32628809"/>
    <b v="0"/>
    <s v="en"/>
    <m/>
    <s v=""/>
    <b v="0"/>
    <n v="0"/>
    <s v=""/>
    <s v="Twitter for iPhone"/>
    <b v="0"/>
    <s v="1567547462360907776"/>
    <s v="Tweet"/>
    <n v="0"/>
    <n v="0"/>
    <m/>
    <m/>
    <m/>
    <m/>
    <m/>
    <m/>
    <m/>
    <m/>
    <n v="1"/>
    <s v="6"/>
    <s v="6"/>
    <m/>
    <m/>
    <m/>
    <m/>
    <m/>
    <m/>
    <m/>
    <m/>
    <m/>
  </r>
  <r>
    <s v="oliverswift65"/>
    <s v="patrickrogere"/>
    <m/>
    <m/>
    <m/>
    <m/>
    <m/>
    <m/>
    <m/>
    <m/>
    <s v="No"/>
    <n v="25"/>
    <m/>
    <m/>
    <s v="Mentions"/>
    <x v="6"/>
    <s v="@SudRadio @PatrickRogerE 📌 Ah ils sont beaux les résultats de vos sanctions contre la Russie 🇷🇺‼️_x000a_Les Français 🇨🇵 &amp;amp; UE 🇪🇺 peuvent être fiers de leurs élus issus de leurs choix électoraux‼️_x000a_Maintenant il faut assumer et en silence‼️#Mondialisme #PegreMondialiste #ZelenskyWarCriminal #StandWithRussia https://t.co/988JmxT18o"/>
    <m/>
    <m/>
    <s v="mondialisme pegremondialiste zelenskywarcriminal standwithrussia"/>
    <s v="https://pbs.twimg.com/tweet_video_thumb/FcB57h5aQAA0P_s.jpg"/>
    <s v="https://pbs.twimg.com/tweet_video_thumb/FcB57h5aQAA0P_s.jpg"/>
    <d v="2022-09-07T05:38:14.000"/>
    <d v="2022-09-07T00:00:00.000"/>
    <s v="05:38:14"/>
    <s v="https://twitter.com/oliverswift65/status/1567386742361300993"/>
    <m/>
    <m/>
    <s v="1567386742361300993"/>
    <s v="1567338253128273922"/>
    <b v="0"/>
    <n v="0"/>
    <s v="15658101"/>
    <b v="0"/>
    <s v="fr"/>
    <m/>
    <s v=""/>
    <b v="0"/>
    <n v="0"/>
    <s v=""/>
    <s v="Twitter for Android"/>
    <b v="0"/>
    <s v="1567338253128273922"/>
    <s v="Tweet"/>
    <n v="0"/>
    <n v="0"/>
    <m/>
    <m/>
    <m/>
    <m/>
    <m/>
    <m/>
    <m/>
    <m/>
    <n v="1"/>
    <s v="8"/>
    <s v="8"/>
    <m/>
    <m/>
    <m/>
    <m/>
    <m/>
    <m/>
    <m/>
    <m/>
    <m/>
  </r>
  <r>
    <s v="oliverswift65"/>
    <s v="loiklfp"/>
    <m/>
    <m/>
    <m/>
    <m/>
    <m/>
    <m/>
    <m/>
    <m/>
    <s v="No"/>
    <n v="26"/>
    <m/>
    <m/>
    <s v="Mentions"/>
    <x v="7"/>
    <s v="@SudRadio @PhDavidMtb @cecile2menibus @BilgerPhilippe @francoisedegois @LoikLFP 📌 Ah ils sont beaux les résultats de vos sanctions contre la Russie 🇷🇺‼️Les Français 🇨🇵 &amp;amp; UE 🇪🇺 peuvent être fiers de leurs élus issus de leurs choix électoraux‼️_x000a_Maintenant il faut assumer et en silence‼️#Mondialisme #PegreMondialiste #ZelenskyWarCriminal #StandWithRussia https://t.co/hTVUxK2IQw"/>
    <m/>
    <m/>
    <s v="mondialisme pegremondialiste zelenskywarcriminal standwithrussia"/>
    <s v="https://pbs.twimg.com/media/FcB6ZtZaAAcpaLB.jpg"/>
    <s v="https://pbs.twimg.com/media/FcB6ZtZaAAcpaLB.jpg"/>
    <d v="2022-09-07T05:40:17.000"/>
    <d v="2022-09-07T00:00:00.000"/>
    <s v="05:40:17"/>
    <s v="https://twitter.com/oliverswift65/status/1567387257774178304"/>
    <m/>
    <m/>
    <s v="1567387257774178304"/>
    <s v="1567163040902135812"/>
    <b v="0"/>
    <n v="0"/>
    <s v="15658101"/>
    <b v="0"/>
    <s v="fr"/>
    <m/>
    <s v=""/>
    <b v="0"/>
    <n v="0"/>
    <s v=""/>
    <s v="Twitter for Android"/>
    <b v="0"/>
    <s v="1567163040902135812"/>
    <s v="Tweet"/>
    <n v="0"/>
    <n v="0"/>
    <m/>
    <m/>
    <m/>
    <m/>
    <m/>
    <m/>
    <m/>
    <m/>
    <n v="1"/>
    <s v="8"/>
    <s v="8"/>
    <m/>
    <m/>
    <m/>
    <m/>
    <m/>
    <m/>
    <m/>
    <m/>
    <m/>
  </r>
  <r>
    <s v="oliverswift65"/>
    <s v="jmaphatie"/>
    <m/>
    <m/>
    <m/>
    <m/>
    <m/>
    <m/>
    <m/>
    <m/>
    <s v="No"/>
    <n v="33"/>
    <m/>
    <m/>
    <s v="Mentions"/>
    <x v="8"/>
    <s v="@24hPujadas @jmaphatie 📌 L'aphasie d'#Aphatie l'amène à te traiter de &quot;traître&quot; si t'es pas #UkroNazi😅‼️La vieillesse est un naufrage #GoToEHPAD‼️_x000a_#StandWithRussia 🇷🇺_x000a_#STOP_Russophobia 🇷🇺#FuckAphatie 🇨🇵_x000a_#FuckNWO 🇺🇸 _x000a_#FuckWEF 🇪🇺🇺🇸 _x000a_#FuckGlobalism 🇺🇸_x000a_#FuckUkroNazis 🇺🇦_x000a_#FuckZelenskyWarCriminal 🇺🇦 https://t.co/lmGyiVCCTm"/>
    <m/>
    <m/>
    <s v="aphatie ukronazi gotoehpad standwithrussia stop_russophobia fuckaphatie fucknwo fuckwef fuckglobalism fuckukronazis fuckzelenskywarcriminal"/>
    <s v="https://pbs.twimg.com/media/FcD0Kg2aMAMuZcv.jpg"/>
    <s v="https://pbs.twimg.com/media/FcD0Kg2aMAMuZcv.jpg"/>
    <d v="2022-09-07T14:32:16.000"/>
    <d v="2022-09-07T00:00:00.000"/>
    <s v="14:32:16"/>
    <s v="https://twitter.com/oliverswift65/status/1567521134756909057"/>
    <m/>
    <m/>
    <s v="1567521134756909057"/>
    <s v="1567208450383290368"/>
    <b v="0"/>
    <n v="2"/>
    <s v="765957157175058432"/>
    <b v="0"/>
    <s v="fr"/>
    <m/>
    <s v=""/>
    <b v="0"/>
    <n v="0"/>
    <s v=""/>
    <s v="Twitter for Android"/>
    <b v="0"/>
    <s v="1567208450383290368"/>
    <s v="Tweet"/>
    <n v="0"/>
    <n v="0"/>
    <m/>
    <m/>
    <m/>
    <m/>
    <m/>
    <m/>
    <m/>
    <m/>
    <n v="1"/>
    <s v="8"/>
    <s v="8"/>
    <m/>
    <m/>
    <m/>
    <m/>
    <m/>
    <m/>
    <m/>
    <m/>
    <m/>
  </r>
  <r>
    <s v="oliverswift65"/>
    <s v="oliverswift65"/>
    <m/>
    <m/>
    <m/>
    <m/>
    <m/>
    <m/>
    <m/>
    <m/>
    <s v="No"/>
    <n v="35"/>
    <m/>
    <m/>
    <s v="Tweet"/>
    <x v="9"/>
    <s v="🚨⛔🚨⛔🚨 Stations de #Ski &amp;amp; #Piscines fermées ⤵️ #BienvenueEnMacronie &amp;amp; #UE 🇪🇺‼️_x000a_#ZelenskyWarCriminal🇺🇦 #UkraineCrisis _x000a_#FuckZelensky🇺🇦 #StopRussophobia🇷🇺_x000a_#FuckUkroNazis🇺🇦 #StandWithRussia🇷🇺_x000a_#FallaitPasVoterMacronBandeDeCons _x000a_#PegreMondialiste #DictatureMondialiste_x000a_#Mondialisme https://t.co/UB95cbAAaP"/>
    <m/>
    <m/>
    <s v="ski piscines bienvenueenmacronie ue zelenskywarcriminal ukrainecrisis fuckzelensky stoprussophobia fuckukronazis standwithrussia fallaitpasvotermacronbandedecons pegremondialiste dictaturemondialiste mondialisme"/>
    <s v="https://pbs.twimg.com/ext_tw_video_thumb/1567737728930054144/pu/img/011G4iqUc02yblHK.jpg"/>
    <s v="https://pbs.twimg.com/ext_tw_video_thumb/1567737728930054144/pu/img/011G4iqUc02yblHK.jpg"/>
    <d v="2022-09-08T04:53:12.000"/>
    <d v="2022-09-08T00:00:00.000"/>
    <s v="04:53:12"/>
    <s v="https://twitter.com/oliverswift65/status/1567737795397156864"/>
    <m/>
    <m/>
    <s v="1567737795397156864"/>
    <m/>
    <b v="0"/>
    <n v="0"/>
    <s v=""/>
    <b v="0"/>
    <s v="fr"/>
    <m/>
    <s v=""/>
    <b v="0"/>
    <n v="0"/>
    <s v=""/>
    <s v="Twitter for Android"/>
    <b v="0"/>
    <s v="1567737795397156864"/>
    <s v="Tweet"/>
    <n v="0"/>
    <n v="0"/>
    <m/>
    <m/>
    <m/>
    <m/>
    <m/>
    <m/>
    <m/>
    <m/>
    <n v="2"/>
    <s v="8"/>
    <s v="8"/>
    <n v="0"/>
    <n v="0"/>
    <n v="0"/>
    <n v="0"/>
    <n v="0"/>
    <n v="0"/>
    <n v="19"/>
    <n v="100"/>
    <n v="19"/>
  </r>
  <r>
    <s v="oliverswift65"/>
    <s v="oliverswift65"/>
    <m/>
    <m/>
    <m/>
    <m/>
    <m/>
    <m/>
    <m/>
    <m/>
    <s v="No"/>
    <n v="36"/>
    <m/>
    <m/>
    <s v="Tweet"/>
    <x v="10"/>
    <s v="📌 Rubrique : Humour du jeudi..._x000a_#StandWithRussia 🇷🇺_x000a_#FuckZelenskyWarCriminal 🇺🇦_x000a_#FuckUkronazis 🇺🇦_x000a_#StopEU 🇪🇺_x000a_#UE #EU #EUcorrupt 🇪🇺_x000a_#StopRussophobia🇷🇺_x000a_#VonDerLeyenimpostor 🇪🇺_x000a_#VonDerLeyenCorrupt 🇪🇺_x000a_#EUisLikePCC 🇪🇺/🇨🇳_x000a_#BHLimpostor 🇨🇵_x000a_#Enthovenimpostor 🇨🇵_x000a_#Glucksmannimpostor 🇨🇵 https://t.co/a945Uf8nL6"/>
    <m/>
    <m/>
    <s v="standwithrussia fuckzelenskywarcriminal fuckukronazis stopeu ue eu eucorrupt stoprussophobia vonderleyenimpostor vonderleyencorrupt euislikepcc bhlimpostor enthovenimpostor glucksmannimpostor"/>
    <s v="https://pbs.twimg.com/media/FcG-xYaakAQU3ym.jpg"/>
    <s v="https://pbs.twimg.com/media/FcG-xYaakAQU3ym.jpg"/>
    <d v="2022-09-08T05:17:28.000"/>
    <d v="2022-09-08T00:00:00.000"/>
    <s v="05:17:28"/>
    <s v="https://twitter.com/oliverswift65/status/1567743903914401792"/>
    <m/>
    <m/>
    <s v="1567743903914401792"/>
    <m/>
    <b v="0"/>
    <n v="0"/>
    <s v=""/>
    <b v="0"/>
    <s v="fr"/>
    <m/>
    <s v=""/>
    <b v="0"/>
    <n v="0"/>
    <s v=""/>
    <s v="Twitter for Android"/>
    <b v="0"/>
    <s v="1567743903914401792"/>
    <s v="Tweet"/>
    <n v="0"/>
    <n v="0"/>
    <m/>
    <m/>
    <m/>
    <m/>
    <m/>
    <m/>
    <m/>
    <m/>
    <n v="2"/>
    <s v="8"/>
    <s v="8"/>
    <n v="1"/>
    <n v="5.555555555555555"/>
    <n v="0"/>
    <n v="0"/>
    <n v="0"/>
    <n v="0"/>
    <n v="17"/>
    <n v="94.44444444444444"/>
    <n v="18"/>
  </r>
  <r>
    <s v="lecureuil33"/>
    <s v="lecureuil33"/>
    <m/>
    <m/>
    <m/>
    <m/>
    <m/>
    <m/>
    <m/>
    <m/>
    <s v="No"/>
    <n v="37"/>
    <m/>
    <m/>
    <s v="Tweet"/>
    <x v="11"/>
    <s v="#standwithrussia #kremlin  #Poutineinnocent https://t.co/AsvMMSKNzf"/>
    <s v="https://twitter.com/mathematic1313/status/1548439504783978499"/>
    <s v="twitter.com"/>
    <s v="standwithrussia kremlin poutineinnocent"/>
    <m/>
    <s v="https://pbs.twimg.com/profile_images/1560136186999586817/4eoADy9B_normal.jpg"/>
    <d v="2022-09-08T07:09:24.000"/>
    <d v="2022-09-08T00:00:00.000"/>
    <s v="07:09:24"/>
    <s v="https://twitter.com/lecureuil33/status/1567772071115063303"/>
    <m/>
    <m/>
    <s v="1567772071115063303"/>
    <m/>
    <b v="0"/>
    <n v="1"/>
    <s v=""/>
    <b v="1"/>
    <s v="und"/>
    <m/>
    <s v="1548439504783978499"/>
    <b v="0"/>
    <n v="1"/>
    <s v=""/>
    <s v="Twitter for iPhone"/>
    <b v="0"/>
    <s v="1567772071115063303"/>
    <s v="Tweet"/>
    <n v="0"/>
    <n v="0"/>
    <m/>
    <m/>
    <m/>
    <m/>
    <m/>
    <m/>
    <m/>
    <m/>
    <n v="1"/>
    <s v="2"/>
    <s v="2"/>
    <n v="0"/>
    <n v="0"/>
    <n v="0"/>
    <n v="0"/>
    <n v="0"/>
    <n v="0"/>
    <n v="3"/>
    <n v="100"/>
    <n v="3"/>
  </r>
  <r>
    <s v="chakhoyanandrew"/>
    <s v="charliespiering"/>
    <m/>
    <m/>
    <m/>
    <m/>
    <m/>
    <m/>
    <m/>
    <m/>
    <s v="No"/>
    <n v="38"/>
    <m/>
    <m/>
    <s v="Mentions"/>
    <x v="12"/>
    <s v="@DavidGiglioCA @POTUS @charliespiering Nope. The true face of contemporary fascism is #putin and those who #StandWithRussia https://t.co/L84YtWWMnI"/>
    <m/>
    <m/>
    <s v="putin standwithrussia"/>
    <s v="https://pbs.twimg.com/media/FbpU_MOXgAAR7eK.jpg"/>
    <s v="https://pbs.twimg.com/media/FbpU_MOXgAAR7eK.jpg"/>
    <d v="2022-09-02T11:05:55.000"/>
    <d v="2022-09-02T00:00:00.000"/>
    <s v="11:05:55"/>
    <s v="https://twitter.com/chakhoyanandrew/status/1565657268326207488"/>
    <m/>
    <m/>
    <s v="1565657268326207488"/>
    <s v="1565513032284794880"/>
    <b v="0"/>
    <n v="84"/>
    <s v="1373365280508809219"/>
    <b v="0"/>
    <s v="en"/>
    <m/>
    <s v=""/>
    <b v="0"/>
    <n v="9"/>
    <s v=""/>
    <s v="Twitter for iPhone"/>
    <b v="0"/>
    <s v="1565513032284794880"/>
    <s v="Retweet"/>
    <n v="0"/>
    <n v="0"/>
    <m/>
    <m/>
    <m/>
    <m/>
    <m/>
    <m/>
    <m/>
    <m/>
    <n v="1"/>
    <s v="16"/>
    <s v="16"/>
    <m/>
    <m/>
    <m/>
    <m/>
    <m/>
    <m/>
    <m/>
    <m/>
    <m/>
  </r>
  <r>
    <s v="syanyakernytska"/>
    <s v="charliespiering"/>
    <m/>
    <m/>
    <m/>
    <m/>
    <m/>
    <m/>
    <m/>
    <m/>
    <s v="No"/>
    <n v="39"/>
    <m/>
    <m/>
    <s v="MentionsInRetweet"/>
    <x v="13"/>
    <s v="@DavidGiglioCA @POTUS @charliespiering Nope. The true face of contemporary fascism is #putin and those who #StandWithRussia https://t.co/L84YtWWMnI"/>
    <m/>
    <m/>
    <s v="putin standwithrussia"/>
    <s v="https://pbs.twimg.com/media/FbpU_MOXgAAR7eK.jpg"/>
    <s v="https://pbs.twimg.com/media/FbpU_MOXgAAR7eK.jpg"/>
    <d v="2022-09-08T07:27:00.000"/>
    <d v="2022-09-08T00:00:00.000"/>
    <s v="07:27:00"/>
    <s v="https://twitter.com/syanyakernytska/status/1567776502854418432"/>
    <m/>
    <m/>
    <s v="1567776502854418432"/>
    <m/>
    <b v="0"/>
    <n v="0"/>
    <s v=""/>
    <b v="0"/>
    <s v="en"/>
    <m/>
    <s v=""/>
    <b v="0"/>
    <n v="9"/>
    <s v="1565657268326207488"/>
    <s v="Twitter for Android"/>
    <b v="0"/>
    <s v="1565657268326207488"/>
    <s v="Tweet"/>
    <n v="0"/>
    <n v="0"/>
    <m/>
    <m/>
    <m/>
    <m/>
    <m/>
    <m/>
    <m/>
    <m/>
    <n v="1"/>
    <s v="16"/>
    <s v="16"/>
    <m/>
    <m/>
    <m/>
    <m/>
    <m/>
    <m/>
    <m/>
    <m/>
    <m/>
  </r>
  <r>
    <s v="therealrsbonn"/>
    <s v="stegnerralle"/>
    <m/>
    <m/>
    <m/>
    <m/>
    <m/>
    <m/>
    <m/>
    <m/>
    <s v="No"/>
    <n v="45"/>
    <m/>
    <m/>
    <s v="Retweet"/>
    <x v="14"/>
    <s v="Paradigmenwechsel_x000a__x000a_Während die EU mit Grundrechtseinschränkungen in Reise- und Bewegungsfreiheit einen neuen eisernen Vorgang errichtet, entscheidet sich Russland für die Freiheit und pro Menschenrechte. #Snowden_x000a_ #visabanforrussians_x000a_#standwithrussia https://t.co/MZjBKc0ZKV"/>
    <m/>
    <m/>
    <s v="snowden visabanforrussians standwithrussia"/>
    <s v="https://pbs.twimg.com/media/FcHevsMXkAEnkIC.jpg"/>
    <s v="https://pbs.twimg.com/media/FcHevsMXkAEnkIC.jpg"/>
    <d v="2022-09-08T07:47:57.000"/>
    <d v="2022-09-08T00:00:00.000"/>
    <s v="07:47:57"/>
    <s v="https://twitter.com/therealrsbonn/status/1567781774821920769"/>
    <m/>
    <m/>
    <s v="1567781774821920769"/>
    <m/>
    <b v="0"/>
    <n v="0"/>
    <s v=""/>
    <b v="0"/>
    <s v="de"/>
    <m/>
    <s v=""/>
    <b v="0"/>
    <n v="2"/>
    <s v="1567779061618843648"/>
    <s v="Twitter for iPhone"/>
    <b v="0"/>
    <s v="1567779061618843648"/>
    <s v="Tweet"/>
    <n v="0"/>
    <n v="0"/>
    <m/>
    <m/>
    <m/>
    <m/>
    <m/>
    <m/>
    <m/>
    <m/>
    <n v="1"/>
    <s v="19"/>
    <s v="19"/>
    <n v="0"/>
    <n v="0"/>
    <n v="2"/>
    <n v="7.407407407407407"/>
    <n v="0"/>
    <n v="0"/>
    <n v="25"/>
    <n v="92.5925925925926"/>
    <n v="27"/>
  </r>
  <r>
    <s v="1984_is_near"/>
    <s v="stegnerralle"/>
    <m/>
    <m/>
    <m/>
    <m/>
    <m/>
    <m/>
    <m/>
    <m/>
    <s v="No"/>
    <n v="46"/>
    <m/>
    <m/>
    <s v="Retweet"/>
    <x v="15"/>
    <s v="Paradigmenwechsel_x000a__x000a_Während die EU mit Grundrechtseinschränkungen in Reise- und Bewegungsfreiheit einen neuen eisernen Vorgang errichtet, entscheidet sich Russland für die Freiheit und pro Menschenrechte. #Snowden_x000a_ #visabanforrussians_x000a_#standwithrussia https://t.co/MZjBKc0ZKV"/>
    <m/>
    <m/>
    <s v="snowden visabanforrussians standwithrussia"/>
    <s v="https://pbs.twimg.com/media/FcHevsMXkAEnkIC.jpg"/>
    <s v="https://pbs.twimg.com/media/FcHevsMXkAEnkIC.jpg"/>
    <d v="2022-09-08T07:51:26.000"/>
    <d v="2022-09-08T00:00:00.000"/>
    <s v="07:51:26"/>
    <s v="https://twitter.com/1984_is_near/status/1567782650944917506"/>
    <m/>
    <m/>
    <s v="1567782650944917506"/>
    <m/>
    <b v="0"/>
    <n v="0"/>
    <s v=""/>
    <b v="0"/>
    <s v="de"/>
    <m/>
    <s v=""/>
    <b v="0"/>
    <n v="2"/>
    <s v="1567779061618843648"/>
    <s v="Twitter for Android"/>
    <b v="0"/>
    <s v="1567779061618843648"/>
    <s v="Tweet"/>
    <n v="0"/>
    <n v="0"/>
    <m/>
    <m/>
    <m/>
    <m/>
    <m/>
    <m/>
    <m/>
    <m/>
    <n v="1"/>
    <s v="19"/>
    <s v="19"/>
    <n v="0"/>
    <n v="0"/>
    <n v="2"/>
    <n v="7.407407407407407"/>
    <n v="0"/>
    <n v="0"/>
    <n v="25"/>
    <n v="92.5925925925926"/>
    <n v="27"/>
  </r>
  <r>
    <s v="phacotte"/>
    <s v="060_ilou"/>
    <m/>
    <m/>
    <m/>
    <m/>
    <m/>
    <m/>
    <m/>
    <m/>
    <s v="No"/>
    <n v="47"/>
    <m/>
    <m/>
    <s v="MentionsInRetweet"/>
    <x v="16"/>
    <s v="Je vous présente Vladimir #Poutine, le président de la Grande #Russie,un véritable homme d'État suivi par 83 % de sa population dixit son opposition (centre levada)._x000a_Ça change du #poudré...😏_x000a_#StandWithRussia 🇷🇺_x000a_#StandWithPutin 💪_x000a_@AgentduKGB _x000a_@p_duval _x000a_@Philo95857560 _x000a_@060_ilou https://t.co/B5r5gdwDrV"/>
    <m/>
    <m/>
    <s v="poutine russie poudré standwithrussia standwithputin"/>
    <s v="https://pbs.twimg.com/media/Fb6ZZsqWYAUww3Q.jpg"/>
    <s v="https://pbs.twimg.com/media/Fb6ZZsqWYAUww3Q.jpg"/>
    <d v="2022-09-08T08:33:47.000"/>
    <d v="2022-09-08T00:00:00.000"/>
    <s v="08:33:47"/>
    <s v="https://twitter.com/phacotte/status/1567793306544869378"/>
    <m/>
    <m/>
    <s v="1567793306544869378"/>
    <m/>
    <b v="0"/>
    <n v="0"/>
    <s v=""/>
    <b v="0"/>
    <s v="fr"/>
    <m/>
    <s v=""/>
    <b v="0"/>
    <n v="35"/>
    <s v="1566858391003209729"/>
    <s v="Twitter Web App"/>
    <b v="0"/>
    <s v="1566858391003209729"/>
    <s v="Tweet"/>
    <n v="0"/>
    <n v="0"/>
    <m/>
    <m/>
    <m/>
    <m/>
    <m/>
    <m/>
    <m/>
    <m/>
    <n v="1"/>
    <s v="10"/>
    <s v="10"/>
    <m/>
    <m/>
    <m/>
    <m/>
    <m/>
    <m/>
    <m/>
    <m/>
    <m/>
  </r>
  <r>
    <s v="markwol64553906"/>
    <s v="nixelpixel"/>
    <m/>
    <m/>
    <m/>
    <m/>
    <m/>
    <m/>
    <m/>
    <m/>
    <s v="No"/>
    <n v="51"/>
    <m/>
    <m/>
    <s v="Replies to"/>
    <x v="17"/>
    <s v="@nixelpixel я бы хотел напомнить, пёся поддерживает спецоперацию на украине!, #StandWithRussia #СвоихНеБросаем https://t.co/mYiKaJVqKK"/>
    <m/>
    <m/>
    <s v="standwithrussia своихнебросаем"/>
    <s v="https://pbs.twimg.com/media/FR50lv2XEAEY2ZT.jpg"/>
    <s v="https://pbs.twimg.com/media/FR50lv2XEAEY2ZT.jpg"/>
    <d v="2022-05-04T09:21:20.000"/>
    <d v="2022-05-04T00:00:00.000"/>
    <s v="09:21:20"/>
    <s v="https://twitter.com/markwol64553906/status/1521782016643153921"/>
    <m/>
    <m/>
    <s v="1521782016643153921"/>
    <m/>
    <b v="0"/>
    <n v="4"/>
    <s v="102139266"/>
    <b v="0"/>
    <s v="ru"/>
    <m/>
    <s v=""/>
    <b v="0"/>
    <n v="2"/>
    <s v=""/>
    <s v="Twitter Web App"/>
    <b v="0"/>
    <s v="1521782016643153921"/>
    <s v="Retweet"/>
    <n v="0"/>
    <n v="0"/>
    <m/>
    <m/>
    <m/>
    <m/>
    <m/>
    <m/>
    <m/>
    <m/>
    <n v="1"/>
    <s v="38"/>
    <s v="38"/>
    <n v="0"/>
    <n v="0"/>
    <n v="0"/>
    <n v="0"/>
    <n v="0"/>
    <n v="0"/>
    <n v="12"/>
    <n v="100"/>
    <n v="12"/>
  </r>
  <r>
    <s v="shxtcowboy"/>
    <s v="markwol64553906"/>
    <m/>
    <m/>
    <m/>
    <m/>
    <m/>
    <m/>
    <m/>
    <m/>
    <s v="No"/>
    <n v="52"/>
    <m/>
    <m/>
    <s v="Retweet"/>
    <x v="18"/>
    <s v="@nixelpixel я бы хотел напомнить, пёся поддерживает спецоперацию на украине!, #StandWithRussia #СвоихНеБросаем https://t.co/mYiKaJVqKK"/>
    <m/>
    <m/>
    <s v="standwithrussia своихнебросаем"/>
    <s v="https://pbs.twimg.com/media/FR50lv2XEAEY2ZT.jpg"/>
    <s v="https://pbs.twimg.com/media/FR50lv2XEAEY2ZT.jpg"/>
    <d v="2022-09-08T09:18:39.000"/>
    <d v="2022-09-08T00:00:00.000"/>
    <s v="09:18:39"/>
    <s v="https://twitter.com/shxtcowboy/status/1567804599079243778"/>
    <m/>
    <m/>
    <s v="1567804599079243778"/>
    <m/>
    <b v="0"/>
    <n v="0"/>
    <s v=""/>
    <b v="0"/>
    <s v="ru"/>
    <m/>
    <s v=""/>
    <b v="0"/>
    <n v="2"/>
    <s v="1521782016643153921"/>
    <s v="Twitter for Android"/>
    <b v="0"/>
    <s v="1521782016643153921"/>
    <s v="Tweet"/>
    <n v="0"/>
    <n v="0"/>
    <m/>
    <m/>
    <m/>
    <m/>
    <m/>
    <m/>
    <m/>
    <m/>
    <n v="1"/>
    <s v="38"/>
    <s v="38"/>
    <m/>
    <m/>
    <m/>
    <m/>
    <m/>
    <m/>
    <m/>
    <m/>
    <m/>
  </r>
  <r>
    <s v="benkutowski"/>
    <s v="bhl"/>
    <m/>
    <m/>
    <m/>
    <m/>
    <m/>
    <m/>
    <m/>
    <m/>
    <s v="No"/>
    <n v="54"/>
    <m/>
    <m/>
    <s v="Replies to"/>
    <x v="19"/>
    <s v="@BHL #SlavaRossiya #StandWithRussia"/>
    <m/>
    <m/>
    <s v="slavarossiya standwithrussia"/>
    <m/>
    <s v="https://pbs.twimg.com/profile_images/1466090085032603648/C5YhkJ5q_normal.jpg"/>
    <d v="2022-09-08T10:39:49.000"/>
    <d v="2022-09-08T00:00:00.000"/>
    <s v="10:39:49"/>
    <s v="https://twitter.com/benkutowski/status/1567825024781885441"/>
    <m/>
    <m/>
    <s v="1567825024781885441"/>
    <s v="1567507197357088775"/>
    <b v="0"/>
    <n v="0"/>
    <s v="46479088"/>
    <b v="0"/>
    <s v="und"/>
    <m/>
    <s v=""/>
    <b v="0"/>
    <n v="0"/>
    <s v=""/>
    <s v="Twitter for iPhone"/>
    <b v="0"/>
    <s v="1567507197357088775"/>
    <s v="Tweet"/>
    <n v="0"/>
    <n v="0"/>
    <m/>
    <m/>
    <m/>
    <m/>
    <m/>
    <m/>
    <m/>
    <m/>
    <n v="1"/>
    <s v="37"/>
    <s v="37"/>
    <n v="0"/>
    <n v="0"/>
    <n v="0"/>
    <n v="0"/>
    <n v="0"/>
    <n v="0"/>
    <n v="3"/>
    <n v="100"/>
    <n v="3"/>
  </r>
  <r>
    <s v="nilhrevan"/>
    <s v="bhl"/>
    <m/>
    <m/>
    <m/>
    <m/>
    <m/>
    <m/>
    <m/>
    <m/>
    <s v="No"/>
    <n v="55"/>
    <m/>
    <m/>
    <s v="Replies to"/>
    <x v="20"/>
    <s v="@BHL #StandWithRussia 🇷🇺"/>
    <m/>
    <m/>
    <s v="standwithrussia"/>
    <m/>
    <s v="https://pbs.twimg.com/profile_images/1308352213249597442/Cpmq1oOm_normal.jpg"/>
    <d v="2022-09-08T14:03:12.000"/>
    <d v="2022-09-08T00:00:00.000"/>
    <s v="14:03:12"/>
    <s v="https://twitter.com/nilhrevan/status/1567876208657850368"/>
    <m/>
    <m/>
    <s v="1567876208657850368"/>
    <s v="1567507197357088775"/>
    <b v="0"/>
    <n v="0"/>
    <s v="46479088"/>
    <b v="0"/>
    <s v="und"/>
    <m/>
    <s v=""/>
    <b v="0"/>
    <n v="0"/>
    <s v=""/>
    <s v="Twitter for iPhone"/>
    <b v="0"/>
    <s v="1567507197357088775"/>
    <s v="Tweet"/>
    <n v="0"/>
    <n v="0"/>
    <m/>
    <m/>
    <m/>
    <m/>
    <m/>
    <m/>
    <m/>
    <m/>
    <n v="1"/>
    <s v="37"/>
    <s v="37"/>
    <n v="0"/>
    <n v="0"/>
    <n v="0"/>
    <n v="0"/>
    <n v="0"/>
    <n v="0"/>
    <n v="2"/>
    <n v="100"/>
    <n v="2"/>
  </r>
  <r>
    <s v="thetruth222222"/>
    <s v="thetruth222222"/>
    <m/>
    <m/>
    <m/>
    <m/>
    <m/>
    <m/>
    <m/>
    <m/>
    <s v="No"/>
    <n v="56"/>
    <m/>
    <m/>
    <s v="Tweet"/>
    <x v="21"/>
    <s v="Even Ukrainians #standwithRussia https://t.co/jqzp9uZEKL"/>
    <s v="https://twitter.com/ArthurM40330824/status/1567605573222277121"/>
    <s v="twitter.com"/>
    <s v="standwithrussia"/>
    <m/>
    <s v="https://pbs.twimg.com/profile_images/1566170548262129665/uuqxKJyS_normal.jpg"/>
    <d v="2022-09-08T14:09:41.000"/>
    <d v="2022-09-08T00:00:00.000"/>
    <s v="14:09:41"/>
    <s v="https://twitter.com/thetruth222222/status/1567877842007883776"/>
    <m/>
    <m/>
    <s v="1567877842007883776"/>
    <m/>
    <b v="0"/>
    <n v="2"/>
    <s v=""/>
    <b v="1"/>
    <s v="en"/>
    <m/>
    <s v="1567605573222277121"/>
    <b v="0"/>
    <n v="0"/>
    <s v=""/>
    <s v="Twitter for Android"/>
    <b v="0"/>
    <s v="1567877842007883776"/>
    <s v="Tweet"/>
    <n v="0"/>
    <n v="0"/>
    <m/>
    <m/>
    <m/>
    <m/>
    <m/>
    <m/>
    <m/>
    <m/>
    <n v="1"/>
    <s v="2"/>
    <s v="2"/>
    <n v="0"/>
    <n v="0"/>
    <n v="0"/>
    <n v="0"/>
    <n v="0"/>
    <n v="0"/>
    <n v="3"/>
    <n v="100"/>
    <n v="3"/>
  </r>
  <r>
    <s v="realfantomas"/>
    <s v="stegnerralle"/>
    <m/>
    <m/>
    <m/>
    <m/>
    <m/>
    <m/>
    <m/>
    <m/>
    <s v="No"/>
    <n v="57"/>
    <m/>
    <m/>
    <s v="Retweet"/>
    <x v="22"/>
    <s v="Sanktionen wirken:_x000a__x000a_Der Abbau der deutschen Wirtschaft läuft gut an._x000a_Während es im gesamten Mai 2022 noch zu rund 1200 Insolvenzen kam, werden aktuell pro Tag mehr als 1000 Insolvenzen gemeldet. _x000a_#standwithRussia #Deindustrialisierung #Habeck https://t.co/ImU3NGwC5z"/>
    <m/>
    <m/>
    <s v="standwithrussia deindustrialisierung habeck"/>
    <s v="https://pbs.twimg.com/media/FcHk5KpX0AER_Nj.jpg"/>
    <s v="https://pbs.twimg.com/media/FcHk5KpX0AER_Nj.jpg"/>
    <d v="2022-09-08T15:44:43.000"/>
    <d v="2022-09-08T00:00:00.000"/>
    <s v="15:44:43"/>
    <s v="https://twitter.com/realfantomas/status/1567901755081654272"/>
    <m/>
    <m/>
    <s v="1567901755081654272"/>
    <m/>
    <b v="0"/>
    <n v="0"/>
    <s v=""/>
    <b v="0"/>
    <s v="de"/>
    <m/>
    <s v=""/>
    <b v="0"/>
    <n v="2"/>
    <s v="1567785821926735877"/>
    <s v="Twitter Web App"/>
    <b v="0"/>
    <s v="1567785821926735877"/>
    <s v="Tweet"/>
    <n v="0"/>
    <n v="0"/>
    <m/>
    <m/>
    <m/>
    <m/>
    <m/>
    <m/>
    <m/>
    <m/>
    <n v="1"/>
    <s v="19"/>
    <s v="19"/>
    <n v="0"/>
    <n v="0"/>
    <n v="0"/>
    <n v="0"/>
    <n v="0"/>
    <n v="0"/>
    <n v="34"/>
    <n v="100"/>
    <n v="34"/>
  </r>
  <r>
    <s v="miky3881"/>
    <s v="albertofazolo"/>
    <m/>
    <m/>
    <m/>
    <m/>
    <m/>
    <m/>
    <m/>
    <m/>
    <s v="No"/>
    <n v="58"/>
    <m/>
    <m/>
    <s v="Replies to"/>
    <x v="23"/>
    <s v="@AlbertoFazolo Studio che analizza il periodo 24 febbraio-8 marzo basato solo sui seguenti # StandWithPutin, # StandWithRussia, # SupportRussia, #StandWithUkraine, #StandWithZelenskyyand #SupportUkraine._x000a_Che poi gli ucraini siano + bravi anche nella comunicazione è un fatto. _x000a_#PutinWarCriminal"/>
    <m/>
    <m/>
    <s v="standwithukraine standwithzelenskyyand supportukraine putinwarcriminal"/>
    <m/>
    <s v="https://pbs.twimg.com/profile_images/1507020421836808193/Bv1yFFuF_normal.jpg"/>
    <d v="2022-09-08T15:56:26.000"/>
    <d v="2022-09-08T00:00:00.000"/>
    <s v="15:56:26"/>
    <s v="https://twitter.com/miky3881/status/1567904706206515200"/>
    <m/>
    <m/>
    <s v="1567904706206515200"/>
    <s v="1567463238958194688"/>
    <b v="0"/>
    <n v="4"/>
    <s v="1499039297072156684"/>
    <b v="0"/>
    <s v="it"/>
    <m/>
    <s v=""/>
    <b v="0"/>
    <n v="0"/>
    <s v=""/>
    <s v="Twitter for iPad"/>
    <b v="0"/>
    <s v="1567463238958194688"/>
    <s v="Tweet"/>
    <n v="0"/>
    <n v="0"/>
    <m/>
    <m/>
    <m/>
    <m/>
    <m/>
    <m/>
    <m/>
    <m/>
    <n v="1"/>
    <s v="57"/>
    <s v="57"/>
    <n v="0"/>
    <n v="0"/>
    <n v="0"/>
    <n v="0"/>
    <n v="0"/>
    <n v="0"/>
    <n v="33"/>
    <n v="100"/>
    <n v="33"/>
  </r>
  <r>
    <s v="poseidon325_"/>
    <s v="gorkembo"/>
    <m/>
    <m/>
    <m/>
    <m/>
    <m/>
    <m/>
    <m/>
    <m/>
    <s v="No"/>
    <n v="59"/>
    <m/>
    <m/>
    <s v="Replies to"/>
    <x v="24"/>
    <s v="@gorkembo #standwithrussia"/>
    <m/>
    <m/>
    <s v="standwithrussia"/>
    <m/>
    <s v="https://pbs.twimg.com/profile_images/1568323910650707968/_BKm3e_r_normal.jpg"/>
    <d v="2022-09-08T17:12:08.000"/>
    <d v="2022-09-08T00:00:00.000"/>
    <s v="17:12:08"/>
    <s v="https://twitter.com/poseidon325_/status/1567923755959349258"/>
    <m/>
    <m/>
    <s v="1567923755959349258"/>
    <s v="1567920376860258305"/>
    <b v="0"/>
    <n v="0"/>
    <s v="1154034977991868416"/>
    <b v="0"/>
    <s v="und"/>
    <m/>
    <s v=""/>
    <b v="0"/>
    <n v="0"/>
    <s v=""/>
    <s v="Twitter for Android"/>
    <b v="0"/>
    <s v="1567920376860258305"/>
    <s v="Tweet"/>
    <n v="0"/>
    <n v="0"/>
    <m/>
    <m/>
    <m/>
    <m/>
    <m/>
    <m/>
    <m/>
    <m/>
    <n v="1"/>
    <s v="56"/>
    <s v="56"/>
    <n v="0"/>
    <n v="0"/>
    <n v="0"/>
    <n v="0"/>
    <n v="0"/>
    <n v="0"/>
    <n v="2"/>
    <n v="100"/>
    <n v="2"/>
  </r>
  <r>
    <s v="saifullahalipti"/>
    <s v="saifullahalipti"/>
    <m/>
    <m/>
    <m/>
    <m/>
    <m/>
    <m/>
    <m/>
    <m/>
    <s v="No"/>
    <n v="60"/>
    <m/>
    <m/>
    <s v="Tweet"/>
    <x v="25"/>
    <s v="حقیقت جان کر جیو_x000a_#BehindYouSkipper _x000a_#StandWithRussia _x000a_#StandWithAsifAli https://t.co/xsuFyQUQHd"/>
    <m/>
    <m/>
    <s v="behindyouskipper standwithrussia standwithasifali"/>
    <s v="https://pbs.twimg.com/ext_tw_video_thumb/1567940385816576000/pu/img/xIs4ewXCw7Ea4ljE.jpg"/>
    <s v="https://pbs.twimg.com/ext_tw_video_thumb/1567940385816576000/pu/img/xIs4ewXCw7Ea4ljE.jpg"/>
    <d v="2022-09-08T18:18:26.000"/>
    <d v="2022-09-08T00:00:00.000"/>
    <s v="18:18:26"/>
    <s v="https://twitter.com/saifullahalipti/status/1567940441689190400"/>
    <m/>
    <m/>
    <s v="1567940441689190400"/>
    <m/>
    <b v="0"/>
    <n v="1"/>
    <s v=""/>
    <b v="0"/>
    <s v="fa"/>
    <m/>
    <s v=""/>
    <b v="0"/>
    <n v="1"/>
    <s v=""/>
    <s v="Twitter for Android"/>
    <b v="0"/>
    <s v="1567940441689190400"/>
    <s v="Tweet"/>
    <n v="0"/>
    <n v="0"/>
    <s v="72.529465,32.27554 _x000a_77.119855,32.27554 _x000a_77.119855,37.07827 _x000a_72.529465,37.07827"/>
    <s v="India"/>
    <s v="IN"/>
    <s v="Jammu &amp; Kashmir"/>
    <s v="7589e3f2b73287da"/>
    <s v="Jammu &amp; Kashmir"/>
    <s v="admin"/>
    <s v="https://api.twitter.com/1.1/geo/id/7589e3f2b73287da.json"/>
    <n v="1"/>
    <s v="55"/>
    <s v="55"/>
    <n v="0"/>
    <n v="0"/>
    <n v="0"/>
    <n v="0"/>
    <n v="0"/>
    <n v="0"/>
    <n v="7"/>
    <n v="100"/>
    <n v="7"/>
  </r>
  <r>
    <s v="dilkash_1"/>
    <s v="saifullahalipti"/>
    <m/>
    <m/>
    <m/>
    <m/>
    <m/>
    <m/>
    <m/>
    <m/>
    <s v="No"/>
    <n v="61"/>
    <m/>
    <m/>
    <s v="Retweet"/>
    <x v="26"/>
    <s v="حقیقت جان کر جیو_x000a_#BehindYouSkipper _x000a_#StandWithRussia _x000a_#StandWithAsifAli https://t.co/xsuFyQUQHd"/>
    <m/>
    <m/>
    <s v="behindyouskipper standwithrussia standwithasifali"/>
    <s v="https://pbs.twimg.com/ext_tw_video_thumb/1567940385816576000/pu/img/xIs4ewXCw7Ea4ljE.jpg"/>
    <s v="https://pbs.twimg.com/ext_tw_video_thumb/1567940385816576000/pu/img/xIs4ewXCw7Ea4ljE.jpg"/>
    <d v="2022-09-08T18:19:26.000"/>
    <d v="2022-09-08T00:00:00.000"/>
    <s v="18:19:26"/>
    <s v="https://twitter.com/dilkash_1/status/1567940692822949890"/>
    <m/>
    <m/>
    <s v="1567940692822949890"/>
    <m/>
    <b v="0"/>
    <n v="0"/>
    <s v=""/>
    <b v="0"/>
    <s v="fa"/>
    <m/>
    <s v=""/>
    <b v="0"/>
    <n v="1"/>
    <s v="1567940441689190400"/>
    <s v="Twitter for Android"/>
    <b v="0"/>
    <s v="1567940441689190400"/>
    <s v="Tweet"/>
    <n v="0"/>
    <n v="0"/>
    <m/>
    <m/>
    <m/>
    <m/>
    <m/>
    <m/>
    <m/>
    <m/>
    <n v="1"/>
    <s v="55"/>
    <s v="55"/>
    <n v="0"/>
    <n v="0"/>
    <n v="0"/>
    <n v="0"/>
    <n v="0"/>
    <n v="0"/>
    <n v="7"/>
    <n v="100"/>
    <n v="7"/>
  </r>
  <r>
    <s v="stegnerralle"/>
    <s v="stegnerralle"/>
    <m/>
    <m/>
    <m/>
    <m/>
    <m/>
    <m/>
    <m/>
    <m/>
    <s v="No"/>
    <n v="62"/>
    <m/>
    <m/>
    <s v="Tweet"/>
    <x v="27"/>
    <s v="Paradigmenwechsel_x000a__x000a_Während die EU mit Grundrechtseinschränkungen in Reise- und Bewegungsfreiheit einen neuen eisernen Vorgang errichtet, entscheidet sich Russland für die Freiheit und pro Menschenrechte. #Snowden_x000a_ #visabanforrussians_x000a_#standwithrussia https://t.co/MZjBKc0ZKV"/>
    <m/>
    <m/>
    <s v="snowden visabanforrussians standwithrussia"/>
    <s v="https://pbs.twimg.com/media/FcHevsMXkAEnkIC.jpg"/>
    <s v="https://pbs.twimg.com/media/FcHevsMXkAEnkIC.jpg"/>
    <d v="2022-09-08T07:37:10.000"/>
    <d v="2022-09-08T00:00:00.000"/>
    <s v="07:37:10"/>
    <s v="https://twitter.com/stegnerralle/status/1567779061618843648"/>
    <m/>
    <m/>
    <s v="1567779061618843648"/>
    <m/>
    <b v="0"/>
    <n v="2"/>
    <s v=""/>
    <b v="0"/>
    <s v="de"/>
    <m/>
    <s v=""/>
    <b v="0"/>
    <n v="2"/>
    <s v=""/>
    <s v="Twitter for Android"/>
    <b v="0"/>
    <s v="1567779061618843648"/>
    <s v="Tweet"/>
    <n v="0"/>
    <n v="0"/>
    <m/>
    <m/>
    <m/>
    <m/>
    <m/>
    <m/>
    <m/>
    <m/>
    <n v="2"/>
    <s v="19"/>
    <s v="19"/>
    <n v="0"/>
    <n v="0"/>
    <n v="2"/>
    <n v="7.407407407407407"/>
    <n v="0"/>
    <n v="0"/>
    <n v="25"/>
    <n v="92.5925925925926"/>
    <n v="27"/>
  </r>
  <r>
    <s v="stegnerralle"/>
    <s v="stegnerralle"/>
    <m/>
    <m/>
    <m/>
    <m/>
    <m/>
    <m/>
    <m/>
    <m/>
    <s v="No"/>
    <n v="63"/>
    <m/>
    <m/>
    <s v="Tweet"/>
    <x v="28"/>
    <s v="Sanktionen wirken:_x000a__x000a_Der Abbau der deutschen Wirtschaft läuft gut an._x000a_Während es im gesamten Mai 2022 noch zu rund 1200 Insolvenzen kam, werden aktuell pro Tag mehr als 1000 Insolvenzen gemeldet. _x000a_#standwithRussia #Deindustrialisierung #Habeck https://t.co/ImU3NGwC5z"/>
    <m/>
    <m/>
    <s v="standwithrussia deindustrialisierung habeck"/>
    <s v="https://pbs.twimg.com/media/FcHk5KpX0AER_Nj.jpg"/>
    <s v="https://pbs.twimg.com/media/FcHk5KpX0AER_Nj.jpg"/>
    <d v="2022-09-08T08:04:02.000"/>
    <d v="2022-09-08T00:00:00.000"/>
    <s v="08:04:02"/>
    <s v="https://twitter.com/stegnerralle/status/1567785821926735877"/>
    <m/>
    <m/>
    <s v="1567785821926735877"/>
    <m/>
    <b v="0"/>
    <n v="6"/>
    <s v=""/>
    <b v="0"/>
    <s v="de"/>
    <m/>
    <s v=""/>
    <b v="0"/>
    <n v="2"/>
    <s v=""/>
    <s v="Twitter for Android"/>
    <b v="0"/>
    <s v="1567785821926735877"/>
    <s v="Tweet"/>
    <n v="0"/>
    <n v="0"/>
    <m/>
    <m/>
    <m/>
    <m/>
    <m/>
    <m/>
    <m/>
    <m/>
    <n v="2"/>
    <s v="19"/>
    <s v="19"/>
    <n v="0"/>
    <n v="0"/>
    <n v="0"/>
    <n v="0"/>
    <n v="0"/>
    <n v="0"/>
    <n v="34"/>
    <n v="100"/>
    <n v="34"/>
  </r>
  <r>
    <s v="achguck"/>
    <s v="stegnerralle"/>
    <m/>
    <m/>
    <m/>
    <m/>
    <m/>
    <m/>
    <m/>
    <m/>
    <s v="No"/>
    <n v="64"/>
    <m/>
    <m/>
    <s v="Retweet"/>
    <x v="29"/>
    <s v="Sanktionen wirken:_x000a__x000a_Der Abbau der deutschen Wirtschaft läuft gut an._x000a_Während es im gesamten Mai 2022 noch zu rund 1200 Insolvenzen kam, werden aktuell pro Tag mehr als 1000 Insolvenzen gemeldet. _x000a_#standwithRussia #Deindustrialisierung #Habeck https://t.co/ImU3NGwC5z"/>
    <m/>
    <m/>
    <s v="standwithrussia deindustrialisierung habeck"/>
    <s v="https://pbs.twimg.com/media/FcHk5KpX0AER_Nj.jpg"/>
    <s v="https://pbs.twimg.com/media/FcHk5KpX0AER_Nj.jpg"/>
    <d v="2022-09-08T19:37:23.000"/>
    <d v="2022-09-08T00:00:00.000"/>
    <s v="19:37:23"/>
    <s v="https://twitter.com/achguck/status/1567960310459383810"/>
    <m/>
    <m/>
    <s v="1567960310459383810"/>
    <m/>
    <b v="0"/>
    <n v="0"/>
    <s v=""/>
    <b v="0"/>
    <s v="de"/>
    <m/>
    <s v=""/>
    <b v="0"/>
    <n v="2"/>
    <s v="1567785821926735877"/>
    <s v="Twitter Web App"/>
    <b v="0"/>
    <s v="1567785821926735877"/>
    <s v="Tweet"/>
    <n v="0"/>
    <n v="0"/>
    <m/>
    <m/>
    <m/>
    <m/>
    <m/>
    <m/>
    <m/>
    <m/>
    <n v="1"/>
    <s v="19"/>
    <s v="19"/>
    <n v="0"/>
    <n v="0"/>
    <n v="0"/>
    <n v="0"/>
    <n v="0"/>
    <n v="0"/>
    <n v="34"/>
    <n v="100"/>
    <n v="34"/>
  </r>
  <r>
    <s v="myriamjerome"/>
    <s v="060_ilou"/>
    <m/>
    <m/>
    <m/>
    <m/>
    <m/>
    <m/>
    <m/>
    <m/>
    <s v="No"/>
    <n v="65"/>
    <m/>
    <m/>
    <s v="MentionsInRetweet"/>
    <x v="30"/>
    <s v="Je vous présente Vladimir #Poutine, le président de la Grande #Russie,un véritable homme d'État suivi par 83 % de sa population dixit son opposition (centre levada)._x000a_Ça change du #poudré...😏_x000a_#StandWithRussia 🇷🇺_x000a_#StandWithPutin 💪_x000a_@AgentduKGB _x000a_@p_duval _x000a_@Philo95857560 _x000a_@060_ilou https://t.co/B5r5gdwDrV"/>
    <m/>
    <m/>
    <s v="poutine russie poudré standwithrussia standwithputin"/>
    <s v="https://pbs.twimg.com/media/Fb6ZZsqWYAUww3Q.jpg"/>
    <s v="https://pbs.twimg.com/media/Fb6ZZsqWYAUww3Q.jpg"/>
    <d v="2022-09-08T21:55:39.000"/>
    <d v="2022-09-08T00:00:00.000"/>
    <s v="21:55:39"/>
    <s v="https://twitter.com/myriamjerome/status/1567995103184318464"/>
    <m/>
    <m/>
    <s v="1567995103184318464"/>
    <m/>
    <b v="0"/>
    <n v="0"/>
    <s v=""/>
    <b v="0"/>
    <s v="fr"/>
    <m/>
    <s v=""/>
    <b v="0"/>
    <n v="35"/>
    <s v="1566858391003209729"/>
    <s v="Twitter for Android"/>
    <b v="0"/>
    <s v="1566858391003209729"/>
    <s v="Tweet"/>
    <n v="0"/>
    <n v="0"/>
    <m/>
    <m/>
    <m/>
    <m/>
    <m/>
    <m/>
    <m/>
    <m/>
    <n v="1"/>
    <s v="10"/>
    <s v="10"/>
    <m/>
    <m/>
    <m/>
    <m/>
    <m/>
    <m/>
    <m/>
    <m/>
    <m/>
  </r>
  <r>
    <s v="betelabassa"/>
    <s v="ethiopi00829015"/>
    <m/>
    <m/>
    <m/>
    <m/>
    <m/>
    <m/>
    <m/>
    <m/>
    <s v="No"/>
    <n v="69"/>
    <m/>
    <m/>
    <s v="Retweet"/>
    <x v="31"/>
    <s v="Vladmir Putin said that &quot;Almost all Ukrainian grain reaching European .However,the single shipment that was destined for Africa got more attention from the western media than this one.&quot;_x000a__x000a_That is how modern media colonialism portrays Africa._x000a_#NoMoreColonialism_x000a_#StandWithRussia https://t.co/eqNUoUARHV"/>
    <m/>
    <m/>
    <s v="nomorecolonialism standwithrussia"/>
    <s v="https://pbs.twimg.com/ext_tw_video_thumb/1568199549256175617/pu/img/Ysr1rE83e5hn0twR.jpg"/>
    <s v="https://pbs.twimg.com/ext_tw_video_thumb/1568199549256175617/pu/img/Ysr1rE83e5hn0twR.jpg"/>
    <d v="2022-09-09T11:30:20.000"/>
    <d v="2022-09-09T00:00:00.000"/>
    <s v="11:30:20"/>
    <s v="https://twitter.com/betelabassa/status/1568200127340322816"/>
    <m/>
    <m/>
    <s v="1568200127340322816"/>
    <m/>
    <b v="0"/>
    <n v="0"/>
    <s v=""/>
    <b v="0"/>
    <s v="en"/>
    <m/>
    <s v=""/>
    <b v="0"/>
    <n v="16"/>
    <s v="1568199721801449473"/>
    <s v="Twitter Web App"/>
    <b v="0"/>
    <s v="1568199721801449473"/>
    <s v="Tweet"/>
    <n v="0"/>
    <n v="0"/>
    <m/>
    <m/>
    <m/>
    <m/>
    <m/>
    <m/>
    <m/>
    <m/>
    <n v="1"/>
    <s v="5"/>
    <s v="5"/>
    <n v="1"/>
    <n v="2.5641025641025643"/>
    <n v="0"/>
    <n v="0"/>
    <n v="0"/>
    <n v="0"/>
    <n v="38"/>
    <n v="97.43589743589743"/>
    <n v="39"/>
  </r>
  <r>
    <s v="ruinin_football"/>
    <s v="ethiopi00829015"/>
    <m/>
    <m/>
    <m/>
    <m/>
    <m/>
    <m/>
    <m/>
    <m/>
    <s v="No"/>
    <n v="70"/>
    <m/>
    <m/>
    <s v="Retweet"/>
    <x v="32"/>
    <s v="Vladmir Putin said that &quot;Almost all Ukrainian grain reaching European .However,the single shipment that was destined for Africa got more attention from the western media than this one.&quot;_x000a__x000a_That is how modern media colonialism portrays Africa._x000a_#NoMoreColonialism_x000a_#StandWithRussia https://t.co/eqNUoUARHV"/>
    <m/>
    <m/>
    <s v="nomorecolonialism standwithrussia"/>
    <s v="https://pbs.twimg.com/ext_tw_video_thumb/1568199549256175617/pu/img/Ysr1rE83e5hn0twR.jpg"/>
    <s v="https://pbs.twimg.com/ext_tw_video_thumb/1568199549256175617/pu/img/Ysr1rE83e5hn0twR.jpg"/>
    <d v="2022-09-09T11:36:50.000"/>
    <d v="2022-09-09T00:00:00.000"/>
    <s v="11:36:50"/>
    <s v="https://twitter.com/ruinin_football/status/1568201762321956868"/>
    <m/>
    <m/>
    <s v="1568201762321956868"/>
    <m/>
    <b v="0"/>
    <n v="0"/>
    <s v=""/>
    <b v="0"/>
    <s v="en"/>
    <m/>
    <s v=""/>
    <b v="0"/>
    <n v="16"/>
    <s v="1568199721801449473"/>
    <s v="Twitter for Android"/>
    <b v="0"/>
    <s v="1568199721801449473"/>
    <s v="Tweet"/>
    <n v="0"/>
    <n v="0"/>
    <m/>
    <m/>
    <m/>
    <m/>
    <m/>
    <m/>
    <m/>
    <m/>
    <n v="1"/>
    <s v="5"/>
    <s v="5"/>
    <n v="1"/>
    <n v="2.5641025641025643"/>
    <n v="0"/>
    <n v="0"/>
    <n v="0"/>
    <n v="0"/>
    <n v="38"/>
    <n v="97.43589743589743"/>
    <n v="39"/>
  </r>
  <r>
    <s v="sujall13"/>
    <s v="gregorgysi"/>
    <m/>
    <m/>
    <m/>
    <m/>
    <m/>
    <m/>
    <m/>
    <m/>
    <s v="No"/>
    <n v="71"/>
    <m/>
    <m/>
    <s v="Mentions"/>
    <x v="33"/>
    <s v="#StandWithRussia @GregorGysi vergessen 👇 https://t.co/blAfLqjU9o"/>
    <s v="https://twitter.com/MelnykAndrij/status/1568195866107813888"/>
    <s v="twitter.com"/>
    <s v="standwithrussia"/>
    <m/>
    <s v="https://pbs.twimg.com/profile_images/1560524767714746368/vz7Iht4b_normal.jpg"/>
    <d v="2022-09-09T11:40:56.000"/>
    <d v="2022-09-09T00:00:00.000"/>
    <s v="11:40:56"/>
    <s v="https://twitter.com/sujall13/status/1568202791771930627"/>
    <m/>
    <m/>
    <s v="1568202791771930627"/>
    <m/>
    <b v="0"/>
    <n v="0"/>
    <s v=""/>
    <b v="1"/>
    <s v="de"/>
    <m/>
    <s v="1568195866107813888"/>
    <b v="0"/>
    <n v="0"/>
    <s v=""/>
    <s v="Twitter for iPhone"/>
    <b v="0"/>
    <s v="1568202791771930627"/>
    <s v="Tweet"/>
    <n v="0"/>
    <n v="0"/>
    <m/>
    <m/>
    <m/>
    <m/>
    <m/>
    <m/>
    <m/>
    <m/>
    <n v="1"/>
    <s v="54"/>
    <s v="54"/>
    <n v="0"/>
    <n v="0"/>
    <n v="0"/>
    <n v="0"/>
    <n v="0"/>
    <n v="0"/>
    <n v="3"/>
    <n v="100"/>
    <n v="3"/>
  </r>
  <r>
    <s v="mkebatu"/>
    <s v="ethiopi00829015"/>
    <m/>
    <m/>
    <m/>
    <m/>
    <m/>
    <m/>
    <m/>
    <m/>
    <s v="No"/>
    <n v="72"/>
    <m/>
    <m/>
    <s v="Retweet"/>
    <x v="34"/>
    <s v="Vladmir Putin said that &quot;Almost all Ukrainian grain reaching European .However,the single shipment that was destined for Africa got more attention from the western media than this one.&quot;_x000a__x000a_That is how modern media colonialism portrays Africa._x000a_#NoMoreColonialism_x000a_#StandWithRussia https://t.co/eqNUoUARHV"/>
    <m/>
    <m/>
    <s v="nomorecolonialism standwithrussia"/>
    <s v="https://pbs.twimg.com/ext_tw_video_thumb/1568199549256175617/pu/img/Ysr1rE83e5hn0twR.jpg"/>
    <s v="https://pbs.twimg.com/ext_tw_video_thumb/1568199549256175617/pu/img/Ysr1rE83e5hn0twR.jpg"/>
    <d v="2022-09-09T11:54:54.000"/>
    <d v="2022-09-09T00:00:00.000"/>
    <s v="11:54:54"/>
    <s v="https://twitter.com/mkebatu/status/1568206307953352706"/>
    <m/>
    <m/>
    <s v="1568206307953352706"/>
    <m/>
    <b v="0"/>
    <n v="0"/>
    <s v=""/>
    <b v="0"/>
    <s v="en"/>
    <m/>
    <s v=""/>
    <b v="0"/>
    <n v="16"/>
    <s v="1568199721801449473"/>
    <s v="Twitter for Android"/>
    <b v="0"/>
    <s v="1568199721801449473"/>
    <s v="Tweet"/>
    <n v="0"/>
    <n v="0"/>
    <m/>
    <m/>
    <m/>
    <m/>
    <m/>
    <m/>
    <m/>
    <m/>
    <n v="1"/>
    <s v="5"/>
    <s v="5"/>
    <n v="1"/>
    <n v="2.5641025641025643"/>
    <n v="0"/>
    <n v="0"/>
    <n v="0"/>
    <n v="0"/>
    <n v="38"/>
    <n v="97.43589743589743"/>
    <n v="39"/>
  </r>
  <r>
    <s v="messaymohammed"/>
    <s v="ethiopi00829015"/>
    <m/>
    <m/>
    <m/>
    <m/>
    <m/>
    <m/>
    <m/>
    <m/>
    <s v="No"/>
    <n v="73"/>
    <m/>
    <m/>
    <s v="Retweet"/>
    <x v="35"/>
    <s v="Vladmir Putin said that &quot;Almost all Ukrainian grain reaching European .However,the single shipment that was destined for Africa got more attention from the western media than this one.&quot;_x000a__x000a_That is how modern media colonialism portrays Africa._x000a_#NoMoreColonialism_x000a_#StandWithRussia https://t.co/eqNUoUARHV"/>
    <m/>
    <m/>
    <s v="nomorecolonialism standwithrussia"/>
    <s v="https://pbs.twimg.com/ext_tw_video_thumb/1568199549256175617/pu/img/Ysr1rE83e5hn0twR.jpg"/>
    <s v="https://pbs.twimg.com/ext_tw_video_thumb/1568199549256175617/pu/img/Ysr1rE83e5hn0twR.jpg"/>
    <d v="2022-09-09T11:56:11.000"/>
    <d v="2022-09-09T00:00:00.000"/>
    <s v="11:56:11"/>
    <s v="https://twitter.com/messaymohammed/status/1568206630562537472"/>
    <m/>
    <m/>
    <s v="1568206630562537472"/>
    <m/>
    <b v="0"/>
    <n v="0"/>
    <s v=""/>
    <b v="0"/>
    <s v="en"/>
    <m/>
    <s v=""/>
    <b v="0"/>
    <n v="16"/>
    <s v="1568199721801449473"/>
    <s v="Twitter for Android"/>
    <b v="0"/>
    <s v="1568199721801449473"/>
    <s v="Tweet"/>
    <n v="0"/>
    <n v="0"/>
    <m/>
    <m/>
    <m/>
    <m/>
    <m/>
    <m/>
    <m/>
    <m/>
    <n v="1"/>
    <s v="5"/>
    <s v="5"/>
    <n v="1"/>
    <n v="2.5641025641025643"/>
    <n v="0"/>
    <n v="0"/>
    <n v="0"/>
    <n v="0"/>
    <n v="38"/>
    <n v="97.43589743589743"/>
    <n v="39"/>
  </r>
  <r>
    <s v="teferradebebe"/>
    <s v="ethiopi00829015"/>
    <m/>
    <m/>
    <m/>
    <m/>
    <m/>
    <m/>
    <m/>
    <m/>
    <s v="No"/>
    <n v="74"/>
    <m/>
    <m/>
    <s v="Retweet"/>
    <x v="36"/>
    <s v="Vladmir Putin said that &quot;Almost all Ukrainian grain reaching European .However,the single shipment that was destined for Africa got more attention from the western media than this one.&quot;_x000a__x000a_That is how modern media colonialism portrays Africa._x000a_#NoMoreColonialism_x000a_#StandWithRussia https://t.co/eqNUoUARHV"/>
    <m/>
    <m/>
    <s v="nomorecolonialism standwithrussia"/>
    <s v="https://pbs.twimg.com/ext_tw_video_thumb/1568199549256175617/pu/img/Ysr1rE83e5hn0twR.jpg"/>
    <s v="https://pbs.twimg.com/ext_tw_video_thumb/1568199549256175617/pu/img/Ysr1rE83e5hn0twR.jpg"/>
    <d v="2022-09-09T11:57:39.000"/>
    <d v="2022-09-09T00:00:00.000"/>
    <s v="11:57:39"/>
    <s v="https://twitter.com/teferradebebe/status/1568207001858998272"/>
    <m/>
    <m/>
    <s v="1568207001858998272"/>
    <m/>
    <b v="0"/>
    <n v="0"/>
    <s v=""/>
    <b v="0"/>
    <s v="en"/>
    <m/>
    <s v=""/>
    <b v="0"/>
    <n v="16"/>
    <s v="1568199721801449473"/>
    <s v="Twitter for Android"/>
    <b v="0"/>
    <s v="1568199721801449473"/>
    <s v="Tweet"/>
    <n v="0"/>
    <n v="0"/>
    <m/>
    <m/>
    <m/>
    <m/>
    <m/>
    <m/>
    <m/>
    <m/>
    <n v="1"/>
    <s v="5"/>
    <s v="5"/>
    <n v="1"/>
    <n v="2.5641025641025643"/>
    <n v="0"/>
    <n v="0"/>
    <n v="0"/>
    <n v="0"/>
    <n v="38"/>
    <n v="97.43589743589743"/>
    <n v="39"/>
  </r>
  <r>
    <s v="habibhassen7180"/>
    <s v="ethiopi00829015"/>
    <m/>
    <m/>
    <m/>
    <m/>
    <m/>
    <m/>
    <m/>
    <m/>
    <s v="No"/>
    <n v="75"/>
    <m/>
    <m/>
    <s v="Retweet"/>
    <x v="37"/>
    <s v="Vladmir Putin said that &quot;Almost all Ukrainian grain reaching European .However,the single shipment that was destined for Africa got more attention from the western media than this one.&quot;_x000a__x000a_That is how modern media colonialism portrays Africa._x000a_#NoMoreColonialism_x000a_#StandWithRussia https://t.co/eqNUoUARHV"/>
    <m/>
    <m/>
    <s v="nomorecolonialism standwithrussia"/>
    <s v="https://pbs.twimg.com/ext_tw_video_thumb/1568199549256175617/pu/img/Ysr1rE83e5hn0twR.jpg"/>
    <s v="https://pbs.twimg.com/ext_tw_video_thumb/1568199549256175617/pu/img/Ysr1rE83e5hn0twR.jpg"/>
    <d v="2022-09-09T11:58:44.000"/>
    <d v="2022-09-09T00:00:00.000"/>
    <s v="11:58:44"/>
    <s v="https://twitter.com/habibhassen7180/status/1568207273037627392"/>
    <m/>
    <m/>
    <s v="1568207273037627392"/>
    <m/>
    <b v="0"/>
    <n v="0"/>
    <s v=""/>
    <b v="0"/>
    <s v="en"/>
    <m/>
    <s v=""/>
    <b v="0"/>
    <n v="16"/>
    <s v="1568199721801449473"/>
    <s v="Twitter for Android"/>
    <b v="0"/>
    <s v="1568199721801449473"/>
    <s v="Tweet"/>
    <n v="0"/>
    <n v="0"/>
    <m/>
    <m/>
    <m/>
    <m/>
    <m/>
    <m/>
    <m/>
    <m/>
    <n v="1"/>
    <s v="5"/>
    <s v="5"/>
    <n v="1"/>
    <n v="2.5641025641025643"/>
    <n v="0"/>
    <n v="0"/>
    <n v="0"/>
    <n v="0"/>
    <n v="38"/>
    <n v="97.43589743589743"/>
    <n v="39"/>
  </r>
  <r>
    <s v="wonde2014"/>
    <s v="ethiopi00829015"/>
    <m/>
    <m/>
    <m/>
    <m/>
    <m/>
    <m/>
    <m/>
    <m/>
    <s v="No"/>
    <n v="76"/>
    <m/>
    <m/>
    <s v="Retweet"/>
    <x v="38"/>
    <s v="Vladmir Putin said that &quot;Almost all Ukrainian grain reaching European .However,the single shipment that was destined for Africa got more attention from the western media than this one.&quot;_x000a__x000a_That is how modern media colonialism portrays Africa._x000a_#NoMoreColonialism_x000a_#StandWithRussia https://t.co/eqNUoUARHV"/>
    <m/>
    <m/>
    <s v="nomorecolonialism standwithrussia"/>
    <s v="https://pbs.twimg.com/ext_tw_video_thumb/1568199549256175617/pu/img/Ysr1rE83e5hn0twR.jpg"/>
    <s v="https://pbs.twimg.com/ext_tw_video_thumb/1568199549256175617/pu/img/Ysr1rE83e5hn0twR.jpg"/>
    <d v="2022-09-09T12:02:40.000"/>
    <d v="2022-09-09T00:00:00.000"/>
    <s v="12:02:40"/>
    <s v="https://twitter.com/wonde2014/status/1568208263149240325"/>
    <m/>
    <m/>
    <s v="1568208263149240325"/>
    <m/>
    <b v="0"/>
    <n v="0"/>
    <s v=""/>
    <b v="0"/>
    <s v="en"/>
    <m/>
    <s v=""/>
    <b v="0"/>
    <n v="16"/>
    <s v="1568199721801449473"/>
    <s v="Twitter for Android"/>
    <b v="0"/>
    <s v="1568199721801449473"/>
    <s v="Tweet"/>
    <n v="0"/>
    <n v="0"/>
    <m/>
    <m/>
    <m/>
    <m/>
    <m/>
    <m/>
    <m/>
    <m/>
    <n v="1"/>
    <s v="5"/>
    <s v="5"/>
    <n v="1"/>
    <n v="2.5641025641025643"/>
    <n v="0"/>
    <n v="0"/>
    <n v="0"/>
    <n v="0"/>
    <n v="38"/>
    <n v="97.43589743589743"/>
    <n v="39"/>
  </r>
  <r>
    <s v="ghedays"/>
    <s v="ethiopi00829015"/>
    <m/>
    <m/>
    <m/>
    <m/>
    <m/>
    <m/>
    <m/>
    <m/>
    <s v="No"/>
    <n v="77"/>
    <m/>
    <m/>
    <s v="Retweet"/>
    <x v="39"/>
    <s v="Vladmir Putin said that &quot;Almost all Ukrainian grain reaching European .However,the single shipment that was destined for Africa got more attention from the western media than this one.&quot;_x000a__x000a_That is how modern media colonialism portrays Africa._x000a_#NoMoreColonialism_x000a_#StandWithRussia https://t.co/eqNUoUARHV"/>
    <m/>
    <m/>
    <s v="nomorecolonialism standwithrussia"/>
    <s v="https://pbs.twimg.com/ext_tw_video_thumb/1568199549256175617/pu/img/Ysr1rE83e5hn0twR.jpg"/>
    <s v="https://pbs.twimg.com/ext_tw_video_thumb/1568199549256175617/pu/img/Ysr1rE83e5hn0twR.jpg"/>
    <d v="2022-09-09T12:05:11.000"/>
    <d v="2022-09-09T00:00:00.000"/>
    <s v="12:05:11"/>
    <s v="https://twitter.com/ghedays/status/1568208894635266049"/>
    <m/>
    <m/>
    <s v="1568208894635266049"/>
    <m/>
    <b v="0"/>
    <n v="0"/>
    <s v=""/>
    <b v="0"/>
    <s v="en"/>
    <m/>
    <s v=""/>
    <b v="0"/>
    <n v="16"/>
    <s v="1568199721801449473"/>
    <s v="Twitter for Android"/>
    <b v="0"/>
    <s v="1568199721801449473"/>
    <s v="Tweet"/>
    <n v="0"/>
    <n v="0"/>
    <m/>
    <m/>
    <m/>
    <m/>
    <m/>
    <m/>
    <m/>
    <m/>
    <n v="1"/>
    <s v="5"/>
    <s v="5"/>
    <n v="1"/>
    <n v="2.5641025641025643"/>
    <n v="0"/>
    <n v="0"/>
    <n v="0"/>
    <n v="0"/>
    <n v="38"/>
    <n v="97.43589743589743"/>
    <n v="39"/>
  </r>
  <r>
    <s v="addiseshetu"/>
    <s v="ethiopi00829015"/>
    <m/>
    <m/>
    <m/>
    <m/>
    <m/>
    <m/>
    <m/>
    <m/>
    <s v="No"/>
    <n v="78"/>
    <m/>
    <m/>
    <s v="Retweet"/>
    <x v="40"/>
    <s v="Vladmir Putin said that &quot;Almost all Ukrainian grain reaching European .However,the single shipment that was destined for Africa got more attention from the western media than this one.&quot;_x000a__x000a_That is how modern media colonialism portrays Africa._x000a_#NoMoreColonialism_x000a_#StandWithRussia https://t.co/eqNUoUARHV"/>
    <m/>
    <m/>
    <s v="nomorecolonialism standwithrussia"/>
    <s v="https://pbs.twimg.com/ext_tw_video_thumb/1568199549256175617/pu/img/Ysr1rE83e5hn0twR.jpg"/>
    <s v="https://pbs.twimg.com/ext_tw_video_thumb/1568199549256175617/pu/img/Ysr1rE83e5hn0twR.jpg"/>
    <d v="2022-09-09T12:05:46.000"/>
    <d v="2022-09-09T00:00:00.000"/>
    <s v="12:05:46"/>
    <s v="https://twitter.com/addiseshetu/status/1568209042937417730"/>
    <m/>
    <m/>
    <s v="1568209042937417730"/>
    <m/>
    <b v="0"/>
    <n v="0"/>
    <s v=""/>
    <b v="0"/>
    <s v="en"/>
    <m/>
    <s v=""/>
    <b v="0"/>
    <n v="16"/>
    <s v="1568199721801449473"/>
    <s v="Twitter for iPhone"/>
    <b v="0"/>
    <s v="1568199721801449473"/>
    <s v="Tweet"/>
    <n v="0"/>
    <n v="0"/>
    <m/>
    <m/>
    <m/>
    <m/>
    <m/>
    <m/>
    <m/>
    <m/>
    <n v="1"/>
    <s v="5"/>
    <s v="5"/>
    <n v="1"/>
    <n v="2.5641025641025643"/>
    <n v="0"/>
    <n v="0"/>
    <n v="0"/>
    <n v="0"/>
    <n v="38"/>
    <n v="97.43589743589743"/>
    <n v="39"/>
  </r>
  <r>
    <s v="teferig58652633"/>
    <s v="ethiopi00829015"/>
    <m/>
    <m/>
    <m/>
    <m/>
    <m/>
    <m/>
    <m/>
    <m/>
    <s v="No"/>
    <n v="79"/>
    <m/>
    <m/>
    <s v="Retweet"/>
    <x v="41"/>
    <s v="Vladmir Putin said that &quot;Almost all Ukrainian grain reaching European .However,the single shipment that was destined for Africa got more attention from the western media than this one.&quot;_x000a__x000a_That is how modern media colonialism portrays Africa._x000a_#NoMoreColonialism_x000a_#StandWithRussia https://t.co/eqNUoUARHV"/>
    <m/>
    <m/>
    <s v="nomorecolonialism standwithrussia"/>
    <s v="https://pbs.twimg.com/ext_tw_video_thumb/1568199549256175617/pu/img/Ysr1rE83e5hn0twR.jpg"/>
    <s v="https://pbs.twimg.com/ext_tw_video_thumb/1568199549256175617/pu/img/Ysr1rE83e5hn0twR.jpg"/>
    <d v="2022-09-09T12:25:30.000"/>
    <d v="2022-09-09T00:00:00.000"/>
    <s v="12:25:30"/>
    <s v="https://twitter.com/teferig58652633/status/1568214009286955008"/>
    <m/>
    <m/>
    <s v="1568214009286955008"/>
    <m/>
    <b v="0"/>
    <n v="0"/>
    <s v=""/>
    <b v="0"/>
    <s v="en"/>
    <m/>
    <s v=""/>
    <b v="0"/>
    <n v="16"/>
    <s v="1568199721801449473"/>
    <s v="Twitter for Android"/>
    <b v="0"/>
    <s v="1568199721801449473"/>
    <s v="Tweet"/>
    <n v="0"/>
    <n v="0"/>
    <m/>
    <m/>
    <m/>
    <m/>
    <m/>
    <m/>
    <m/>
    <m/>
    <n v="1"/>
    <s v="5"/>
    <s v="5"/>
    <n v="1"/>
    <n v="2.5641025641025643"/>
    <n v="0"/>
    <n v="0"/>
    <n v="0"/>
    <n v="0"/>
    <n v="38"/>
    <n v="97.43589743589743"/>
    <n v="39"/>
  </r>
  <r>
    <s v="alemayehuc"/>
    <s v="ethiopi00829015"/>
    <m/>
    <m/>
    <m/>
    <m/>
    <m/>
    <m/>
    <m/>
    <m/>
    <s v="No"/>
    <n v="80"/>
    <m/>
    <m/>
    <s v="Retweet"/>
    <x v="42"/>
    <s v="Vladmir Putin said that &quot;Almost all Ukrainian grain reaching European .However,the single shipment that was destined for Africa got more attention from the western media than this one.&quot;_x000a__x000a_That is how modern media colonialism portrays Africa._x000a_#NoMoreColonialism_x000a_#StandWithRussia https://t.co/eqNUoUARHV"/>
    <m/>
    <m/>
    <s v="nomorecolonialism standwithrussia"/>
    <s v="https://pbs.twimg.com/ext_tw_video_thumb/1568199549256175617/pu/img/Ysr1rE83e5hn0twR.jpg"/>
    <s v="https://pbs.twimg.com/ext_tw_video_thumb/1568199549256175617/pu/img/Ysr1rE83e5hn0twR.jpg"/>
    <d v="2022-09-09T12:31:55.000"/>
    <d v="2022-09-09T00:00:00.000"/>
    <s v="12:31:55"/>
    <s v="https://twitter.com/alemayehuc/status/1568215625314566145"/>
    <m/>
    <m/>
    <s v="1568215625314566145"/>
    <m/>
    <b v="0"/>
    <n v="0"/>
    <s v=""/>
    <b v="0"/>
    <s v="en"/>
    <m/>
    <s v=""/>
    <b v="0"/>
    <n v="16"/>
    <s v="1568199721801449473"/>
    <s v="Twitter for Android"/>
    <b v="0"/>
    <s v="1568199721801449473"/>
    <s v="Tweet"/>
    <n v="0"/>
    <n v="0"/>
    <m/>
    <m/>
    <m/>
    <m/>
    <m/>
    <m/>
    <m/>
    <m/>
    <n v="1"/>
    <s v="5"/>
    <s v="5"/>
    <n v="1"/>
    <n v="2.5641025641025643"/>
    <n v="0"/>
    <n v="0"/>
    <n v="0"/>
    <n v="0"/>
    <n v="38"/>
    <n v="97.43589743589743"/>
    <n v="39"/>
  </r>
  <r>
    <s v="adiss07705421"/>
    <s v="ethiopi00829015"/>
    <m/>
    <m/>
    <m/>
    <m/>
    <m/>
    <m/>
    <m/>
    <m/>
    <s v="No"/>
    <n v="81"/>
    <m/>
    <m/>
    <s v="Retweet"/>
    <x v="43"/>
    <s v="Vladmir Putin said that &quot;Almost all Ukrainian grain reaching European .However,the single shipment that was destined for Africa got more attention from the western media than this one.&quot;_x000a__x000a_That is how modern media colonialism portrays Africa._x000a_#NoMoreColonialism_x000a_#StandWithRussia https://t.co/eqNUoUARHV"/>
    <m/>
    <m/>
    <s v="nomorecolonialism standwithrussia"/>
    <s v="https://pbs.twimg.com/ext_tw_video_thumb/1568199549256175617/pu/img/Ysr1rE83e5hn0twR.jpg"/>
    <s v="https://pbs.twimg.com/ext_tw_video_thumb/1568199549256175617/pu/img/Ysr1rE83e5hn0twR.jpg"/>
    <d v="2022-09-09T14:48:40.000"/>
    <d v="2022-09-09T00:00:00.000"/>
    <s v="14:48:40"/>
    <s v="https://twitter.com/adiss07705421/status/1568250039683743744"/>
    <m/>
    <m/>
    <s v="1568250039683743744"/>
    <m/>
    <b v="0"/>
    <n v="0"/>
    <s v=""/>
    <b v="0"/>
    <s v="en"/>
    <m/>
    <s v=""/>
    <b v="0"/>
    <n v="16"/>
    <s v="1568199721801449473"/>
    <s v="Twitter for Android"/>
    <b v="0"/>
    <s v="1568199721801449473"/>
    <s v="Tweet"/>
    <n v="0"/>
    <n v="0"/>
    <m/>
    <m/>
    <m/>
    <m/>
    <m/>
    <m/>
    <m/>
    <m/>
    <n v="1"/>
    <s v="5"/>
    <s v="5"/>
    <n v="1"/>
    <n v="2.5641025641025643"/>
    <n v="0"/>
    <n v="0"/>
    <n v="0"/>
    <n v="0"/>
    <n v="38"/>
    <n v="97.43589743589743"/>
    <n v="39"/>
  </r>
  <r>
    <s v="berhanumekonne6"/>
    <s v="ethiopi00829015"/>
    <m/>
    <m/>
    <m/>
    <m/>
    <m/>
    <m/>
    <m/>
    <m/>
    <s v="No"/>
    <n v="82"/>
    <m/>
    <m/>
    <s v="Retweet"/>
    <x v="44"/>
    <s v="Vladmir Putin said that &quot;Almost all Ukrainian grain reaching European .However,the single shipment that was destined for Africa got more attention from the western media than this one.&quot;_x000a__x000a_That is how modern media colonialism portrays Africa._x000a_#NoMoreColonialism_x000a_#StandWithRussia https://t.co/eqNUoUARHV"/>
    <m/>
    <m/>
    <s v="nomorecolonialism standwithrussia"/>
    <s v="https://pbs.twimg.com/ext_tw_video_thumb/1568199549256175617/pu/img/Ysr1rE83e5hn0twR.jpg"/>
    <s v="https://pbs.twimg.com/ext_tw_video_thumb/1568199549256175617/pu/img/Ysr1rE83e5hn0twR.jpg"/>
    <d v="2022-09-09T15:28:31.000"/>
    <d v="2022-09-09T00:00:00.000"/>
    <s v="15:28:31"/>
    <s v="https://twitter.com/berhanumekonne6/status/1568260066838708225"/>
    <m/>
    <m/>
    <s v="1568260066838708225"/>
    <m/>
    <b v="0"/>
    <n v="0"/>
    <s v=""/>
    <b v="0"/>
    <s v="en"/>
    <m/>
    <s v=""/>
    <b v="0"/>
    <n v="16"/>
    <s v="1568199721801449473"/>
    <s v="Twitter for iPhone"/>
    <b v="0"/>
    <s v="1568199721801449473"/>
    <s v="Tweet"/>
    <n v="0"/>
    <n v="0"/>
    <m/>
    <m/>
    <m/>
    <m/>
    <m/>
    <m/>
    <m/>
    <m/>
    <n v="1"/>
    <s v="5"/>
    <s v="5"/>
    <n v="1"/>
    <n v="2.5641025641025643"/>
    <n v="0"/>
    <n v="0"/>
    <n v="0"/>
    <n v="0"/>
    <n v="38"/>
    <n v="97.43589743589743"/>
    <n v="39"/>
  </r>
  <r>
    <s v="yidalem"/>
    <s v="ethiopi00829015"/>
    <m/>
    <m/>
    <m/>
    <m/>
    <m/>
    <m/>
    <m/>
    <m/>
    <s v="No"/>
    <n v="83"/>
    <m/>
    <m/>
    <s v="Retweet"/>
    <x v="45"/>
    <s v="Vladmir Putin said that &quot;Almost all Ukrainian grain reaching European .However,the single shipment that was destined for Africa got more attention from the western media than this one.&quot;_x000a__x000a_That is how modern media colonialism portrays Africa._x000a_#NoMoreColonialism_x000a_#StandWithRussia https://t.co/eqNUoUARHV"/>
    <m/>
    <m/>
    <s v="nomorecolonialism standwithrussia"/>
    <s v="https://pbs.twimg.com/ext_tw_video_thumb/1568199549256175617/pu/img/Ysr1rE83e5hn0twR.jpg"/>
    <s v="https://pbs.twimg.com/ext_tw_video_thumb/1568199549256175617/pu/img/Ysr1rE83e5hn0twR.jpg"/>
    <d v="2022-09-09T16:04:31.000"/>
    <d v="2022-09-09T00:00:00.000"/>
    <s v="16:04:31"/>
    <s v="https://twitter.com/yidalem/status/1568269125960757248"/>
    <m/>
    <m/>
    <s v="1568269125960757248"/>
    <m/>
    <b v="0"/>
    <n v="0"/>
    <s v=""/>
    <b v="0"/>
    <s v="en"/>
    <m/>
    <s v=""/>
    <b v="0"/>
    <n v="16"/>
    <s v="1568199721801449473"/>
    <s v="Twitter Web App"/>
    <b v="0"/>
    <s v="1568199721801449473"/>
    <s v="Tweet"/>
    <n v="0"/>
    <n v="0"/>
    <m/>
    <m/>
    <m/>
    <m/>
    <m/>
    <m/>
    <m/>
    <m/>
    <n v="1"/>
    <s v="5"/>
    <s v="5"/>
    <n v="1"/>
    <n v="2.5641025641025643"/>
    <n v="0"/>
    <n v="0"/>
    <n v="0"/>
    <n v="0"/>
    <n v="38"/>
    <n v="97.43589743589743"/>
    <n v="39"/>
  </r>
  <r>
    <s v="bitcoin_raf"/>
    <s v="bitcoin_raf"/>
    <m/>
    <m/>
    <m/>
    <m/>
    <m/>
    <m/>
    <m/>
    <m/>
    <s v="No"/>
    <n v="84"/>
    <m/>
    <m/>
    <s v="Tweet"/>
    <x v="46"/>
    <s v="#standwithrussia and #blacklenin_x000a__x000a_#communism #slavacocaine #Hunterbidenlaptop #WEF fuck #elensky good luck killing #nazis 🫡 https://t.co/yKP9jEld94"/>
    <s v="https://twitter.com/mdfzeh/status/1568260918512951296"/>
    <s v="twitter.com"/>
    <s v="standwithrussia blacklenin communism slavacocaine hunterbidenlaptop wef elensky nazis"/>
    <m/>
    <s v="https://pbs.twimg.com/profile_images/1388597517416271875/mlaJIl-4_normal.jpg"/>
    <d v="2022-09-09T16:34:38.000"/>
    <d v="2022-09-09T00:00:00.000"/>
    <s v="16:34:38"/>
    <s v="https://twitter.com/bitcoin_raf/status/1568276704250187776"/>
    <m/>
    <m/>
    <s v="1568276704250187776"/>
    <m/>
    <b v="0"/>
    <n v="1"/>
    <s v=""/>
    <b v="1"/>
    <s v="en"/>
    <m/>
    <s v="1568260918512951296"/>
    <b v="0"/>
    <n v="0"/>
    <s v=""/>
    <s v="Twitter for Android"/>
    <b v="0"/>
    <s v="1568276704250187776"/>
    <s v="Tweet"/>
    <n v="0"/>
    <n v="0"/>
    <m/>
    <m/>
    <m/>
    <m/>
    <m/>
    <m/>
    <m/>
    <m/>
    <n v="1"/>
    <s v="2"/>
    <s v="2"/>
    <n v="2"/>
    <n v="15.384615384615385"/>
    <n v="2"/>
    <n v="15.384615384615385"/>
    <n v="0"/>
    <n v="0"/>
    <n v="9"/>
    <n v="69.23076923076923"/>
    <n v="13"/>
  </r>
  <r>
    <s v="riocard911"/>
    <s v="jamesfoley57"/>
    <m/>
    <m/>
    <m/>
    <m/>
    <m/>
    <m/>
    <m/>
    <m/>
    <s v="No"/>
    <n v="85"/>
    <m/>
    <m/>
    <s v="Retweet"/>
    <x v="47"/>
    <s v="#StandWithUkraine #StandWithRussia_x000a_Australian university study on Twitter war coverage, examining 5m+ posts — the conclusion is 60 to 80% of accounts posting on Russia-Ukraine war are bots, while 90% are unapologetically ‘pro Ukraine’ _x000a__x000a_The full study: https://t.co/Mbq6mVOCWU"/>
    <s v="https://arxiv.org/pdf/2208.07038.pdf"/>
    <s v="arxiv.org"/>
    <s v="standwithukraine standwithrussia"/>
    <m/>
    <s v="https://pbs.twimg.com/profile_images/3370185008/37b1880bbcb0c61d273b16f8090a39ec_normal.jpeg"/>
    <d v="2022-09-09T19:41:42.000"/>
    <d v="2022-09-09T00:00:00.000"/>
    <s v="19:41:42"/>
    <s v="https://twitter.com/riocard911/status/1568323781869072384"/>
    <m/>
    <m/>
    <s v="1568323781869072384"/>
    <m/>
    <b v="0"/>
    <n v="0"/>
    <s v=""/>
    <b v="0"/>
    <s v="en"/>
    <m/>
    <s v=""/>
    <b v="0"/>
    <n v="3"/>
    <s v="1566856608331833351"/>
    <s v="Twitter for Android"/>
    <b v="0"/>
    <s v="1566856608331833351"/>
    <s v="Tweet"/>
    <n v="0"/>
    <n v="0"/>
    <m/>
    <m/>
    <m/>
    <m/>
    <m/>
    <m/>
    <m/>
    <m/>
    <n v="1"/>
    <s v="11"/>
    <s v="11"/>
    <n v="0"/>
    <n v="0"/>
    <n v="0"/>
    <n v="0"/>
    <n v="0"/>
    <n v="0"/>
    <n v="36"/>
    <n v="100"/>
    <n v="36"/>
  </r>
  <r>
    <s v="jamesfoley57"/>
    <s v="jamesfoley57"/>
    <m/>
    <m/>
    <m/>
    <m/>
    <m/>
    <m/>
    <m/>
    <m/>
    <s v="No"/>
    <n v="86"/>
    <m/>
    <m/>
    <s v="Tweet"/>
    <x v="48"/>
    <s v="#StandWithUkraine #StandWithRussia_x000a_Australian university study on Twitter war coverage, examining 5m+ posts — the conclusion is 60 to 80% of accounts posting on Russia-Ukraine war are bots, while 90% are unapologetically ‘pro Ukraine’ _x000a__x000a_The full study: https://t.co/Mbq6mVOCWU"/>
    <s v="https://arxiv.org/pdf/2208.07038.pdf"/>
    <s v="arxiv.org"/>
    <s v="standwithukraine standwithrussia"/>
    <m/>
    <s v="https://pbs.twimg.com/profile_images/971840564365807616/Y9P5VYMh_normal.jpg"/>
    <d v="2022-09-05T18:31:40.000"/>
    <d v="2022-09-05T00:00:00.000"/>
    <s v="18:31:40"/>
    <s v="https://twitter.com/jamesfoley57/status/1566856608331833351"/>
    <m/>
    <m/>
    <s v="1566856608331833351"/>
    <m/>
    <b v="0"/>
    <n v="9"/>
    <s v=""/>
    <b v="0"/>
    <s v="en"/>
    <m/>
    <s v=""/>
    <b v="0"/>
    <n v="3"/>
    <s v=""/>
    <s v="Twitter Web App"/>
    <b v="0"/>
    <s v="1566856608331833351"/>
    <s v="Retweet"/>
    <n v="0"/>
    <n v="0"/>
    <m/>
    <m/>
    <m/>
    <m/>
    <m/>
    <m/>
    <m/>
    <m/>
    <n v="1"/>
    <s v="11"/>
    <s v="11"/>
    <n v="0"/>
    <n v="0"/>
    <n v="0"/>
    <n v="0"/>
    <n v="0"/>
    <n v="0"/>
    <n v="36"/>
    <n v="100"/>
    <n v="36"/>
  </r>
  <r>
    <s v="lucygatsby"/>
    <s v="jamesfoley57"/>
    <m/>
    <m/>
    <m/>
    <m/>
    <m/>
    <m/>
    <m/>
    <m/>
    <s v="No"/>
    <n v="87"/>
    <m/>
    <m/>
    <s v="Retweet"/>
    <x v="49"/>
    <s v="#StandWithUkraine #StandWithRussia_x000a_Australian university study on Twitter war coverage, examining 5m+ posts — the conclusion is 60 to 80% of accounts posting on Russia-Ukraine war are bots, while 90% are unapologetically ‘pro Ukraine’ _x000a__x000a_The full study: https://t.co/Mbq6mVOCWU"/>
    <s v="https://arxiv.org/pdf/2208.07038.pdf"/>
    <s v="arxiv.org"/>
    <s v="standwithukraine standwithrussia"/>
    <m/>
    <s v="https://pbs.twimg.com/profile_images/1509557834366787590/gNDMKO3O_normal.jpg"/>
    <d v="2022-09-09T18:34:24.000"/>
    <d v="2022-09-09T00:00:00.000"/>
    <s v="18:34:24"/>
    <s v="https://twitter.com/lucygatsby/status/1568306845684572160"/>
    <m/>
    <m/>
    <s v="1568306845684572160"/>
    <m/>
    <b v="0"/>
    <n v="0"/>
    <s v=""/>
    <b v="0"/>
    <s v="en"/>
    <m/>
    <s v=""/>
    <b v="0"/>
    <n v="3"/>
    <s v="1566856608331833351"/>
    <s v="Twitter for Android"/>
    <b v="0"/>
    <s v="1566856608331833351"/>
    <s v="Tweet"/>
    <n v="0"/>
    <n v="0"/>
    <m/>
    <m/>
    <m/>
    <m/>
    <m/>
    <m/>
    <m/>
    <m/>
    <n v="1"/>
    <s v="11"/>
    <s v="11"/>
    <n v="0"/>
    <n v="0"/>
    <n v="0"/>
    <n v="0"/>
    <n v="0"/>
    <n v="0"/>
    <n v="36"/>
    <n v="100"/>
    <n v="36"/>
  </r>
  <r>
    <s v="100anb"/>
    <s v="jamesfoley57"/>
    <m/>
    <m/>
    <m/>
    <m/>
    <m/>
    <m/>
    <m/>
    <m/>
    <s v="No"/>
    <n v="88"/>
    <m/>
    <m/>
    <s v="Retweet"/>
    <x v="50"/>
    <s v="#StandWithUkraine #StandWithRussia_x000a_Australian university study on Twitter war coverage, examining 5m+ posts — the conclusion is 60 to 80% of accounts posting on Russia-Ukraine war are bots, while 90% are unapologetically ‘pro Ukraine’ _x000a__x000a_The full study: https://t.co/Mbq6mVOCWU"/>
    <s v="https://arxiv.org/pdf/2208.07038.pdf"/>
    <s v="arxiv.org"/>
    <s v="standwithukraine standwithrussia"/>
    <m/>
    <s v="https://pbs.twimg.com/profile_images/1520130069146050560/-sIvMe0C_normal.jpg"/>
    <d v="2022-09-09T20:01:15.000"/>
    <d v="2022-09-09T00:00:00.000"/>
    <s v="20:01:15"/>
    <s v="https://twitter.com/100anb/status/1568328702869606403"/>
    <m/>
    <m/>
    <s v="1568328702869606403"/>
    <m/>
    <b v="0"/>
    <n v="0"/>
    <s v=""/>
    <b v="0"/>
    <s v="en"/>
    <m/>
    <s v=""/>
    <b v="0"/>
    <n v="3"/>
    <s v="1566856608331833351"/>
    <s v="Twitter for Android"/>
    <b v="0"/>
    <s v="1566856608331833351"/>
    <s v="Tweet"/>
    <n v="0"/>
    <n v="0"/>
    <m/>
    <m/>
    <m/>
    <m/>
    <m/>
    <m/>
    <m/>
    <m/>
    <n v="1"/>
    <s v="11"/>
    <s v="11"/>
    <n v="0"/>
    <n v="0"/>
    <n v="0"/>
    <n v="0"/>
    <n v="0"/>
    <n v="0"/>
    <n v="36"/>
    <n v="100"/>
    <n v="36"/>
  </r>
  <r>
    <s v="uutis_huone"/>
    <s v="uutis_huone"/>
    <m/>
    <m/>
    <m/>
    <m/>
    <m/>
    <m/>
    <m/>
    <m/>
    <s v="No"/>
    <n v="89"/>
    <m/>
    <m/>
    <s v="Tweet"/>
    <x v="51"/>
    <s v="Venäjän ja Ukrainan konfliktin ympärillä käytäviin verkkokeskusteluihin ja miten botit voivat vaikuttaa ihmisten tunteisiin._x000a__x000a_Tutkimusviestit sisälsivät hashtageja kuten &quot;StandWithPutin&quot;, &quot;(I)StandWithRussia&quot;, &quot;(I)SupportRussia&quot;, &quot;(I)StandWithUkraine&quot;, &quot;(I)StandWithZelensky&quot; ja"/>
    <m/>
    <m/>
    <m/>
    <m/>
    <s v="https://pbs.twimg.com/profile_images/1567776969344913408/0nD1ET8I_normal.jpg"/>
    <d v="2022-09-09T20:02:56.000"/>
    <d v="2022-09-09T00:00:00.000"/>
    <s v="20:02:56"/>
    <s v="https://twitter.com/uutis_huone/status/1568329125357850625"/>
    <m/>
    <m/>
    <s v="1568329125357850625"/>
    <s v="1568329123466182658"/>
    <b v="0"/>
    <n v="1"/>
    <s v="1567776689333100550"/>
    <b v="0"/>
    <s v="fi"/>
    <m/>
    <s v=""/>
    <b v="0"/>
    <n v="0"/>
    <s v=""/>
    <s v="Twitter for Android"/>
    <b v="0"/>
    <s v="1568329123466182658"/>
    <s v="Tweet"/>
    <n v="0"/>
    <n v="0"/>
    <m/>
    <m/>
    <m/>
    <m/>
    <m/>
    <m/>
    <m/>
    <m/>
    <n v="1"/>
    <s v="2"/>
    <s v="2"/>
    <n v="0"/>
    <n v="0"/>
    <n v="0"/>
    <n v="0"/>
    <n v="0"/>
    <n v="0"/>
    <n v="28"/>
    <n v="100"/>
    <n v="28"/>
  </r>
  <r>
    <s v="ipurdley"/>
    <s v="ipurdley"/>
    <m/>
    <m/>
    <m/>
    <m/>
    <m/>
    <m/>
    <m/>
    <m/>
    <s v="No"/>
    <n v="90"/>
    <m/>
    <m/>
    <s v="Tweet"/>
    <x v="52"/>
    <s v="impossible to know what is going on, #wagners are not allowed to talk, and most pro #russia channels have turned to be as unreliable as pro defunct #ukraine #nato #cia channels have always been_x000a_#StandWithRussia"/>
    <m/>
    <m/>
    <s v="wagners russia ukraine nato cia standwithrussia"/>
    <m/>
    <s v="https://pbs.twimg.com/profile_images/1503799462816362496/bFBp6Bca_normal.jpg"/>
    <d v="2022-09-07T13:07:04.000"/>
    <d v="2022-09-07T00:00:00.000"/>
    <s v="13:07:04"/>
    <s v="https://twitter.com/ipurdley/status/1567499696213561344"/>
    <m/>
    <m/>
    <s v="1567499696213561344"/>
    <m/>
    <b v="0"/>
    <n v="2"/>
    <s v=""/>
    <b v="0"/>
    <s v="en"/>
    <m/>
    <s v=""/>
    <b v="0"/>
    <n v="0"/>
    <s v=""/>
    <s v="Twitter Web App"/>
    <b v="0"/>
    <s v="1567499696213561344"/>
    <s v="Tweet"/>
    <n v="0"/>
    <n v="0"/>
    <m/>
    <m/>
    <m/>
    <m/>
    <m/>
    <m/>
    <m/>
    <m/>
    <n v="8"/>
    <s v="59"/>
    <s v="59"/>
    <n v="0"/>
    <n v="0"/>
    <n v="3"/>
    <n v="8.571428571428571"/>
    <n v="0"/>
    <n v="0"/>
    <n v="32"/>
    <n v="91.42857142857143"/>
    <n v="35"/>
  </r>
  <r>
    <s v="ipurdley"/>
    <s v="ipurdley"/>
    <m/>
    <m/>
    <m/>
    <m/>
    <m/>
    <m/>
    <m/>
    <m/>
    <s v="No"/>
    <n v="91"/>
    <m/>
    <m/>
    <s v="Tweet"/>
    <x v="53"/>
    <s v="like all of my haters,,, an idiot_x000a_look idiot by the same token #russia owns now the world record 149.000+ km2 in less than a week_x000a_and to be exact in german casualties 50k death + 20 k MIA (=death) + 110000 wounded_x000a_#standwithrussia_x000a_#kherson countershit https://t.co/IiQD9Cb5fx"/>
    <s v="https://twitter.com/Sloe_Rida/status/1566178662969638912"/>
    <s v="twitter.com"/>
    <s v="russia standwithrussia kherson"/>
    <m/>
    <s v="https://pbs.twimg.com/profile_images/1503799462816362496/bFBp6Bca_normal.jpg"/>
    <d v="2022-09-07T17:49:14.000"/>
    <d v="2022-09-07T00:00:00.000"/>
    <s v="17:49:14"/>
    <s v="https://twitter.com/ipurdley/status/1567570701804048390"/>
    <m/>
    <m/>
    <s v="1567570701804048390"/>
    <m/>
    <b v="0"/>
    <n v="2"/>
    <s v=""/>
    <b v="1"/>
    <s v="en"/>
    <m/>
    <s v="1566178662969638912"/>
    <b v="0"/>
    <n v="1"/>
    <s v=""/>
    <s v="Twitter Web App"/>
    <b v="0"/>
    <s v="1567570701804048390"/>
    <s v="Tweet"/>
    <n v="0"/>
    <n v="0"/>
    <m/>
    <m/>
    <m/>
    <m/>
    <m/>
    <m/>
    <m/>
    <m/>
    <n v="8"/>
    <s v="59"/>
    <s v="59"/>
    <n v="1"/>
    <n v="2.2222222222222223"/>
    <n v="5"/>
    <n v="11.11111111111111"/>
    <n v="0"/>
    <n v="0"/>
    <n v="39"/>
    <n v="86.66666666666667"/>
    <n v="45"/>
  </r>
  <r>
    <s v="ipurdley"/>
    <s v="ipurdley"/>
    <m/>
    <m/>
    <m/>
    <m/>
    <m/>
    <m/>
    <m/>
    <m/>
    <s v="No"/>
    <n v="92"/>
    <m/>
    <m/>
    <s v="Tweet"/>
    <x v="54"/>
    <s v="Mr. Pinocchio_x000a_I understand you have to lie, war is the art of deception but please don't lie us that way, better keep silence_x000a_#standwithRussia https://t.co/vAKSd3mBfO"/>
    <m/>
    <m/>
    <s v="standwithrussia"/>
    <s v="https://pbs.twimg.com/media/FcEiRakX0AEnveA.png"/>
    <s v="https://pbs.twimg.com/media/FcEiRakX0AEnveA.png"/>
    <d v="2022-09-07T17:54:14.000"/>
    <d v="2022-09-07T00:00:00.000"/>
    <s v="17:54:14"/>
    <s v="https://twitter.com/ipurdley/status/1567571962943111169"/>
    <m/>
    <m/>
    <s v="1567571962943111169"/>
    <m/>
    <b v="0"/>
    <n v="0"/>
    <s v=""/>
    <b v="0"/>
    <s v="en"/>
    <m/>
    <s v=""/>
    <b v="0"/>
    <n v="0"/>
    <s v=""/>
    <s v="Twitter Web App"/>
    <b v="0"/>
    <s v="1567571962943111169"/>
    <s v="Tweet"/>
    <n v="0"/>
    <n v="0"/>
    <m/>
    <m/>
    <m/>
    <m/>
    <m/>
    <m/>
    <m/>
    <m/>
    <n v="8"/>
    <s v="59"/>
    <s v="59"/>
    <n v="1"/>
    <n v="4"/>
    <n v="3"/>
    <n v="12"/>
    <n v="0"/>
    <n v="0"/>
    <n v="21"/>
    <n v="84"/>
    <n v="25"/>
  </r>
  <r>
    <s v="ipurdley"/>
    <s v="ipurdley"/>
    <m/>
    <m/>
    <m/>
    <m/>
    <m/>
    <m/>
    <m/>
    <m/>
    <s v="No"/>
    <n v="93"/>
    <m/>
    <m/>
    <s v="Tweet"/>
    <x v="55"/>
    <s v="On this hard day, and like on any other day_x000a_#standwithrussia_x000a_Pray for our brothers spilling their blood on the sand defending matri rossiya https://t.co/nJe4dhbPDe"/>
    <m/>
    <m/>
    <s v="standwithrussia"/>
    <s v="https://pbs.twimg.com/media/FcEjTd0WYAEgVCM.jpg"/>
    <s v="https://pbs.twimg.com/media/FcEjTd0WYAEgVCM.jpg"/>
    <d v="2022-09-07T17:58:17.000"/>
    <d v="2022-09-07T00:00:00.000"/>
    <s v="17:58:17"/>
    <s v="https://twitter.com/ipurdley/status/1567572979466256388"/>
    <m/>
    <m/>
    <s v="1567572979466256388"/>
    <m/>
    <b v="0"/>
    <n v="1"/>
    <s v=""/>
    <b v="0"/>
    <s v="en"/>
    <m/>
    <s v=""/>
    <b v="0"/>
    <n v="0"/>
    <s v=""/>
    <s v="Twitter Web App"/>
    <b v="0"/>
    <s v="1567572979466256388"/>
    <s v="Tweet"/>
    <n v="0"/>
    <n v="0"/>
    <m/>
    <m/>
    <m/>
    <m/>
    <m/>
    <m/>
    <m/>
    <m/>
    <n v="8"/>
    <s v="59"/>
    <s v="59"/>
    <n v="1"/>
    <n v="4.166666666666667"/>
    <n v="2"/>
    <n v="8.333333333333334"/>
    <n v="0"/>
    <n v="0"/>
    <n v="21"/>
    <n v="87.5"/>
    <n v="24"/>
  </r>
  <r>
    <s v="ipurdley"/>
    <s v="ipurdley"/>
    <m/>
    <m/>
    <m/>
    <m/>
    <m/>
    <m/>
    <m/>
    <m/>
    <s v="No"/>
    <n v="94"/>
    <m/>
    <m/>
    <s v="Tweet"/>
    <x v="56"/>
    <s v="Lmao_x000a_let me remember basics to all of you pro #nato #cia  defunct #ukraine armchair strategists and keyboard warriors _x000a_Very different things are to attack and to defend._x000a_not even with all the given help ukri army can attack, stop living in a paralel universe and #standwithrussia"/>
    <m/>
    <m/>
    <s v="nato cia ukraine standwithrussia"/>
    <m/>
    <s v="https://pbs.twimg.com/profile_images/1503799462816362496/bFBp6Bca_normal.jpg"/>
    <d v="2022-09-07T18:24:58.000"/>
    <d v="2022-09-07T00:00:00.000"/>
    <s v="18:24:58"/>
    <s v="https://twitter.com/ipurdley/status/1567579696090562560"/>
    <m/>
    <m/>
    <s v="1567579696090562560"/>
    <m/>
    <b v="0"/>
    <n v="2"/>
    <s v=""/>
    <b v="0"/>
    <s v="en"/>
    <m/>
    <s v=""/>
    <b v="0"/>
    <n v="1"/>
    <s v=""/>
    <s v="Twitter Web App"/>
    <b v="0"/>
    <s v="1567579696090562560"/>
    <s v="Tweet"/>
    <n v="0"/>
    <n v="0"/>
    <m/>
    <m/>
    <m/>
    <m/>
    <m/>
    <m/>
    <m/>
    <m/>
    <n v="8"/>
    <s v="59"/>
    <s v="59"/>
    <n v="0"/>
    <n v="0"/>
    <n v="3"/>
    <n v="6.382978723404255"/>
    <n v="0"/>
    <n v="0"/>
    <n v="44"/>
    <n v="93.61702127659575"/>
    <n v="47"/>
  </r>
  <r>
    <s v="ipurdley"/>
    <s v="ipurdley"/>
    <m/>
    <m/>
    <m/>
    <m/>
    <m/>
    <m/>
    <m/>
    <m/>
    <s v="No"/>
    <n v="95"/>
    <m/>
    <m/>
    <s v="Tweet"/>
    <x v="57"/>
    <s v="as a kadirov boy said, show no mercy, always carry a grenade with you, sell your life dear_x000a_#StandWithRussia https://t.co/EWeXbdHUul"/>
    <s v="https://twitter.com/AniaKoniec/status/1567616706171764737"/>
    <s v="twitter.com"/>
    <s v="standwithrussia"/>
    <m/>
    <s v="https://pbs.twimg.com/profile_images/1503799462816362496/bFBp6Bca_normal.jpg"/>
    <d v="2022-09-07T21:18:58.000"/>
    <d v="2022-09-07T00:00:00.000"/>
    <s v="21:18:58"/>
    <s v="https://twitter.com/ipurdley/status/1567623485891002368"/>
    <m/>
    <m/>
    <s v="1567623485891002368"/>
    <m/>
    <b v="0"/>
    <n v="1"/>
    <s v=""/>
    <b v="1"/>
    <s v="en"/>
    <m/>
    <s v="1567616706171764737"/>
    <b v="0"/>
    <n v="0"/>
    <s v=""/>
    <s v="Twitter Web App"/>
    <b v="0"/>
    <s v="1567623485891002368"/>
    <s v="Tweet"/>
    <n v="0"/>
    <n v="0"/>
    <m/>
    <m/>
    <m/>
    <m/>
    <m/>
    <m/>
    <m/>
    <m/>
    <n v="8"/>
    <s v="59"/>
    <s v="59"/>
    <n v="1"/>
    <n v="5.2631578947368425"/>
    <n v="0"/>
    <n v="0"/>
    <n v="0"/>
    <n v="0"/>
    <n v="18"/>
    <n v="94.73684210526316"/>
    <n v="19"/>
  </r>
  <r>
    <s v="ipurdley"/>
    <s v="ipurdley"/>
    <m/>
    <m/>
    <m/>
    <m/>
    <m/>
    <m/>
    <m/>
    <m/>
    <s v="No"/>
    <n v="96"/>
    <m/>
    <m/>
    <s v="Tweet"/>
    <x v="58"/>
    <s v="#dombass they are not incendiary, they are lights to reveal enemy's positions. Or maybe just fireworks, maybe the mayor's lover birthday, who knows_x000a_#standwithrussia https://t.co/e60FO1m3IR"/>
    <s v="https://twitter.com/LanguageIearner/status/1568012944285507584"/>
    <s v="twitter.com"/>
    <s v="dombass standwithrussia"/>
    <m/>
    <s v="https://pbs.twimg.com/profile_images/1503799462816362496/bFBp6Bca_normal.jpg"/>
    <d v="2022-09-09T20:40:37.000"/>
    <d v="2022-09-09T00:00:00.000"/>
    <s v="20:40:37"/>
    <s v="https://twitter.com/ipurdley/status/1568338608444112902"/>
    <m/>
    <m/>
    <s v="1568338608444112902"/>
    <m/>
    <b v="0"/>
    <n v="0"/>
    <s v=""/>
    <b v="1"/>
    <s v="en"/>
    <m/>
    <s v="1568012944285507584"/>
    <b v="0"/>
    <n v="0"/>
    <s v=""/>
    <s v="Twitter Web App"/>
    <b v="0"/>
    <s v="1568338608444112902"/>
    <s v="Tweet"/>
    <n v="0"/>
    <n v="0"/>
    <m/>
    <m/>
    <m/>
    <m/>
    <m/>
    <m/>
    <m/>
    <m/>
    <n v="8"/>
    <s v="59"/>
    <s v="59"/>
    <n v="1"/>
    <n v="4.166666666666667"/>
    <n v="1"/>
    <n v="4.166666666666667"/>
    <n v="0"/>
    <n v="0"/>
    <n v="22"/>
    <n v="91.66666666666667"/>
    <n v="24"/>
  </r>
  <r>
    <s v="ipurdley"/>
    <s v="ipurdley"/>
    <m/>
    <m/>
    <m/>
    <m/>
    <m/>
    <m/>
    <m/>
    <m/>
    <s v="No"/>
    <n v="97"/>
    <m/>
    <m/>
    <s v="Tweet"/>
    <x v="59"/>
    <s v="i am not happy about this, but all of these countries are but protracting a special operation, thus spilling more blood._x000a_no gas no #uranium, no nothing. _x000a_#UE #standwithrussia #nato https://t.co/V9Aa0BTUvj"/>
    <m/>
    <m/>
    <s v="uranium ue standwithrussia nato"/>
    <s v="https://pbs.twimg.com/media/FcPddHvWAAIAEel.jpg"/>
    <s v="https://pbs.twimg.com/media/FcPddHvWAAIAEel.jpg"/>
    <d v="2022-09-09T20:50:27.000"/>
    <d v="2022-09-09T00:00:00.000"/>
    <s v="20:50:27"/>
    <s v="https://twitter.com/ipurdley/status/1568341083272216576"/>
    <m/>
    <m/>
    <s v="1568341083272216576"/>
    <m/>
    <b v="0"/>
    <n v="0"/>
    <s v=""/>
    <b v="0"/>
    <s v="en"/>
    <m/>
    <s v=""/>
    <b v="0"/>
    <n v="0"/>
    <s v=""/>
    <s v="Twitter Web App"/>
    <b v="0"/>
    <s v="1568341083272216576"/>
    <s v="Tweet"/>
    <n v="0"/>
    <n v="0"/>
    <m/>
    <m/>
    <m/>
    <m/>
    <m/>
    <m/>
    <m/>
    <m/>
    <n v="8"/>
    <s v="59"/>
    <s v="59"/>
    <n v="1"/>
    <n v="3.3333333333333335"/>
    <n v="1"/>
    <n v="3.3333333333333335"/>
    <n v="0"/>
    <n v="0"/>
    <n v="28"/>
    <n v="93.33333333333333"/>
    <n v="30"/>
  </r>
  <r>
    <s v="tovarischbot"/>
    <s v="tovarischbot"/>
    <m/>
    <m/>
    <m/>
    <m/>
    <m/>
    <m/>
    <m/>
    <m/>
    <s v="No"/>
    <n v="98"/>
    <m/>
    <m/>
    <s v="Tweet"/>
    <x v="60"/>
    <s v="#StandWithRussia https://t.co/l1aht3DS7N"/>
    <m/>
    <m/>
    <s v="standwithrussia"/>
    <s v="https://pbs.twimg.com/media/FcPpBEWXEAErcAY.jpg"/>
    <s v="https://pbs.twimg.com/media/FcPpBEWXEAErcAY.jpg"/>
    <d v="2022-09-09T21:39:01.000"/>
    <d v="2022-09-09T00:00:00.000"/>
    <s v="21:39:01"/>
    <s v="https://twitter.com/tovarischbot/status/1568353305343950848"/>
    <m/>
    <m/>
    <s v="1568353305343950848"/>
    <m/>
    <b v="0"/>
    <n v="1"/>
    <s v=""/>
    <b v="0"/>
    <s v="und"/>
    <m/>
    <s v=""/>
    <b v="0"/>
    <n v="0"/>
    <s v=""/>
    <s v="Twitter for Android"/>
    <b v="0"/>
    <s v="1568353305343950848"/>
    <s v="Tweet"/>
    <n v="0"/>
    <n v="0"/>
    <m/>
    <m/>
    <m/>
    <m/>
    <m/>
    <m/>
    <m/>
    <m/>
    <n v="1"/>
    <s v="2"/>
    <s v="2"/>
    <n v="0"/>
    <n v="0"/>
    <n v="0"/>
    <n v="0"/>
    <n v="0"/>
    <n v="0"/>
    <n v="1"/>
    <n v="100"/>
    <n v="1"/>
  </r>
  <r>
    <s v="conservatnik228"/>
    <s v="spiritofho"/>
    <m/>
    <m/>
    <m/>
    <m/>
    <m/>
    <m/>
    <m/>
    <m/>
    <s v="No"/>
    <n v="99"/>
    <m/>
    <m/>
    <s v="Mentions"/>
    <x v="61"/>
    <s v="@Galantias1 @SpiritofHo 💪💪😎🇷🇺🇷🇺_x000a_#RussiaPower_x000a_#StandWithRussia_x000a_#ZelenskyMustGo_x000a_#DeNATOfication https://t.co/xcc0382M6t"/>
    <m/>
    <m/>
    <s v="russiapower standwithrussia zelenskymustgo denatofication"/>
    <s v="https://pbs.twimg.com/ext_tw_video_thumb/1568353306099044354/pu/img/9qI-Rqr-0zaSOPf2.jpg"/>
    <s v="https://pbs.twimg.com/ext_tw_video_thumb/1568353306099044354/pu/img/9qI-Rqr-0zaSOPf2.jpg"/>
    <d v="2022-09-09T21:43:54.000"/>
    <d v="2022-09-09T00:00:00.000"/>
    <s v="21:43:54"/>
    <s v="https://twitter.com/conservatnik228/status/1568354534065577984"/>
    <m/>
    <m/>
    <s v="1568354534065577984"/>
    <s v="1565481591194927104"/>
    <b v="0"/>
    <n v="0"/>
    <s v="1296379145795010563"/>
    <b v="0"/>
    <s v="und"/>
    <m/>
    <s v=""/>
    <b v="0"/>
    <n v="0"/>
    <s v=""/>
    <s v="Twitter Web App"/>
    <b v="0"/>
    <s v="1565481591194927104"/>
    <s v="Tweet"/>
    <n v="0"/>
    <n v="0"/>
    <m/>
    <m/>
    <m/>
    <m/>
    <m/>
    <m/>
    <m/>
    <m/>
    <n v="1"/>
    <s v="36"/>
    <s v="36"/>
    <m/>
    <m/>
    <m/>
    <m/>
    <m/>
    <m/>
    <m/>
    <m/>
    <m/>
  </r>
  <r>
    <s v="argubadebo"/>
    <s v="ethiopi00829015"/>
    <m/>
    <m/>
    <m/>
    <m/>
    <m/>
    <m/>
    <m/>
    <m/>
    <s v="No"/>
    <n v="101"/>
    <m/>
    <m/>
    <s v="Retweet"/>
    <x v="62"/>
    <s v="Vladmir Putin said that &quot;Almost all Ukrainian grain reaching European .However,the single shipment that was destined for Africa got more attention from the western media than this one.&quot;_x000a__x000a_That is how modern media colonialism portrays Africa._x000a_#NoMoreColonialism_x000a_#StandWithRussia https://t.co/eqNUoUARHV"/>
    <m/>
    <m/>
    <s v="nomorecolonialism standwithrussia"/>
    <s v="https://pbs.twimg.com/ext_tw_video_thumb/1568199549256175617/pu/img/Ysr1rE83e5hn0twR.jpg"/>
    <s v="https://pbs.twimg.com/ext_tw_video_thumb/1568199549256175617/pu/img/Ysr1rE83e5hn0twR.jpg"/>
    <d v="2022-09-10T05:47:47.000"/>
    <d v="2022-09-10T00:00:00.000"/>
    <s v="05:47:47"/>
    <s v="https://twitter.com/argubadebo/status/1568476309352861697"/>
    <m/>
    <m/>
    <s v="1568476309352861697"/>
    <m/>
    <b v="0"/>
    <n v="0"/>
    <s v=""/>
    <b v="0"/>
    <s v="en"/>
    <m/>
    <s v=""/>
    <b v="0"/>
    <n v="16"/>
    <s v="1568199721801449473"/>
    <s v="Twitter for Android"/>
    <b v="0"/>
    <s v="1568199721801449473"/>
    <s v="Tweet"/>
    <n v="0"/>
    <n v="0"/>
    <m/>
    <m/>
    <m/>
    <m/>
    <m/>
    <m/>
    <m/>
    <m/>
    <n v="1"/>
    <s v="5"/>
    <s v="5"/>
    <n v="1"/>
    <n v="2.5641025641025643"/>
    <n v="0"/>
    <n v="0"/>
    <n v="0"/>
    <n v="0"/>
    <n v="38"/>
    <n v="97.43589743589743"/>
    <n v="39"/>
  </r>
  <r>
    <s v="realpasitapani"/>
    <s v="iidavallin"/>
    <m/>
    <m/>
    <m/>
    <m/>
    <m/>
    <m/>
    <m/>
    <m/>
    <s v="No"/>
    <n v="102"/>
    <m/>
    <m/>
    <s v="Mentions"/>
    <x v="63"/>
    <s v="@SarjanenAntti @MikaelGabriel @iidavallin AnttiS, minä olen Putin-fani. _x000a_Slava Russia!_x000a_#StandWithRussia _x000a_🇷🇺💤😎"/>
    <m/>
    <m/>
    <s v="standwithrussia"/>
    <m/>
    <s v="https://pbs.twimg.com/profile_images/892670013445988352/jO9x6lOy_normal.jpg"/>
    <d v="2022-09-09T10:53:19.000"/>
    <d v="2022-09-09T00:00:00.000"/>
    <s v="10:53:19"/>
    <s v="https://twitter.com/realpasitapani/status/1568190809698074624"/>
    <m/>
    <m/>
    <s v="1568190809698074624"/>
    <s v="1568154696207966208"/>
    <b v="0"/>
    <n v="0"/>
    <s v="1478722479560531971"/>
    <b v="0"/>
    <s v="fi"/>
    <m/>
    <s v=""/>
    <b v="0"/>
    <n v="0"/>
    <s v=""/>
    <s v="Twitter Web App"/>
    <b v="0"/>
    <s v="1568154696207966208"/>
    <s v="Tweet"/>
    <n v="0"/>
    <n v="0"/>
    <m/>
    <m/>
    <m/>
    <m/>
    <m/>
    <m/>
    <m/>
    <m/>
    <n v="1"/>
    <s v="14"/>
    <s v="14"/>
    <m/>
    <m/>
    <m/>
    <m/>
    <m/>
    <m/>
    <m/>
    <m/>
    <m/>
  </r>
  <r>
    <s v="realpasitapani"/>
    <s v="veitera"/>
    <m/>
    <m/>
    <m/>
    <m/>
    <m/>
    <m/>
    <m/>
    <m/>
    <s v="No"/>
    <n v="105"/>
    <m/>
    <m/>
    <s v="Replies to"/>
    <x v="64"/>
    <s v="@veitera Putin vapauttaa meidät. Slava Russia!_x000a_#StandWithRussia _x000a_🇷🇺💤😎"/>
    <m/>
    <m/>
    <s v="standwithrussia"/>
    <m/>
    <s v="https://pbs.twimg.com/profile_images/892670013445988352/jO9x6lOy_normal.jpg"/>
    <d v="2022-09-09T11:14:57.000"/>
    <d v="2022-09-09T00:00:00.000"/>
    <s v="11:14:57"/>
    <s v="https://twitter.com/realpasitapani/status/1568196255460868096"/>
    <m/>
    <m/>
    <s v="1568196255460868096"/>
    <s v="1568172605667942400"/>
    <b v="0"/>
    <n v="0"/>
    <s v="899524315"/>
    <b v="0"/>
    <s v="fi"/>
    <m/>
    <s v=""/>
    <b v="0"/>
    <n v="0"/>
    <s v=""/>
    <s v="Twitter Web App"/>
    <b v="0"/>
    <s v="1568172605667942400"/>
    <s v="Tweet"/>
    <n v="0"/>
    <n v="0"/>
    <m/>
    <m/>
    <m/>
    <m/>
    <m/>
    <m/>
    <m/>
    <m/>
    <n v="1"/>
    <s v="14"/>
    <s v="14"/>
    <n v="0"/>
    <n v="0"/>
    <n v="0"/>
    <n v="0"/>
    <n v="0"/>
    <n v="0"/>
    <n v="7"/>
    <n v="100"/>
    <n v="7"/>
  </r>
  <r>
    <s v="realpasitapani"/>
    <s v="infussambas"/>
    <m/>
    <m/>
    <m/>
    <m/>
    <m/>
    <m/>
    <m/>
    <m/>
    <s v="No"/>
    <n v="106"/>
    <m/>
    <m/>
    <s v="Replies to"/>
    <x v="65"/>
    <s v="@infussambas Pray for #Putin ._x000a_#StandWithRussia _x000a_🇷🇺💤😎"/>
    <m/>
    <m/>
    <s v="putin standwithrussia"/>
    <m/>
    <s v="https://pbs.twimg.com/profile_images/892670013445988352/jO9x6lOy_normal.jpg"/>
    <d v="2022-09-10T08:49:02.000"/>
    <d v="2022-09-10T00:00:00.000"/>
    <s v="08:49:02"/>
    <s v="https://twitter.com/realpasitapani/status/1568521920294821888"/>
    <m/>
    <m/>
    <s v="1568521920294821888"/>
    <s v="1568512592045551616"/>
    <b v="0"/>
    <n v="0"/>
    <s v="1499043009521864704"/>
    <b v="0"/>
    <s v="en"/>
    <m/>
    <s v=""/>
    <b v="0"/>
    <n v="0"/>
    <s v=""/>
    <s v="Twitter Web App"/>
    <b v="0"/>
    <s v="1568512592045551616"/>
    <s v="Tweet"/>
    <n v="0"/>
    <n v="0"/>
    <m/>
    <m/>
    <m/>
    <m/>
    <m/>
    <m/>
    <m/>
    <m/>
    <n v="1"/>
    <s v="14"/>
    <s v="14"/>
    <n v="0"/>
    <n v="0"/>
    <n v="0"/>
    <n v="0"/>
    <n v="0"/>
    <n v="0"/>
    <n v="5"/>
    <n v="100"/>
    <n v="5"/>
  </r>
  <r>
    <s v="realpasitapani"/>
    <s v="realpasitapani"/>
    <m/>
    <m/>
    <m/>
    <m/>
    <m/>
    <m/>
    <m/>
    <m/>
    <s v="No"/>
    <n v="107"/>
    <m/>
    <m/>
    <s v="Tweet"/>
    <x v="66"/>
    <s v="Pahaa pelkään että Putinilla elinaikaa 100...200 vuorokautta. 😨_x000a__x000a_Uskon että hän kuitenkin pääsee taivaaseen. 😀😇_x000a_#StandWithRussia #Putin4ever #Putin"/>
    <m/>
    <m/>
    <s v="standwithrussia putin4ever putin"/>
    <m/>
    <s v="https://pbs.twimg.com/profile_images/892670013445988352/jO9x6lOy_normal.jpg"/>
    <d v="2022-09-10T08:56:15.000"/>
    <d v="2022-09-10T00:00:00.000"/>
    <s v="08:56:15"/>
    <s v="https://twitter.com/realpasitapani/status/1568523737149935619"/>
    <m/>
    <m/>
    <s v="1568523737149935619"/>
    <m/>
    <b v="0"/>
    <n v="1"/>
    <s v=""/>
    <b v="0"/>
    <s v="fi"/>
    <m/>
    <s v=""/>
    <b v="0"/>
    <n v="0"/>
    <s v=""/>
    <s v="Twitter Web App"/>
    <b v="0"/>
    <s v="1568523737149935619"/>
    <s v="Tweet"/>
    <n v="0"/>
    <n v="0"/>
    <m/>
    <m/>
    <m/>
    <m/>
    <m/>
    <m/>
    <m/>
    <m/>
    <n v="1"/>
    <s v="14"/>
    <s v="14"/>
    <n v="0"/>
    <n v="0"/>
    <n v="0"/>
    <n v="0"/>
    <n v="0"/>
    <n v="0"/>
    <n v="17"/>
    <n v="100"/>
    <n v="17"/>
  </r>
  <r>
    <s v="hassany89"/>
    <s v="readovkaworld"/>
    <m/>
    <m/>
    <m/>
    <m/>
    <m/>
    <m/>
    <m/>
    <m/>
    <s v="No"/>
    <n v="108"/>
    <m/>
    <m/>
    <s v="Retweet"/>
    <x v="67"/>
    <s v="Video from social network go viral: In #Sofia, #Bulgarian patriots spoke out against the Russophobic demonstration of #Ukrainian refugees with the song #Russia _x000a__x000a_#StandWithRussia https://t.co/dg9G1bZILw"/>
    <m/>
    <m/>
    <s v="sofia bulgarian ukrainian russia standwithrussia"/>
    <s v="https://pbs.twimg.com/ext_tw_video_thumb/1568550609225138178/pu/img/-GqFQP2LKjYRZ4Kw.jpg"/>
    <s v="https://pbs.twimg.com/ext_tw_video_thumb/1568550609225138178/pu/img/-GqFQP2LKjYRZ4Kw.jpg"/>
    <d v="2022-09-10T11:57:43.000"/>
    <d v="2022-09-10T00:00:00.000"/>
    <s v="11:57:43"/>
    <s v="https://twitter.com/hassany89/status/1568569404488556546"/>
    <m/>
    <m/>
    <s v="1568569404488556546"/>
    <m/>
    <b v="0"/>
    <n v="0"/>
    <s v=""/>
    <b v="0"/>
    <s v="en"/>
    <m/>
    <s v=""/>
    <b v="0"/>
    <n v="3"/>
    <s v="1568568846495240192"/>
    <s v="Twitter for iPhone"/>
    <b v="0"/>
    <s v="1568568846495240192"/>
    <s v="Tweet"/>
    <n v="0"/>
    <n v="0"/>
    <m/>
    <m/>
    <m/>
    <m/>
    <m/>
    <m/>
    <m/>
    <m/>
    <n v="1"/>
    <s v="28"/>
    <s v="28"/>
    <n v="0"/>
    <n v="0"/>
    <n v="0"/>
    <n v="0"/>
    <n v="0"/>
    <n v="0"/>
    <n v="24"/>
    <n v="100"/>
    <n v="24"/>
  </r>
  <r>
    <s v="george_w_bu"/>
    <s v="readovkaworld"/>
    <m/>
    <m/>
    <m/>
    <m/>
    <m/>
    <m/>
    <m/>
    <m/>
    <s v="No"/>
    <n v="109"/>
    <m/>
    <m/>
    <s v="Retweet"/>
    <x v="68"/>
    <s v="Video from social network go viral: In #Sofia, #Bulgarian patriots spoke out against the Russophobic demonstration of #Ukrainian refugees with the song #Russia _x000a__x000a_#StandWithRussia https://t.co/dg9G1bZILw"/>
    <m/>
    <m/>
    <s v="sofia bulgarian ukrainian russia standwithrussia"/>
    <s v="https://pbs.twimg.com/ext_tw_video_thumb/1568550609225138178/pu/img/-GqFQP2LKjYRZ4Kw.jpg"/>
    <s v="https://pbs.twimg.com/ext_tw_video_thumb/1568550609225138178/pu/img/-GqFQP2LKjYRZ4Kw.jpg"/>
    <d v="2022-09-10T13:35:13.000"/>
    <d v="2022-09-10T00:00:00.000"/>
    <s v="13:35:13"/>
    <s v="https://twitter.com/george_w_bu/status/1568593940814745601"/>
    <m/>
    <m/>
    <s v="1568593940814745601"/>
    <m/>
    <b v="0"/>
    <n v="0"/>
    <s v=""/>
    <b v="0"/>
    <s v="en"/>
    <m/>
    <s v=""/>
    <b v="0"/>
    <n v="3"/>
    <s v="1568568846495240192"/>
    <s v="Twitter Web App"/>
    <b v="0"/>
    <s v="1568568846495240192"/>
    <s v="Tweet"/>
    <n v="0"/>
    <n v="0"/>
    <m/>
    <m/>
    <m/>
    <m/>
    <m/>
    <m/>
    <m/>
    <m/>
    <n v="1"/>
    <s v="28"/>
    <s v="28"/>
    <n v="0"/>
    <n v="0"/>
    <n v="0"/>
    <n v="0"/>
    <n v="0"/>
    <n v="0"/>
    <n v="24"/>
    <n v="100"/>
    <n v="24"/>
  </r>
  <r>
    <s v="ethiopi00829015"/>
    <s v="ethiopi00829015"/>
    <m/>
    <m/>
    <m/>
    <m/>
    <m/>
    <m/>
    <m/>
    <m/>
    <s v="No"/>
    <n v="110"/>
    <m/>
    <m/>
    <s v="Tweet"/>
    <x v="69"/>
    <s v="Vladmir Putin said that &quot;Almost all Ukrainian grain reaching European .However,the single shipment that was destined for Africa got more attention from the western media than this one.&quot;_x000a__x000a_That is how modern media colonialism portrays Africa._x000a_#NoMoreColonialism_x000a_#StandWithRussia https://t.co/eqNUoUARHV"/>
    <m/>
    <m/>
    <s v="nomorecolonialism standwithrussia"/>
    <s v="https://pbs.twimg.com/ext_tw_video_thumb/1568199549256175617/pu/img/Ysr1rE83e5hn0twR.jpg"/>
    <s v="https://pbs.twimg.com/ext_tw_video_thumb/1568199549256175617/pu/img/Ysr1rE83e5hn0twR.jpg"/>
    <d v="2022-09-09T11:28:44.000"/>
    <d v="2022-09-09T00:00:00.000"/>
    <s v="11:28:44"/>
    <s v="https://twitter.com/ethiopi00829015/status/1568199721801449473"/>
    <m/>
    <m/>
    <s v="1568199721801449473"/>
    <m/>
    <b v="0"/>
    <n v="20"/>
    <s v=""/>
    <b v="0"/>
    <s v="en"/>
    <m/>
    <s v=""/>
    <b v="0"/>
    <n v="16"/>
    <s v=""/>
    <s v="Twitter for Android"/>
    <b v="0"/>
    <s v="1568199721801449473"/>
    <s v="Tweet"/>
    <n v="0"/>
    <n v="0"/>
    <m/>
    <m/>
    <m/>
    <m/>
    <m/>
    <m/>
    <m/>
    <m/>
    <n v="1"/>
    <s v="5"/>
    <s v="5"/>
    <n v="1"/>
    <n v="2.5641025641025643"/>
    <n v="0"/>
    <n v="0"/>
    <n v="0"/>
    <n v="0"/>
    <n v="38"/>
    <n v="97.43589743589743"/>
    <n v="39"/>
  </r>
  <r>
    <s v="mengistutefer16"/>
    <s v="ethiopi00829015"/>
    <m/>
    <m/>
    <m/>
    <m/>
    <m/>
    <m/>
    <m/>
    <m/>
    <s v="No"/>
    <n v="111"/>
    <m/>
    <m/>
    <s v="Retweet"/>
    <x v="70"/>
    <s v="Vladmir Putin said that &quot;Almost all Ukrainian grain reaching European .However,the single shipment that was destined for Africa got more attention from the western media than this one.&quot;_x000a__x000a_That is how modern media colonialism portrays Africa._x000a_#NoMoreColonialism_x000a_#StandWithRussia https://t.co/eqNUoUARHV"/>
    <m/>
    <m/>
    <s v="nomorecolonialism standwithrussia"/>
    <s v="https://pbs.twimg.com/ext_tw_video_thumb/1568199549256175617/pu/img/Ysr1rE83e5hn0twR.jpg"/>
    <s v="https://pbs.twimg.com/ext_tw_video_thumb/1568199549256175617/pu/img/Ysr1rE83e5hn0twR.jpg"/>
    <d v="2022-09-10T15:08:11.000"/>
    <d v="2022-09-10T00:00:00.000"/>
    <s v="15:08:11"/>
    <s v="https://twitter.com/mengistutefer16/status/1568617339184357376"/>
    <m/>
    <m/>
    <s v="1568617339184357376"/>
    <m/>
    <b v="0"/>
    <n v="0"/>
    <s v=""/>
    <b v="0"/>
    <s v="en"/>
    <m/>
    <s v=""/>
    <b v="0"/>
    <n v="16"/>
    <s v="1568199721801449473"/>
    <s v="Twitter for iPhone"/>
    <b v="0"/>
    <s v="1568199721801449473"/>
    <s v="Tweet"/>
    <n v="0"/>
    <n v="0"/>
    <m/>
    <m/>
    <m/>
    <m/>
    <m/>
    <m/>
    <m/>
    <m/>
    <n v="1"/>
    <s v="5"/>
    <s v="5"/>
    <n v="1"/>
    <n v="2.5641025641025643"/>
    <n v="0"/>
    <n v="0"/>
    <n v="0"/>
    <n v="0"/>
    <n v="38"/>
    <n v="97.43589743589743"/>
    <n v="39"/>
  </r>
  <r>
    <s v="brian_lefevre_"/>
    <s v="rus_emb_ireland"/>
    <m/>
    <m/>
    <m/>
    <m/>
    <m/>
    <m/>
    <m/>
    <m/>
    <s v="No"/>
    <n v="112"/>
    <m/>
    <m/>
    <s v="Mentions"/>
    <x v="71"/>
    <s v="@LucyGatsby @tucosal75136559 @WendellWickets @Rus_Emb_Ireland Thanks I've read that article, you should too, it applies to the first two weeks of the war only, and, isolated to hashtags_x000a__x000a_StandWithPutin”, “(I)StandWithRussia”, “(I)SupportRussia”, “(I)StandWithUkraine”, “(I)StandWithZelenskyy” and “(I)SupportUkraine”._x000a__x000a_Comprehension is hard☹️"/>
    <m/>
    <m/>
    <m/>
    <m/>
    <s v="https://pbs.twimg.com/profile_images/1281338721518997505/XqzhddJm_normal.jpg"/>
    <d v="2022-09-10T15:24:08.000"/>
    <d v="2022-09-10T00:00:00.000"/>
    <s v="15:24:08"/>
    <s v="https://twitter.com/brian_lefevre_/status/1568621353263054848"/>
    <m/>
    <m/>
    <s v="1568621353263054848"/>
    <s v="1568349764378415104"/>
    <b v="0"/>
    <n v="1"/>
    <s v="1328478635074990086"/>
    <b v="0"/>
    <s v="en"/>
    <m/>
    <s v=""/>
    <b v="0"/>
    <n v="0"/>
    <s v=""/>
    <s v="Twitter for Android"/>
    <b v="0"/>
    <s v="1568349764378415104"/>
    <s v="Tweet"/>
    <n v="0"/>
    <n v="0"/>
    <m/>
    <m/>
    <m/>
    <m/>
    <m/>
    <m/>
    <m/>
    <m/>
    <n v="1"/>
    <s v="11"/>
    <s v="11"/>
    <m/>
    <m/>
    <m/>
    <m/>
    <m/>
    <m/>
    <m/>
    <m/>
    <m/>
  </r>
  <r>
    <s v="neprfl"/>
    <s v="amaresyev"/>
    <m/>
    <m/>
    <m/>
    <m/>
    <m/>
    <m/>
    <m/>
    <m/>
    <s v="No"/>
    <n v="116"/>
    <m/>
    <m/>
    <s v="Retweet"/>
    <x v="72"/>
    <s v="Biz kazanacağız! #StandwithRussia #Russia #Russianarmy"/>
    <m/>
    <m/>
    <s v="standwithrussia russia russianarmy"/>
    <m/>
    <s v="https://pbs.twimg.com/profile_images/1558576684005265414/xPXXVVG2_normal.jpg"/>
    <d v="2022-09-10T22:06:24.000"/>
    <d v="2022-09-10T00:00:00.000"/>
    <s v="22:06:24"/>
    <s v="https://twitter.com/neprfl/status/1568722583800905728"/>
    <m/>
    <m/>
    <s v="1568722583800905728"/>
    <m/>
    <b v="0"/>
    <n v="0"/>
    <s v=""/>
    <b v="0"/>
    <s v="tr"/>
    <m/>
    <s v=""/>
    <b v="0"/>
    <n v="4"/>
    <s v="1568690370866978816"/>
    <s v="Twitter for Android"/>
    <b v="0"/>
    <s v="1568690370866978816"/>
    <s v="Tweet"/>
    <n v="0"/>
    <n v="0"/>
    <m/>
    <m/>
    <m/>
    <m/>
    <m/>
    <m/>
    <m/>
    <m/>
    <n v="1"/>
    <s v="3"/>
    <s v="3"/>
    <n v="0"/>
    <n v="0"/>
    <n v="0"/>
    <n v="0"/>
    <n v="0"/>
    <n v="0"/>
    <n v="5"/>
    <n v="100"/>
    <n v="5"/>
  </r>
  <r>
    <s v="doctornazab"/>
    <s v="doctornazab"/>
    <m/>
    <m/>
    <m/>
    <m/>
    <m/>
    <m/>
    <m/>
    <m/>
    <s v="No"/>
    <n v="117"/>
    <m/>
    <m/>
    <s v="Tweet"/>
    <x v="73"/>
    <s v="#Putin #Russia #StandwithRussia_x000a_STAND WITH RUSSIA! https://t.co/wXqrfOR101"/>
    <s v="https://twitter.com/MMerangul/status/1568596784678666250"/>
    <s v="twitter.com"/>
    <s v="putin russia standwithrussia"/>
    <m/>
    <s v="https://pbs.twimg.com/profile_images/1568948429656674306/euHVm6a2_normal.jpg"/>
    <d v="2022-09-10T20:53:53.000"/>
    <d v="2022-09-10T00:00:00.000"/>
    <s v="20:53:53"/>
    <s v="https://twitter.com/doctornazab/status/1568704337144061952"/>
    <m/>
    <m/>
    <s v="1568704337144061952"/>
    <m/>
    <b v="0"/>
    <n v="1"/>
    <s v=""/>
    <b v="1"/>
    <s v="en"/>
    <m/>
    <s v="1568596784678666250"/>
    <b v="0"/>
    <n v="1"/>
    <s v=""/>
    <s v="Twitter Web App"/>
    <b v="0"/>
    <s v="1568704337144061952"/>
    <s v="Tweet"/>
    <n v="0"/>
    <n v="0"/>
    <m/>
    <m/>
    <m/>
    <m/>
    <m/>
    <m/>
    <m/>
    <m/>
    <n v="2"/>
    <s v="2"/>
    <s v="2"/>
    <n v="0"/>
    <n v="0"/>
    <n v="0"/>
    <n v="0"/>
    <n v="0"/>
    <n v="0"/>
    <n v="6"/>
    <n v="100"/>
    <n v="6"/>
  </r>
  <r>
    <s v="doctornazab"/>
    <s v="doctornazab"/>
    <m/>
    <m/>
    <m/>
    <m/>
    <m/>
    <m/>
    <m/>
    <m/>
    <s v="No"/>
    <n v="118"/>
    <m/>
    <m/>
    <s v="Retweet"/>
    <x v="74"/>
    <s v="#Putin #Russia #StandwithRussia_x000a_STAND WITH RUSSIA! https://t.co/wXqrfOR101"/>
    <s v="https://twitter.com/MMerangul/status/1568596784678666250"/>
    <s v="twitter.com"/>
    <s v="putin russia standwithrussia"/>
    <m/>
    <s v="https://pbs.twimg.com/profile_images/1568948429656674306/euHVm6a2_normal.jpg"/>
    <d v="2022-09-10T22:29:44.000"/>
    <d v="2022-09-10T00:00:00.000"/>
    <s v="22:29:44"/>
    <s v="https://twitter.com/doctornazab/status/1568728456543993856"/>
    <m/>
    <m/>
    <s v="1568728456543993856"/>
    <m/>
    <b v="0"/>
    <n v="0"/>
    <s v=""/>
    <b v="1"/>
    <s v="en"/>
    <m/>
    <s v="1568596784678666250"/>
    <b v="0"/>
    <n v="1"/>
    <s v="1568704337144061952"/>
    <s v="Twitter Web App"/>
    <b v="0"/>
    <s v="1568704337144061952"/>
    <s v="Tweet"/>
    <n v="0"/>
    <n v="0"/>
    <m/>
    <m/>
    <m/>
    <m/>
    <m/>
    <m/>
    <m/>
    <m/>
    <n v="2"/>
    <s v="2"/>
    <s v="2"/>
    <n v="0"/>
    <n v="0"/>
    <n v="0"/>
    <n v="0"/>
    <n v="0"/>
    <n v="0"/>
    <n v="6"/>
    <n v="100"/>
    <n v="6"/>
  </r>
  <r>
    <s v="alex87431641"/>
    <s v="vasilsimeonovbg"/>
    <m/>
    <m/>
    <m/>
    <m/>
    <m/>
    <m/>
    <m/>
    <m/>
    <s v="No"/>
    <n v="119"/>
    <m/>
    <m/>
    <s v="Retweet"/>
    <x v="75"/>
    <s v="Be aware,   BUCHA 2.0 is on its way!_x000a__x000a_#StandWithRussia _x000a__x000a_#StopNaziUkraine which killed its own people! https://t.co/lhiBCoVTrI"/>
    <s v="https://twitter.com/StepanGronk/status/1568043302032928768"/>
    <s v="twitter.com"/>
    <s v="standwithrussia stopnaziukraine"/>
    <m/>
    <s v="https://pbs.twimg.com/profile_images/1523823077171208192/-W8oi3yt_normal.jpg"/>
    <d v="2022-09-11T06:33:48.000"/>
    <d v="2022-09-11T00:00:00.000"/>
    <s v="06:33:48"/>
    <s v="https://twitter.com/alex87431641/status/1568850275829686272"/>
    <m/>
    <m/>
    <s v="1568850275829686272"/>
    <m/>
    <b v="0"/>
    <n v="0"/>
    <s v=""/>
    <b v="1"/>
    <s v="en"/>
    <m/>
    <s v="1568043302032928768"/>
    <b v="0"/>
    <n v="2"/>
    <s v="1568737834621599746"/>
    <s v="Twitter for iPhone"/>
    <b v="0"/>
    <s v="1568737834621599746"/>
    <s v="Tweet"/>
    <n v="0"/>
    <n v="0"/>
    <m/>
    <m/>
    <m/>
    <m/>
    <m/>
    <m/>
    <m/>
    <m/>
    <n v="1"/>
    <s v="13"/>
    <s v="13"/>
    <n v="0"/>
    <n v="0"/>
    <n v="1"/>
    <n v="6.25"/>
    <n v="0"/>
    <n v="0"/>
    <n v="15"/>
    <n v="93.75"/>
    <n v="16"/>
  </r>
  <r>
    <s v="levin3700"/>
    <s v="sarananni"/>
    <m/>
    <m/>
    <m/>
    <m/>
    <m/>
    <m/>
    <m/>
    <m/>
    <s v="No"/>
    <n v="120"/>
    <m/>
    <m/>
    <s v="Mentions"/>
    <x v="76"/>
    <s v="@GoeringEckardt @SaraNanni @ABaerbock #StandWithRussia 🇷🇺"/>
    <m/>
    <m/>
    <s v="standwithrussia"/>
    <m/>
    <s v="https://pbs.twimg.com/profile_images/1542401699238789124/Qzd6s1He_normal.jpg"/>
    <d v="2022-09-11T06:53:57.000"/>
    <d v="2022-09-11T00:00:00.000"/>
    <s v="06:53:57"/>
    <s v="https://twitter.com/levin3700/status/1568855346373869568"/>
    <m/>
    <m/>
    <s v="1568855346373869568"/>
    <s v="1568576340831477760"/>
    <b v="0"/>
    <n v="0"/>
    <s v="626287930"/>
    <b v="0"/>
    <s v="und"/>
    <m/>
    <s v=""/>
    <b v="0"/>
    <n v="0"/>
    <s v=""/>
    <s v="Twitter Web App"/>
    <b v="0"/>
    <s v="1568576340831477760"/>
    <s v="Tweet"/>
    <n v="0"/>
    <n v="0"/>
    <m/>
    <m/>
    <m/>
    <m/>
    <m/>
    <m/>
    <m/>
    <m/>
    <n v="1"/>
    <s v="25"/>
    <s v="25"/>
    <m/>
    <m/>
    <m/>
    <m/>
    <m/>
    <m/>
    <m/>
    <m/>
    <m/>
  </r>
  <r>
    <s v="spydercof"/>
    <s v="060_ilou"/>
    <m/>
    <m/>
    <m/>
    <m/>
    <m/>
    <m/>
    <m/>
    <m/>
    <s v="No"/>
    <n v="123"/>
    <m/>
    <m/>
    <s v="Mentions"/>
    <x v="77"/>
    <s v="Je vous présente Vladimir #Poutine, le président de la Grande #Russie,un véritable homme d'État suivi par 83 % de sa population dixit son opposition (centre levada)._x000a_Ça change du #poudré...😏_x000a_#StandWithRussia 🇷🇺_x000a_#StandWithPutin 💪_x000a_@AgentduKGB _x000a_@p_duval _x000a_@Philo95857560 _x000a_@060_ilou https://t.co/B5r5gdwDrV"/>
    <m/>
    <m/>
    <s v="poutine russie poudré standwithrussia standwithputin"/>
    <s v="https://pbs.twimg.com/media/Fb6ZZsqWYAUww3Q.jpg"/>
    <s v="https://pbs.twimg.com/media/Fb6ZZsqWYAUww3Q.jpg"/>
    <d v="2022-09-05T18:38:45.000"/>
    <d v="2022-09-05T00:00:00.000"/>
    <s v="18:38:45"/>
    <s v="https://twitter.com/spydercof/status/1566858391003209729"/>
    <m/>
    <m/>
    <s v="1566858391003209729"/>
    <m/>
    <b v="0"/>
    <n v="74"/>
    <s v=""/>
    <b v="0"/>
    <s v="fr"/>
    <m/>
    <s v=""/>
    <b v="0"/>
    <n v="35"/>
    <s v=""/>
    <s v="Twitter for Android"/>
    <b v="0"/>
    <s v="1566858391003209729"/>
    <s v="Retweet"/>
    <n v="0"/>
    <n v="0"/>
    <m/>
    <m/>
    <m/>
    <m/>
    <m/>
    <m/>
    <m/>
    <m/>
    <n v="1"/>
    <s v="10"/>
    <s v="10"/>
    <m/>
    <m/>
    <m/>
    <m/>
    <m/>
    <m/>
    <m/>
    <m/>
    <m/>
  </r>
  <r>
    <s v="jeanonekit"/>
    <s v="060_ilou"/>
    <m/>
    <m/>
    <m/>
    <m/>
    <m/>
    <m/>
    <m/>
    <m/>
    <s v="No"/>
    <n v="124"/>
    <m/>
    <m/>
    <s v="MentionsInRetweet"/>
    <x v="78"/>
    <s v="Je vous présente Vladimir #Poutine, le président de la Grande #Russie,un véritable homme d'État suivi par 83 % de sa population dixit son opposition (centre levada)._x000a_Ça change du #poudré...😏_x000a_#StandWithRussia 🇷🇺_x000a_#StandWithPutin 💪_x000a_@AgentduKGB _x000a_@p_duval _x000a_@Philo95857560 _x000a_@060_ilou https://t.co/B5r5gdwDrV"/>
    <m/>
    <m/>
    <s v="poutine russie poudré standwithrussia standwithputin"/>
    <s v="https://pbs.twimg.com/media/Fb6ZZsqWYAUww3Q.jpg"/>
    <s v="https://pbs.twimg.com/media/Fb6ZZsqWYAUww3Q.jpg"/>
    <d v="2022-09-11T07:20:24.000"/>
    <d v="2022-09-11T00:00:00.000"/>
    <s v="07:20:24"/>
    <s v="https://twitter.com/jeanonekit/status/1568862005901103105"/>
    <m/>
    <m/>
    <s v="1568862005901103105"/>
    <m/>
    <b v="0"/>
    <n v="0"/>
    <s v=""/>
    <b v="0"/>
    <s v="fr"/>
    <m/>
    <s v=""/>
    <b v="0"/>
    <n v="35"/>
    <s v="1566858391003209729"/>
    <s v="Twitter Web App"/>
    <b v="0"/>
    <s v="1566858391003209729"/>
    <s v="Tweet"/>
    <n v="0"/>
    <n v="0"/>
    <m/>
    <m/>
    <m/>
    <m/>
    <m/>
    <m/>
    <m/>
    <m/>
    <n v="1"/>
    <s v="10"/>
    <s v="10"/>
    <m/>
    <m/>
    <m/>
    <m/>
    <m/>
    <m/>
    <m/>
    <m/>
    <m/>
  </r>
  <r>
    <s v="hamfordjohn"/>
    <s v="hamfordjohn"/>
    <m/>
    <m/>
    <m/>
    <m/>
    <m/>
    <m/>
    <m/>
    <m/>
    <s v="No"/>
    <n v="130"/>
    <m/>
    <m/>
    <s v="Tweet"/>
    <x v="79"/>
    <s v="Ukraine must be gone by the end of September. Russia didn't do it then Ukrainians does. #StandWithRussia"/>
    <m/>
    <m/>
    <s v="standwithrussia"/>
    <m/>
    <s v="https://pbs.twimg.com/profile_images/1544171727412150273/O6KLm71w_normal.jpg"/>
    <d v="2022-09-11T07:52:44.000"/>
    <d v="2022-09-11T00:00:00.000"/>
    <s v="07:52:44"/>
    <s v="https://twitter.com/hamfordjohn/status/1568870142599397379"/>
    <m/>
    <m/>
    <s v="1568870142599397379"/>
    <m/>
    <b v="0"/>
    <n v="0"/>
    <s v=""/>
    <b v="0"/>
    <s v="en"/>
    <m/>
    <s v=""/>
    <b v="0"/>
    <n v="0"/>
    <s v=""/>
    <s v="Twitter Web App"/>
    <b v="0"/>
    <s v="1568870142599397379"/>
    <s v="Tweet"/>
    <n v="0"/>
    <n v="0"/>
    <m/>
    <m/>
    <m/>
    <m/>
    <m/>
    <m/>
    <m/>
    <m/>
    <n v="1"/>
    <s v="2"/>
    <s v="2"/>
    <n v="0"/>
    <n v="0"/>
    <n v="0"/>
    <n v="0"/>
    <n v="0"/>
    <n v="0"/>
    <n v="17"/>
    <n v="100"/>
    <n v="17"/>
  </r>
  <r>
    <s v="bilgeozyurt"/>
    <s v="amaresyev"/>
    <m/>
    <m/>
    <m/>
    <m/>
    <m/>
    <m/>
    <m/>
    <m/>
    <s v="No"/>
    <n v="131"/>
    <m/>
    <m/>
    <s v="Retweet"/>
    <x v="80"/>
    <s v="Biz kazanacağız! #StandwithRussia #Russia #Russianarmy"/>
    <m/>
    <m/>
    <s v="standwithrussia russia russianarmy"/>
    <m/>
    <s v="https://pbs.twimg.com/profile_images/1558145228825059337/iMGMDJlF_normal.jpg"/>
    <d v="2022-09-11T11:14:21.000"/>
    <d v="2022-09-11T00:00:00.000"/>
    <s v="11:14:21"/>
    <s v="https://twitter.com/bilgeozyurt/status/1568920878825574400"/>
    <m/>
    <m/>
    <s v="1568920878825574400"/>
    <m/>
    <b v="0"/>
    <n v="0"/>
    <s v=""/>
    <b v="0"/>
    <s v="tr"/>
    <m/>
    <s v=""/>
    <b v="0"/>
    <n v="4"/>
    <s v="1568690370866978816"/>
    <s v="Twitter for Android"/>
    <b v="0"/>
    <s v="1568690370866978816"/>
    <s v="Tweet"/>
    <n v="0"/>
    <n v="0"/>
    <m/>
    <m/>
    <m/>
    <m/>
    <m/>
    <m/>
    <m/>
    <m/>
    <n v="1"/>
    <s v="3"/>
    <s v="3"/>
    <n v="0"/>
    <n v="0"/>
    <n v="0"/>
    <n v="0"/>
    <n v="0"/>
    <n v="0"/>
    <n v="5"/>
    <n v="100"/>
    <n v="5"/>
  </r>
  <r>
    <s v="filipkatundsk"/>
    <s v="josh_watt_"/>
    <m/>
    <m/>
    <m/>
    <m/>
    <m/>
    <m/>
    <m/>
    <m/>
    <s v="No"/>
    <n v="132"/>
    <m/>
    <m/>
    <s v="Mentions"/>
    <x v="81"/>
    <s v="@OneQuantumLeap @antonio27182818 @josh_watt_ We used the Twitter API (V2) to collect all tweets, retweets, quotes and replies containing case-insensitive versions of the hashtags: #(I)StandWithPutin, #(I)StandWithRussia, #(I)SupportRussia, #(I)StandWithUkraine, #(I)StandWithZelenskyy and #(I)SupportUkraine."/>
    <m/>
    <m/>
    <m/>
    <m/>
    <s v="https://pbs.twimg.com/profile_images/1564861883064242177/pOz801Wy_normal.jpg"/>
    <d v="2022-09-11T10:32:25.000"/>
    <d v="2022-09-11T00:00:00.000"/>
    <s v="10:32:25"/>
    <s v="https://twitter.com/filipkatundsk/status/1568910326992715776"/>
    <m/>
    <m/>
    <s v="1568910326992715776"/>
    <s v="1568222547140923392"/>
    <b v="0"/>
    <n v="1"/>
    <s v="1249594507202617346"/>
    <b v="0"/>
    <s v="en"/>
    <m/>
    <s v=""/>
    <b v="0"/>
    <n v="0"/>
    <s v=""/>
    <s v="Twitter Web App"/>
    <b v="0"/>
    <s v="1568222547140923392"/>
    <s v="Tweet"/>
    <n v="0"/>
    <n v="0"/>
    <m/>
    <m/>
    <m/>
    <m/>
    <m/>
    <m/>
    <m/>
    <m/>
    <n v="1"/>
    <s v="18"/>
    <s v="18"/>
    <m/>
    <m/>
    <m/>
    <m/>
    <m/>
    <m/>
    <m/>
    <m/>
    <m/>
  </r>
  <r>
    <s v="filipkatundsk"/>
    <s v="freilichlior"/>
    <m/>
    <m/>
    <m/>
    <m/>
    <m/>
    <m/>
    <m/>
    <m/>
    <s v="No"/>
    <n v="135"/>
    <m/>
    <m/>
    <s v="Replies to"/>
    <x v="82"/>
    <s v="@FreilichLior The researcher is LAZY! He has used an algorithm to collect tweets that contain hashtags (#(I)StandWithPutin, #(I)StandWithRussia, #(I)SupportRussia, #(I)StandWithUkraine, #(I)StandWithZelenskyy and #(I)SupportUkraine.) And the results are based on that. 1/2"/>
    <m/>
    <m/>
    <m/>
    <m/>
    <s v="https://pbs.twimg.com/profile_images/1564861883064242177/pOz801Wy_normal.jpg"/>
    <d v="2022-09-11T11:17:41.000"/>
    <d v="2022-09-11T00:00:00.000"/>
    <s v="11:17:41"/>
    <s v="https://twitter.com/filipkatundsk/status/1568921720399994881"/>
    <m/>
    <m/>
    <s v="1568921720399994881"/>
    <s v="1568848369963126784"/>
    <b v="0"/>
    <n v="1"/>
    <s v="199821647"/>
    <b v="0"/>
    <s v="en"/>
    <m/>
    <s v=""/>
    <b v="0"/>
    <n v="0"/>
    <s v=""/>
    <s v="Twitter Web App"/>
    <b v="0"/>
    <s v="1568848369963126784"/>
    <s v="Tweet"/>
    <n v="0"/>
    <n v="0"/>
    <m/>
    <m/>
    <m/>
    <m/>
    <m/>
    <m/>
    <m/>
    <m/>
    <n v="1"/>
    <s v="18"/>
    <s v="18"/>
    <n v="0"/>
    <n v="0"/>
    <n v="1"/>
    <n v="2.6315789473684212"/>
    <n v="0"/>
    <n v="0"/>
    <n v="37"/>
    <n v="97.36842105263158"/>
    <n v="38"/>
  </r>
  <r>
    <s v="nzabakira4"/>
    <s v="ukraine_world"/>
    <m/>
    <m/>
    <m/>
    <m/>
    <m/>
    <m/>
    <m/>
    <m/>
    <s v="No"/>
    <n v="136"/>
    <m/>
    <m/>
    <s v="Replies to"/>
    <x v="83"/>
    <s v="@ukraine_world #StandWithRussia 💪🏿"/>
    <m/>
    <m/>
    <s v="standwithrussia"/>
    <m/>
    <s v="https://pbs.twimg.com/profile_images/1454814605964939264/gx1lpE_A_normal.jpg"/>
    <d v="2022-09-11T11:54:21.000"/>
    <d v="2022-09-11T00:00:00.000"/>
    <s v="11:54:21"/>
    <s v="https://twitter.com/nzabakira4/status/1568930943938998272"/>
    <m/>
    <m/>
    <s v="1568930943938998272"/>
    <s v="1568928919314890753"/>
    <b v="0"/>
    <n v="0"/>
    <s v="873135988440223745"/>
    <b v="0"/>
    <s v="und"/>
    <m/>
    <s v=""/>
    <b v="0"/>
    <n v="0"/>
    <s v=""/>
    <s v="Twitter for iPhone"/>
    <b v="0"/>
    <s v="1568928919314890753"/>
    <s v="Tweet"/>
    <n v="0"/>
    <n v="0"/>
    <m/>
    <m/>
    <m/>
    <m/>
    <m/>
    <m/>
    <m/>
    <m/>
    <n v="1"/>
    <s v="53"/>
    <s v="53"/>
    <n v="0"/>
    <n v="0"/>
    <n v="0"/>
    <n v="0"/>
    <n v="0"/>
    <n v="0"/>
    <n v="2"/>
    <n v="100"/>
    <n v="2"/>
  </r>
  <r>
    <s v="serpens48"/>
    <s v="sangreal1965"/>
    <m/>
    <m/>
    <m/>
    <m/>
    <m/>
    <m/>
    <m/>
    <m/>
    <s v="No"/>
    <n v="137"/>
    <m/>
    <m/>
    <s v="Replies to"/>
    <x v="84"/>
    <s v="@SangreaL1965 The research was bipartisan and analysed couplets such as #(I)StandWithPutin - #(I)StandWithRussia and  #(I)SupportRussia - #(I)StandWithUkraine etc.  The finding was that 60 to 80% of posts using  such hash tags were from bots. No differentiation for nation."/>
    <m/>
    <m/>
    <m/>
    <m/>
    <s v="https://pbs.twimg.com/profile_images/1569229813604560896/uGgriCjb_normal.jpg"/>
    <d v="2022-09-11T12:59:38.000"/>
    <d v="2022-09-11T00:00:00.000"/>
    <s v="12:59:38"/>
    <s v="https://twitter.com/serpens48/status/1568947376035090433"/>
    <m/>
    <m/>
    <s v="1568947376035090433"/>
    <s v="1568935128096976897"/>
    <b v="0"/>
    <n v="0"/>
    <s v="1565011876228087815"/>
    <b v="0"/>
    <s v="en"/>
    <m/>
    <s v=""/>
    <b v="0"/>
    <n v="0"/>
    <s v=""/>
    <s v="Twitter Web App"/>
    <b v="0"/>
    <s v="1568935128096976897"/>
    <s v="Tweet"/>
    <n v="0"/>
    <n v="0"/>
    <m/>
    <m/>
    <m/>
    <m/>
    <m/>
    <m/>
    <m/>
    <m/>
    <n v="1"/>
    <s v="52"/>
    <s v="52"/>
    <n v="0"/>
    <n v="0"/>
    <n v="0"/>
    <n v="0"/>
    <n v="0"/>
    <n v="0"/>
    <n v="40"/>
    <n v="100"/>
    <n v="40"/>
  </r>
  <r>
    <s v="genoisemile"/>
    <s v="brutionnepnm"/>
    <m/>
    <m/>
    <m/>
    <m/>
    <m/>
    <m/>
    <m/>
    <m/>
    <s v="No"/>
    <n v="138"/>
    <m/>
    <m/>
    <s v="Retweet"/>
    <x v="85"/>
    <s v="Les Etats-Unis réclament l'unité des Alliés contre la Russie ... Ou comment les Yankees demandent une guerre mondiale pour sauver leur économie d'obèse maladif ... #Ukraine #Russie #StandWithRussia _x000a_https://t.co/RUcNKpVGa2"/>
    <s v="https://www.lesechos.fr/monde/enjeux-internationaux/les-etats-unis-reclament-lunite-des-allies-contre-la-russie-1787144?xtor=CS4-6235"/>
    <s v="lesechos.fr"/>
    <s v="ukraine russie standwithrussia"/>
    <m/>
    <s v="https://pbs.twimg.com/profile_images/1567936250111221762/yooKi464_normal.jpg"/>
    <d v="2022-09-11T14:05:18.000"/>
    <d v="2022-09-11T00:00:00.000"/>
    <s v="14:05:18"/>
    <s v="https://twitter.com/genoisemile/status/1568963900116291584"/>
    <m/>
    <m/>
    <s v="1568963900116291584"/>
    <m/>
    <b v="0"/>
    <n v="0"/>
    <s v=""/>
    <b v="0"/>
    <s v="fr"/>
    <m/>
    <s v=""/>
    <b v="0"/>
    <n v="10"/>
    <s v="1568962631435952131"/>
    <s v="Twitter for Android"/>
    <b v="0"/>
    <s v="1568962631435952131"/>
    <s v="Tweet"/>
    <n v="0"/>
    <n v="0"/>
    <m/>
    <m/>
    <m/>
    <m/>
    <m/>
    <m/>
    <m/>
    <m/>
    <n v="1"/>
    <s v="7"/>
    <s v="7"/>
    <n v="0"/>
    <n v="0"/>
    <n v="0"/>
    <n v="0"/>
    <n v="0"/>
    <n v="0"/>
    <n v="27"/>
    <n v="100"/>
    <n v="27"/>
  </r>
  <r>
    <s v="reservoir_dogs8"/>
    <s v="dassenlaurens"/>
    <m/>
    <m/>
    <m/>
    <m/>
    <m/>
    <m/>
    <m/>
    <m/>
    <s v="No"/>
    <n v="139"/>
    <m/>
    <m/>
    <s v="Replies to"/>
    <x v="86"/>
    <s v="@DassenLaurens #StandWithRussia"/>
    <m/>
    <m/>
    <s v="standwithrussia"/>
    <m/>
    <s v="https://pbs.twimg.com/profile_images/1495462778240475136/aqiyN_O6_normal.jpg"/>
    <d v="2022-09-08T16:21:07.000"/>
    <d v="2022-09-08T00:00:00.000"/>
    <s v="16:21:07"/>
    <s v="https://twitter.com/reservoir_dogs8/status/1567910915068121091"/>
    <m/>
    <m/>
    <s v="1567910915068121091"/>
    <s v="1567759393382334464"/>
    <b v="0"/>
    <n v="0"/>
    <s v="1050373998587056128"/>
    <b v="0"/>
    <s v="und"/>
    <m/>
    <s v=""/>
    <b v="0"/>
    <n v="0"/>
    <s v=""/>
    <s v="Twitter for Android"/>
    <b v="0"/>
    <s v="1567759393382334464"/>
    <s v="Tweet"/>
    <n v="0"/>
    <n v="0"/>
    <m/>
    <m/>
    <m/>
    <m/>
    <m/>
    <m/>
    <m/>
    <m/>
    <n v="1"/>
    <s v="29"/>
    <s v="29"/>
    <n v="0"/>
    <n v="0"/>
    <n v="0"/>
    <n v="0"/>
    <n v="0"/>
    <n v="0"/>
    <n v="2"/>
    <n v="100"/>
    <n v="2"/>
  </r>
  <r>
    <s v="reservoir_dogs8"/>
    <s v="gertjansegers"/>
    <m/>
    <m/>
    <m/>
    <m/>
    <m/>
    <m/>
    <m/>
    <m/>
    <s v="No"/>
    <n v="140"/>
    <m/>
    <m/>
    <s v="Replies to"/>
    <x v="87"/>
    <s v="@gertjansegers Jij hebt bloed aan je handen! #StandWithRussia"/>
    <m/>
    <m/>
    <s v="standwithrussia"/>
    <m/>
    <s v="https://pbs.twimg.com/profile_images/1495462778240475136/aqiyN_O6_normal.jpg"/>
    <d v="2022-09-10T12:22:31.000"/>
    <d v="2022-09-10T00:00:00.000"/>
    <s v="12:22:31"/>
    <s v="https://twitter.com/reservoir_dogs8/status/1568575646254698501"/>
    <m/>
    <m/>
    <s v="1568575646254698501"/>
    <s v="1568562430397108224"/>
    <b v="0"/>
    <n v="1"/>
    <s v="119136331"/>
    <b v="0"/>
    <s v="nl"/>
    <m/>
    <s v=""/>
    <b v="0"/>
    <n v="0"/>
    <s v=""/>
    <s v="Twitter for Android"/>
    <b v="0"/>
    <s v="1568562430397108224"/>
    <s v="Tweet"/>
    <n v="0"/>
    <n v="0"/>
    <m/>
    <m/>
    <m/>
    <m/>
    <m/>
    <m/>
    <m/>
    <m/>
    <n v="1"/>
    <s v="29"/>
    <s v="29"/>
    <n v="0"/>
    <n v="0"/>
    <n v="0"/>
    <n v="0"/>
    <n v="0"/>
    <n v="0"/>
    <n v="8"/>
    <n v="100"/>
    <n v="8"/>
  </r>
  <r>
    <s v="reservoir_dogs8"/>
    <s v="cjbjcjbj"/>
    <m/>
    <m/>
    <m/>
    <m/>
    <m/>
    <m/>
    <m/>
    <m/>
    <s v="No"/>
    <n v="141"/>
    <m/>
    <m/>
    <s v="Replies to"/>
    <x v="88"/>
    <s v="@cjbjcjbj #StandWithRussia"/>
    <m/>
    <m/>
    <s v="standwithrussia"/>
    <m/>
    <s v="https://pbs.twimg.com/profile_images/1495462778240475136/aqiyN_O6_normal.jpg"/>
    <d v="2022-09-11T14:36:36.000"/>
    <d v="2022-09-11T00:00:00.000"/>
    <s v="14:36:36"/>
    <s v="https://twitter.com/reservoir_dogs8/status/1568971775870115841"/>
    <m/>
    <m/>
    <s v="1568971775870115841"/>
    <s v="1568936848759869440"/>
    <b v="0"/>
    <n v="3"/>
    <s v="20004999"/>
    <b v="0"/>
    <s v="und"/>
    <m/>
    <s v=""/>
    <b v="0"/>
    <n v="0"/>
    <s v=""/>
    <s v="Twitter for Android"/>
    <b v="0"/>
    <s v="1568936848759869440"/>
    <s v="Tweet"/>
    <n v="0"/>
    <n v="0"/>
    <m/>
    <m/>
    <m/>
    <m/>
    <m/>
    <m/>
    <m/>
    <m/>
    <n v="1"/>
    <s v="29"/>
    <s v="29"/>
    <n v="0"/>
    <n v="0"/>
    <n v="0"/>
    <n v="0"/>
    <n v="0"/>
    <n v="0"/>
    <n v="2"/>
    <n v="100"/>
    <n v="2"/>
  </r>
  <r>
    <s v="patricialcq"/>
    <s v="brutionnepnm"/>
    <m/>
    <m/>
    <m/>
    <m/>
    <m/>
    <m/>
    <m/>
    <m/>
    <s v="No"/>
    <n v="142"/>
    <m/>
    <m/>
    <s v="Retweet"/>
    <x v="89"/>
    <s v="Les Etats-Unis réclament l'unité des Alliés contre la Russie ... Ou comment les Yankees demandent une guerre mondiale pour sauver leur économie d'obèse maladif ... #Ukraine #Russie #StandWithRussia _x000a_https://t.co/RUcNKpVGa2"/>
    <s v="https://www.lesechos.fr/monde/enjeux-internationaux/les-etats-unis-reclament-lunite-des-allies-contre-la-russie-1787144?xtor=CS4-6235"/>
    <s v="lesechos.fr"/>
    <s v="ukraine russie standwithrussia"/>
    <m/>
    <s v="https://pbs.twimg.com/profile_images/1459825612328210437/u88l91HM_normal.png"/>
    <d v="2022-09-11T16:58:38.000"/>
    <d v="2022-09-11T00:00:00.000"/>
    <s v="16:58:38"/>
    <s v="https://twitter.com/patricialcq/status/1569007523147010048"/>
    <m/>
    <m/>
    <s v="1569007523147010048"/>
    <m/>
    <b v="0"/>
    <n v="0"/>
    <s v=""/>
    <b v="0"/>
    <s v="fr"/>
    <m/>
    <s v=""/>
    <b v="0"/>
    <n v="10"/>
    <s v="1568962631435952131"/>
    <s v="Twitter for iPhone"/>
    <b v="0"/>
    <s v="1568962631435952131"/>
    <s v="Tweet"/>
    <n v="0"/>
    <n v="0"/>
    <m/>
    <m/>
    <m/>
    <m/>
    <m/>
    <m/>
    <m/>
    <m/>
    <n v="1"/>
    <s v="7"/>
    <s v="7"/>
    <n v="0"/>
    <n v="0"/>
    <n v="0"/>
    <n v="0"/>
    <n v="0"/>
    <n v="0"/>
    <n v="27"/>
    <n v="100"/>
    <n v="27"/>
  </r>
  <r>
    <s v="kakukktakukta"/>
    <s v="jensstoltenberg"/>
    <m/>
    <m/>
    <m/>
    <m/>
    <m/>
    <m/>
    <m/>
    <m/>
    <s v="No"/>
    <n v="143"/>
    <m/>
    <m/>
    <s v="Mentions"/>
    <x v="90"/>
    <s v="@NATOpress @JHahnEU @jensstoltenberg #StandWithRussia_x000a__x000a_NATO!   GET OUT FROM HUNGARY! https://t.co/YXhICE4rIp"/>
    <m/>
    <m/>
    <s v="standwithrussia"/>
    <s v="https://pbs.twimg.com/media/FcYbUwDX0AAdpGE.jpg"/>
    <s v="https://pbs.twimg.com/media/FcYbUwDX0AAdpGE.jpg"/>
    <d v="2022-09-11T14:35:49.000"/>
    <d v="2022-09-11T00:00:00.000"/>
    <s v="14:35:49"/>
    <s v="https://twitter.com/kakukktakukta/status/1568971578653671425"/>
    <m/>
    <m/>
    <s v="1568971578653671425"/>
    <s v="1568629225674113025"/>
    <b v="0"/>
    <n v="0"/>
    <s v="124418093"/>
    <b v="0"/>
    <s v="en"/>
    <m/>
    <s v=""/>
    <b v="0"/>
    <n v="0"/>
    <s v=""/>
    <s v="Twitter Web App"/>
    <b v="0"/>
    <s v="1568629225674113025"/>
    <s v="Tweet"/>
    <n v="0"/>
    <n v="0"/>
    <m/>
    <m/>
    <m/>
    <m/>
    <m/>
    <m/>
    <m/>
    <m/>
    <n v="1"/>
    <s v="9"/>
    <s v="9"/>
    <m/>
    <m/>
    <m/>
    <m/>
    <m/>
    <m/>
    <m/>
    <m/>
    <m/>
  </r>
  <r>
    <s v="kakukktakukta"/>
    <s v="jhahneu"/>
    <m/>
    <m/>
    <m/>
    <m/>
    <m/>
    <m/>
    <m/>
    <m/>
    <s v="No"/>
    <n v="145"/>
    <m/>
    <m/>
    <s v="Mentions"/>
    <x v="91"/>
    <s v="@EU_Commission @JHahnEU We #StandWithRussia and democracy over autocracy of Brussels-Washington https://t.co/mQtl401mFA"/>
    <m/>
    <m/>
    <s v="standwithrussia"/>
    <s v="https://pbs.twimg.com/media/FcYaewQXoAEXrIZ.jpg"/>
    <s v="https://pbs.twimg.com/media/FcYaewQXoAEXrIZ.jpg"/>
    <d v="2022-09-11T14:32:07.000"/>
    <d v="2022-09-11T00:00:00.000"/>
    <s v="14:32:07"/>
    <s v="https://twitter.com/kakukktakukta/status/1568970647816085505"/>
    <m/>
    <m/>
    <s v="1568970647816085505"/>
    <s v="1568508162357035008"/>
    <b v="0"/>
    <n v="0"/>
    <s v="157981564"/>
    <b v="0"/>
    <s v="en"/>
    <m/>
    <s v=""/>
    <b v="0"/>
    <n v="0"/>
    <s v=""/>
    <s v="Twitter Web App"/>
    <b v="0"/>
    <s v="1568508162357035008"/>
    <s v="Tweet"/>
    <n v="0"/>
    <n v="0"/>
    <m/>
    <m/>
    <m/>
    <m/>
    <m/>
    <m/>
    <m/>
    <m/>
    <n v="3"/>
    <s v="9"/>
    <s v="9"/>
    <m/>
    <m/>
    <m/>
    <m/>
    <m/>
    <m/>
    <m/>
    <m/>
    <m/>
  </r>
  <r>
    <s v="kakukktakukta"/>
    <s v="jhahneu"/>
    <m/>
    <m/>
    <m/>
    <m/>
    <m/>
    <m/>
    <m/>
    <m/>
    <s v="No"/>
    <n v="147"/>
    <m/>
    <m/>
    <s v="Mentions"/>
    <x v="92"/>
    <s v="@vonderleyen @JHahnEU #StandWithRussia_x000a__x000a_NATO!   GET OUT FROM HUNGARY! https://t.co/VcHl86DpJu"/>
    <m/>
    <m/>
    <s v="standwithrussia"/>
    <s v="https://pbs.twimg.com/media/FcYbktPXgAMg9Ax.jpg"/>
    <s v="https://pbs.twimg.com/media/FcYbktPXgAMg9Ax.jpg"/>
    <d v="2022-09-11T14:36:55.000"/>
    <d v="2022-09-11T00:00:00.000"/>
    <s v="14:36:55"/>
    <s v="https://twitter.com/kakukktakukta/status/1568971856790568961"/>
    <m/>
    <m/>
    <s v="1568971856790568961"/>
    <s v="1568919229176365056"/>
    <b v="0"/>
    <n v="1"/>
    <s v="1146329871418843136"/>
    <b v="0"/>
    <s v="en"/>
    <m/>
    <s v=""/>
    <b v="0"/>
    <n v="0"/>
    <s v=""/>
    <s v="Twitter Web App"/>
    <b v="0"/>
    <s v="1568919229176365056"/>
    <s v="Tweet"/>
    <n v="0"/>
    <n v="0"/>
    <m/>
    <m/>
    <m/>
    <m/>
    <m/>
    <m/>
    <m/>
    <m/>
    <n v="3"/>
    <s v="9"/>
    <s v="9"/>
    <n v="0"/>
    <n v="0"/>
    <n v="0"/>
    <n v="0"/>
    <n v="0"/>
    <n v="0"/>
    <n v="8"/>
    <n v="100"/>
    <n v="8"/>
  </r>
  <r>
    <s v="kakukktakukta"/>
    <s v="mhmck"/>
    <m/>
    <m/>
    <m/>
    <m/>
    <m/>
    <m/>
    <m/>
    <m/>
    <s v="No"/>
    <n v="148"/>
    <m/>
    <m/>
    <s v="Replies to"/>
    <x v="93"/>
    <s v="@mhmck @general_ben #StandWithRussia from Hungary https://t.co/fBzOEdNot8"/>
    <m/>
    <m/>
    <s v="standwithrussia"/>
    <s v="https://pbs.twimg.com/media/FcZAk4PXEAIrHGL.jpg"/>
    <s v="https://pbs.twimg.com/media/FcZAk4PXEAIrHGL.jpg"/>
    <d v="2022-09-11T17:18:34.000"/>
    <d v="2022-09-11T00:00:00.000"/>
    <s v="17:18:34"/>
    <s v="https://twitter.com/kakukktakukta/status/1569012536678256640"/>
    <m/>
    <m/>
    <s v="1569012536678256640"/>
    <s v="1568623664089661440"/>
    <b v="0"/>
    <n v="2"/>
    <s v="2415072836"/>
    <b v="0"/>
    <s v="en"/>
    <m/>
    <s v=""/>
    <b v="0"/>
    <n v="0"/>
    <s v=""/>
    <s v="Twitter Web App"/>
    <b v="0"/>
    <s v="1568623664089661440"/>
    <s v="Tweet"/>
    <n v="0"/>
    <n v="0"/>
    <m/>
    <m/>
    <m/>
    <m/>
    <m/>
    <m/>
    <m/>
    <m/>
    <n v="1"/>
    <s v="9"/>
    <s v="9"/>
    <m/>
    <m/>
    <m/>
    <m/>
    <m/>
    <m/>
    <m/>
    <m/>
    <m/>
  </r>
  <r>
    <s v="kakukktakukta"/>
    <s v="general_ben"/>
    <m/>
    <m/>
    <m/>
    <m/>
    <m/>
    <m/>
    <m/>
    <m/>
    <s v="No"/>
    <n v="150"/>
    <m/>
    <m/>
    <s v="Mentions"/>
    <x v="94"/>
    <s v="@meiselasb @general_ben #StandWithRussia from Hungary https://t.co/Lc0IufFZg3"/>
    <m/>
    <m/>
    <s v="standwithrussia"/>
    <s v="https://pbs.twimg.com/media/FcZArrDXEAAEzjK.jpg"/>
    <s v="https://pbs.twimg.com/media/FcZArrDXEAAEzjK.jpg"/>
    <d v="2022-09-11T17:19:01.000"/>
    <d v="2022-09-11T00:00:00.000"/>
    <s v="17:19:01"/>
    <s v="https://twitter.com/kakukktakukta/status/1569012650608136192"/>
    <m/>
    <m/>
    <s v="1569012650608136192"/>
    <s v="1568802178177060867"/>
    <b v="0"/>
    <n v="0"/>
    <s v="28745526"/>
    <b v="0"/>
    <s v="en"/>
    <m/>
    <s v=""/>
    <b v="0"/>
    <n v="0"/>
    <s v=""/>
    <s v="Twitter Web App"/>
    <b v="0"/>
    <s v="1568802178177060867"/>
    <s v="Tweet"/>
    <n v="0"/>
    <n v="0"/>
    <m/>
    <m/>
    <m/>
    <m/>
    <m/>
    <m/>
    <m/>
    <m/>
    <n v="2"/>
    <s v="9"/>
    <s v="9"/>
    <m/>
    <m/>
    <m/>
    <m/>
    <m/>
    <m/>
    <m/>
    <m/>
    <m/>
  </r>
  <r>
    <s v="kakukktakukta"/>
    <s v="kakukktakukta"/>
    <m/>
    <m/>
    <m/>
    <m/>
    <m/>
    <m/>
    <m/>
    <m/>
    <s v="No"/>
    <n v="152"/>
    <m/>
    <m/>
    <s v="Tweet"/>
    <x v="95"/>
    <s v="We #StandWithRussia and democracy over autocracy of Brussels-Washington https://t.co/oEroeVApid"/>
    <m/>
    <m/>
    <s v="standwithrussia"/>
    <s v="https://pbs.twimg.com/media/FcYaa-2XkAEFimw.jpg"/>
    <s v="https://pbs.twimg.com/media/FcYaa-2XkAEFimw.jpg"/>
    <d v="2022-09-11T14:31:52.000"/>
    <d v="2022-09-11T00:00:00.000"/>
    <s v="14:31:52"/>
    <s v="https://twitter.com/kakukktakukta/status/1568970586373910530"/>
    <m/>
    <m/>
    <s v="1568970586373910530"/>
    <s v="1499804737725775879"/>
    <b v="0"/>
    <n v="1"/>
    <s v="213410859"/>
    <b v="0"/>
    <s v="en"/>
    <m/>
    <s v=""/>
    <b v="0"/>
    <n v="0"/>
    <s v=""/>
    <s v="Twitter Web App"/>
    <b v="0"/>
    <s v="1499804737725775879"/>
    <s v="Tweet"/>
    <n v="0"/>
    <n v="0"/>
    <m/>
    <m/>
    <m/>
    <m/>
    <m/>
    <m/>
    <m/>
    <m/>
    <n v="1"/>
    <s v="9"/>
    <s v="9"/>
    <n v="0"/>
    <n v="0"/>
    <n v="0"/>
    <n v="0"/>
    <n v="0"/>
    <n v="0"/>
    <n v="9"/>
    <n v="100"/>
    <n v="9"/>
  </r>
  <r>
    <s v="carlistjc"/>
    <s v="brutionnepnm"/>
    <m/>
    <m/>
    <m/>
    <m/>
    <m/>
    <m/>
    <m/>
    <m/>
    <s v="No"/>
    <n v="155"/>
    <m/>
    <m/>
    <s v="Retweet"/>
    <x v="96"/>
    <s v="Les Etats-Unis réclament l'unité des Alliés contre la Russie ... Ou comment les Yankees demandent une guerre mondiale pour sauver leur économie d'obèse maladif ... #Ukraine #Russie #StandWithRussia _x000a_https://t.co/RUcNKpVGa2"/>
    <s v="https://www.lesechos.fr/monde/enjeux-internationaux/les-etats-unis-reclament-lunite-des-allies-contre-la-russie-1787144?xtor=CS4-6235"/>
    <s v="lesechos.fr"/>
    <s v="ukraine russie standwithrussia"/>
    <m/>
    <s v="https://pbs.twimg.com/profile_images/1520408393265074176/vW9q5Oxl_normal.jpg"/>
    <d v="2022-09-11T17:47:18.000"/>
    <d v="2022-09-11T00:00:00.000"/>
    <s v="17:47:18"/>
    <s v="https://twitter.com/carlistjc/status/1569019768417538050"/>
    <m/>
    <m/>
    <s v="1569019768417538050"/>
    <m/>
    <b v="0"/>
    <n v="0"/>
    <s v=""/>
    <b v="0"/>
    <s v="fr"/>
    <m/>
    <s v=""/>
    <b v="0"/>
    <n v="10"/>
    <s v="1568962631435952131"/>
    <s v="Twitter for Android"/>
    <b v="0"/>
    <s v="1568962631435952131"/>
    <s v="Tweet"/>
    <n v="0"/>
    <n v="0"/>
    <m/>
    <m/>
    <m/>
    <m/>
    <m/>
    <m/>
    <m/>
    <m/>
    <n v="1"/>
    <s v="7"/>
    <s v="7"/>
    <n v="0"/>
    <n v="0"/>
    <n v="0"/>
    <n v="0"/>
    <n v="0"/>
    <n v="0"/>
    <n v="27"/>
    <n v="100"/>
    <n v="27"/>
  </r>
  <r>
    <s v="ogach_69"/>
    <s v="brutionnepnm"/>
    <m/>
    <m/>
    <m/>
    <m/>
    <m/>
    <m/>
    <m/>
    <m/>
    <s v="No"/>
    <n v="156"/>
    <m/>
    <m/>
    <s v="Retweet"/>
    <x v="97"/>
    <s v="Les Etats-Unis réclament l'unité des Alliés contre la Russie ... Ou comment les Yankees demandent une guerre mondiale pour sauver leur économie d'obèse maladif ... #Ukraine #Russie #StandWithRussia _x000a_https://t.co/RUcNKpVGa2"/>
    <s v="https://www.lesechos.fr/monde/enjeux-internationaux/les-etats-unis-reclament-lunite-des-allies-contre-la-russie-1787144?xtor=CS4-6235"/>
    <s v="lesechos.fr"/>
    <s v="ukraine russie standwithrussia"/>
    <m/>
    <s v="https://pbs.twimg.com/profile_images/1510599865126072329/tqpg6AR6_normal.jpg"/>
    <d v="2022-09-11T17:53:47.000"/>
    <d v="2022-09-11T00:00:00.000"/>
    <s v="17:53:47"/>
    <s v="https://twitter.com/ogach_69/status/1569021400350101506"/>
    <m/>
    <m/>
    <s v="1569021400350101506"/>
    <m/>
    <b v="0"/>
    <n v="0"/>
    <s v=""/>
    <b v="0"/>
    <s v="fr"/>
    <m/>
    <s v=""/>
    <b v="0"/>
    <n v="10"/>
    <s v="1568962631435952131"/>
    <s v="Twitter for iPhone"/>
    <b v="0"/>
    <s v="1568962631435952131"/>
    <s v="Tweet"/>
    <n v="0"/>
    <n v="0"/>
    <m/>
    <m/>
    <m/>
    <m/>
    <m/>
    <m/>
    <m/>
    <m/>
    <n v="1"/>
    <s v="7"/>
    <s v="7"/>
    <n v="0"/>
    <n v="0"/>
    <n v="0"/>
    <n v="0"/>
    <n v="0"/>
    <n v="0"/>
    <n v="27"/>
    <n v="100"/>
    <n v="27"/>
  </r>
  <r>
    <s v="ancient_caxotte"/>
    <s v="brutionnepnm"/>
    <m/>
    <m/>
    <m/>
    <m/>
    <m/>
    <m/>
    <m/>
    <m/>
    <s v="No"/>
    <n v="157"/>
    <m/>
    <m/>
    <s v="Retweet"/>
    <x v="98"/>
    <s v="Les Etats-Unis réclament l'unité des Alliés contre la Russie ... Ou comment les Yankees demandent une guerre mondiale pour sauver leur économie d'obèse maladif ... #Ukraine #Russie #StandWithRussia _x000a_https://t.co/RUcNKpVGa2"/>
    <s v="https://www.lesechos.fr/monde/enjeux-internationaux/les-etats-unis-reclament-lunite-des-allies-contre-la-russie-1787144?xtor=CS4-6235"/>
    <s v="lesechos.fr"/>
    <s v="ukraine russie standwithrussia"/>
    <m/>
    <s v="https://pbs.twimg.com/profile_images/1566369161697271810/aFN9Snll_normal.jpg"/>
    <d v="2022-09-11T17:56:39.000"/>
    <d v="2022-09-11T00:00:00.000"/>
    <s v="17:56:39"/>
    <s v="https://twitter.com/ancient_caxotte/status/1569022120654475264"/>
    <m/>
    <m/>
    <s v="1569022120654475264"/>
    <m/>
    <b v="0"/>
    <n v="0"/>
    <s v=""/>
    <b v="0"/>
    <s v="fr"/>
    <m/>
    <s v=""/>
    <b v="0"/>
    <n v="10"/>
    <s v="1568962631435952131"/>
    <s v="Twitter Web App"/>
    <b v="0"/>
    <s v="1568962631435952131"/>
    <s v="Tweet"/>
    <n v="0"/>
    <n v="0"/>
    <m/>
    <m/>
    <m/>
    <m/>
    <m/>
    <m/>
    <m/>
    <m/>
    <n v="1"/>
    <s v="7"/>
    <s v="7"/>
    <n v="0"/>
    <n v="0"/>
    <n v="0"/>
    <n v="0"/>
    <n v="0"/>
    <n v="0"/>
    <n v="27"/>
    <n v="100"/>
    <n v="27"/>
  </r>
  <r>
    <s v="bretag_romantiq"/>
    <s v="brutionnepnm"/>
    <m/>
    <m/>
    <m/>
    <m/>
    <m/>
    <m/>
    <m/>
    <m/>
    <s v="No"/>
    <n v="158"/>
    <m/>
    <m/>
    <s v="Retweet"/>
    <x v="99"/>
    <s v="Les Etats-Unis réclament l'unité des Alliés contre la Russie ... Ou comment les Yankees demandent une guerre mondiale pour sauver leur économie d'obèse maladif ... #Ukraine #Russie #StandWithRussia _x000a_https://t.co/RUcNKpVGa2"/>
    <s v="https://www.lesechos.fr/monde/enjeux-internationaux/les-etats-unis-reclament-lunite-des-allies-contre-la-russie-1787144?xtor=CS4-6235"/>
    <s v="lesechos.fr"/>
    <s v="ukraine russie standwithrussia"/>
    <m/>
    <s v="https://pbs.twimg.com/profile_images/1211863236569686018/G2GGjEGf_normal.jpg"/>
    <d v="2022-09-11T17:59:25.000"/>
    <d v="2022-09-11T00:00:00.000"/>
    <s v="17:59:25"/>
    <s v="https://twitter.com/bretag_romantiq/status/1569022819136053248"/>
    <m/>
    <m/>
    <s v="1569022819136053248"/>
    <m/>
    <b v="0"/>
    <n v="0"/>
    <s v=""/>
    <b v="0"/>
    <s v="fr"/>
    <m/>
    <s v=""/>
    <b v="0"/>
    <n v="10"/>
    <s v="1568962631435952131"/>
    <s v="Twitter for iPhone"/>
    <b v="0"/>
    <s v="1568962631435952131"/>
    <s v="Tweet"/>
    <n v="0"/>
    <n v="0"/>
    <m/>
    <m/>
    <m/>
    <m/>
    <m/>
    <m/>
    <m/>
    <m/>
    <n v="1"/>
    <s v="7"/>
    <s v="7"/>
    <n v="0"/>
    <n v="0"/>
    <n v="0"/>
    <n v="0"/>
    <n v="0"/>
    <n v="0"/>
    <n v="27"/>
    <n v="100"/>
    <n v="27"/>
  </r>
  <r>
    <s v="marcvin40543445"/>
    <s v="brutionnepnm"/>
    <m/>
    <m/>
    <m/>
    <m/>
    <m/>
    <m/>
    <m/>
    <m/>
    <s v="No"/>
    <n v="159"/>
    <m/>
    <m/>
    <s v="Retweet"/>
    <x v="100"/>
    <s v="Les Etats-Unis réclament l'unité des Alliés contre la Russie ... Ou comment les Yankees demandent une guerre mondiale pour sauver leur économie d'obèse maladif ... #Ukraine #Russie #StandWithRussia _x000a_https://t.co/RUcNKpVGa2"/>
    <s v="https://www.lesechos.fr/monde/enjeux-internationaux/les-etats-unis-reclament-lunite-des-allies-contre-la-russie-1787144?xtor=CS4-6235"/>
    <s v="lesechos.fr"/>
    <s v="ukraine russie standwithrussia"/>
    <m/>
    <s v="https://pbs.twimg.com/profile_images/1535530694344056832/Kwb1wGFw_normal.jpg"/>
    <d v="2022-09-11T17:59:50.000"/>
    <d v="2022-09-11T00:00:00.000"/>
    <s v="17:59:50"/>
    <s v="https://twitter.com/marcvin40543445/status/1569022921695285256"/>
    <m/>
    <m/>
    <s v="1569022921695285256"/>
    <m/>
    <b v="0"/>
    <n v="0"/>
    <s v=""/>
    <b v="0"/>
    <s v="fr"/>
    <m/>
    <s v=""/>
    <b v="0"/>
    <n v="10"/>
    <s v="1568962631435952131"/>
    <s v="Twitter for iPad"/>
    <b v="0"/>
    <s v="1568962631435952131"/>
    <s v="Tweet"/>
    <n v="0"/>
    <n v="0"/>
    <m/>
    <m/>
    <m/>
    <m/>
    <m/>
    <m/>
    <m/>
    <m/>
    <n v="1"/>
    <s v="7"/>
    <s v="7"/>
    <n v="0"/>
    <n v="0"/>
    <n v="0"/>
    <n v="0"/>
    <n v="0"/>
    <n v="0"/>
    <n v="27"/>
    <n v="100"/>
    <n v="27"/>
  </r>
  <r>
    <s v="gospodinnebojsa"/>
    <s v="jabalmiza"/>
    <m/>
    <m/>
    <m/>
    <m/>
    <m/>
    <m/>
    <m/>
    <m/>
    <s v="No"/>
    <n v="160"/>
    <m/>
    <m/>
    <s v="Retweet"/>
    <x v="101"/>
    <s v="@moveebuff1953 Yes...sim..oui_x000a_#ZelenskyWarCriminal _x000a_#StopZelensky_x000a_#StopNaziUkraine_x000a_#UsaEvilEmpire_x000a_#StandWithRussia _x000a_#WeStandWithRussia"/>
    <m/>
    <m/>
    <s v="zelenskywarcriminal stopzelensky stopnaziukraine usaevilempire standwithrussia westandwithrussia"/>
    <m/>
    <s v="https://pbs.twimg.com/profile_images/1182403956175245322/ppwvxDE6_normal.jpg"/>
    <d v="2022-09-11T18:04:14.000"/>
    <d v="2022-09-11T00:00:00.000"/>
    <s v="18:04:14"/>
    <s v="https://twitter.com/gospodinnebojsa/status/1569024030425944065"/>
    <m/>
    <m/>
    <s v="1569024030425944065"/>
    <m/>
    <b v="0"/>
    <n v="0"/>
    <s v=""/>
    <b v="0"/>
    <s v="en"/>
    <m/>
    <s v=""/>
    <b v="0"/>
    <n v="1"/>
    <s v="1566541838957387777"/>
    <s v="Twitter Web App"/>
    <b v="0"/>
    <s v="1566541838957387777"/>
    <s v="Tweet"/>
    <n v="0"/>
    <n v="0"/>
    <m/>
    <m/>
    <m/>
    <m/>
    <m/>
    <m/>
    <m/>
    <m/>
    <n v="1"/>
    <s v="4"/>
    <s v="4"/>
    <m/>
    <m/>
    <m/>
    <m/>
    <m/>
    <m/>
    <m/>
    <m/>
    <m/>
  </r>
  <r>
    <s v="jfaix13"/>
    <s v="brutionnepnm"/>
    <m/>
    <m/>
    <m/>
    <m/>
    <m/>
    <m/>
    <m/>
    <m/>
    <s v="No"/>
    <n v="162"/>
    <m/>
    <m/>
    <s v="Retweet"/>
    <x v="102"/>
    <s v="Les Etats-Unis réclament l'unité des Alliés contre la Russie ... Ou comment les Yankees demandent une guerre mondiale pour sauver leur économie d'obèse maladif ... #Ukraine #Russie #StandWithRussia _x000a_https://t.co/RUcNKpVGa2"/>
    <s v="https://www.lesechos.fr/monde/enjeux-internationaux/les-etats-unis-reclament-lunite-des-allies-contre-la-russie-1787144?xtor=CS4-6235"/>
    <s v="lesechos.fr"/>
    <s v="ukraine russie standwithrussia"/>
    <m/>
    <s v="https://pbs.twimg.com/profile_images/1560940207804977158/d2xhjQoG_normal.jpg"/>
    <d v="2022-09-11T18:23:01.000"/>
    <d v="2022-09-11T00:00:00.000"/>
    <s v="18:23:01"/>
    <s v="https://twitter.com/jfaix13/status/1569028756265930754"/>
    <m/>
    <m/>
    <s v="1569028756265930754"/>
    <m/>
    <b v="0"/>
    <n v="0"/>
    <s v=""/>
    <b v="0"/>
    <s v="fr"/>
    <m/>
    <s v=""/>
    <b v="0"/>
    <n v="10"/>
    <s v="1568962631435952131"/>
    <s v="Twitter for iPhone"/>
    <b v="0"/>
    <s v="1568962631435952131"/>
    <s v="Tweet"/>
    <n v="0"/>
    <n v="0"/>
    <m/>
    <m/>
    <m/>
    <m/>
    <m/>
    <m/>
    <m/>
    <m/>
    <n v="1"/>
    <s v="7"/>
    <s v="7"/>
    <n v="0"/>
    <n v="0"/>
    <n v="0"/>
    <n v="0"/>
    <n v="0"/>
    <n v="0"/>
    <n v="27"/>
    <n v="100"/>
    <n v="27"/>
  </r>
  <r>
    <s v="ophiuse"/>
    <s v="brutionnepnm"/>
    <m/>
    <m/>
    <m/>
    <m/>
    <m/>
    <m/>
    <m/>
    <m/>
    <s v="No"/>
    <n v="163"/>
    <m/>
    <m/>
    <s v="Retweet"/>
    <x v="103"/>
    <s v="Les Etats-Unis réclament l'unité des Alliés contre la Russie ... Ou comment les Yankees demandent une guerre mondiale pour sauver leur économie d'obèse maladif ... #Ukraine #Russie #StandWithRussia _x000a_https://t.co/RUcNKpVGa2"/>
    <s v="https://www.lesechos.fr/monde/enjeux-internationaux/les-etats-unis-reclament-lunite-des-allies-contre-la-russie-1787144?xtor=CS4-6235"/>
    <s v="lesechos.fr"/>
    <s v="ukraine russie standwithrussia"/>
    <m/>
    <s v="https://pbs.twimg.com/profile_images/554217681268662272/I8KaAJ92_normal.jpeg"/>
    <d v="2022-09-11T18:31:00.000"/>
    <d v="2022-09-11T00:00:00.000"/>
    <s v="18:31:00"/>
    <s v="https://twitter.com/ophiuse/status/1569030766364950528"/>
    <m/>
    <m/>
    <s v="1569030766364950528"/>
    <m/>
    <b v="0"/>
    <n v="0"/>
    <s v=""/>
    <b v="0"/>
    <s v="fr"/>
    <m/>
    <s v=""/>
    <b v="0"/>
    <n v="10"/>
    <s v="1568962631435952131"/>
    <s v="Twitter for Android"/>
    <b v="0"/>
    <s v="1568962631435952131"/>
    <s v="Tweet"/>
    <n v="0"/>
    <n v="0"/>
    <m/>
    <m/>
    <m/>
    <m/>
    <m/>
    <m/>
    <m/>
    <m/>
    <n v="1"/>
    <s v="7"/>
    <s v="7"/>
    <n v="0"/>
    <n v="0"/>
    <n v="0"/>
    <n v="0"/>
    <n v="0"/>
    <n v="0"/>
    <n v="27"/>
    <n v="100"/>
    <n v="27"/>
  </r>
  <r>
    <s v="brutionnepnm"/>
    <s v="emmanuelmacron"/>
    <m/>
    <m/>
    <m/>
    <m/>
    <m/>
    <m/>
    <m/>
    <m/>
    <s v="No"/>
    <n v="164"/>
    <m/>
    <m/>
    <s v="Mentions"/>
    <x v="104"/>
    <s v="@ZelenskyyUa @EmmanuelMacron Farewell and go to hell puppet of Satan ! #StandWithRussia #StandWithPutin #StandWithSyria #StandWithAssad #Zelensky VS #Assad https://t.co/CXl3Q2R9zD"/>
    <m/>
    <m/>
    <s v="standwithrussia standwithputin standwithsyria standwithassad zelensky assad"/>
    <s v="https://pbs.twimg.com/media/FcUES4iXgAAbkOA.png"/>
    <s v="https://pbs.twimg.com/media/FcUES4iXgAAbkOA.png"/>
    <d v="2022-09-10T18:21:30.000"/>
    <d v="2022-09-10T00:00:00.000"/>
    <s v="18:21:30"/>
    <s v="https://twitter.com/brutionnepnm/status/1568665988467687424"/>
    <m/>
    <m/>
    <s v="1568665988467687424"/>
    <s v="1568608679871537153"/>
    <b v="0"/>
    <n v="0"/>
    <s v="1120633726478823425"/>
    <b v="0"/>
    <s v="en"/>
    <m/>
    <s v=""/>
    <b v="0"/>
    <n v="0"/>
    <s v=""/>
    <s v="Twitter Web App"/>
    <b v="0"/>
    <s v="1568608679871537153"/>
    <s v="Tweet"/>
    <n v="0"/>
    <n v="0"/>
    <m/>
    <m/>
    <m/>
    <m/>
    <m/>
    <m/>
    <m/>
    <m/>
    <n v="1"/>
    <s v="7"/>
    <s v="1"/>
    <m/>
    <m/>
    <m/>
    <m/>
    <m/>
    <m/>
    <m/>
    <m/>
    <m/>
  </r>
  <r>
    <s v="brutionnepnm"/>
    <s v="brutionnepnm"/>
    <m/>
    <m/>
    <m/>
    <m/>
    <m/>
    <m/>
    <m/>
    <m/>
    <s v="No"/>
    <n v="166"/>
    <m/>
    <m/>
    <s v="Tweet"/>
    <x v="105"/>
    <s v="Farewell and go to hell puppet of Satan ! #StandWithRussia #StandWithPutin #StandWithSyria #StandWithAssad #Zelensky VS #Assad https://t.co/CXzQFdlglD https://t.co/8PbYTq7j9u"/>
    <s v="https://twitter.com/ZelenskyyUa/status/1568608679871537153"/>
    <s v="twitter.com"/>
    <s v="standwithrussia standwithputin standwithsyria standwithassad zelensky assad"/>
    <s v="https://pbs.twimg.com/media/FcUFhlQXwAI28X9.png"/>
    <s v="https://pbs.twimg.com/media/FcUFhlQXwAI28X9.png"/>
    <d v="2022-09-10T18:22:47.000"/>
    <d v="2022-09-10T00:00:00.000"/>
    <s v="18:22:47"/>
    <s v="https://twitter.com/brutionnepnm/status/1568666310342500358"/>
    <m/>
    <m/>
    <s v="1568666310342500358"/>
    <m/>
    <b v="0"/>
    <n v="0"/>
    <s v=""/>
    <b v="1"/>
    <s v="en"/>
    <m/>
    <s v="1568608679871537153"/>
    <b v="0"/>
    <n v="0"/>
    <s v=""/>
    <s v="Twitter Web App"/>
    <b v="0"/>
    <s v="1568666310342500358"/>
    <s v="Tweet"/>
    <n v="0"/>
    <n v="0"/>
    <m/>
    <m/>
    <m/>
    <m/>
    <m/>
    <m/>
    <m/>
    <m/>
    <n v="2"/>
    <s v="7"/>
    <s v="7"/>
    <n v="0"/>
    <n v="0"/>
    <n v="2"/>
    <n v="13.333333333333334"/>
    <n v="0"/>
    <n v="0"/>
    <n v="13"/>
    <n v="86.66666666666667"/>
    <n v="15"/>
  </r>
  <r>
    <s v="brutionnepnm"/>
    <s v="brutionnepnm"/>
    <m/>
    <m/>
    <m/>
    <m/>
    <m/>
    <m/>
    <m/>
    <m/>
    <s v="No"/>
    <n v="167"/>
    <m/>
    <m/>
    <s v="Tweet"/>
    <x v="106"/>
    <s v="Les Etats-Unis réclament l'unité des Alliés contre la Russie ... Ou comment les Yankees demandent une guerre mondiale pour sauver leur économie d'obèse maladif ... #Ukraine #Russie #StandWithRussia _x000a_https://t.co/RUcNKpVGa2"/>
    <s v="https://www.lesechos.fr/monde/enjeux-internationaux/les-etats-unis-reclament-lunite-des-allies-contre-la-russie-1787144?xtor=CS4-6235"/>
    <s v="lesechos.fr"/>
    <s v="ukraine russie standwithrussia"/>
    <m/>
    <s v="https://pbs.twimg.com/profile_images/1564567919417298946/6MJU1pFB_normal.jpg"/>
    <d v="2022-09-11T14:00:15.000"/>
    <d v="2022-09-11T00:00:00.000"/>
    <s v="14:00:15"/>
    <s v="https://twitter.com/brutionnepnm/status/1568962631435952131"/>
    <m/>
    <m/>
    <s v="1568962631435952131"/>
    <m/>
    <b v="0"/>
    <n v="12"/>
    <s v=""/>
    <b v="0"/>
    <s v="fr"/>
    <m/>
    <s v=""/>
    <b v="0"/>
    <n v="10"/>
    <s v=""/>
    <s v="Twitter Web App"/>
    <b v="0"/>
    <s v="1568962631435952131"/>
    <s v="Tweet"/>
    <n v="0"/>
    <n v="0"/>
    <m/>
    <m/>
    <m/>
    <m/>
    <m/>
    <m/>
    <m/>
    <m/>
    <n v="2"/>
    <s v="7"/>
    <s v="7"/>
    <n v="0"/>
    <n v="0"/>
    <n v="0"/>
    <n v="0"/>
    <n v="0"/>
    <n v="0"/>
    <n v="27"/>
    <n v="100"/>
    <n v="27"/>
  </r>
  <r>
    <s v="xav0621"/>
    <s v="brutionnepnm"/>
    <m/>
    <m/>
    <m/>
    <m/>
    <m/>
    <m/>
    <m/>
    <m/>
    <s v="No"/>
    <n v="168"/>
    <m/>
    <m/>
    <s v="Retweet"/>
    <x v="107"/>
    <s v="Les Etats-Unis réclament l'unité des Alliés contre la Russie ... Ou comment les Yankees demandent une guerre mondiale pour sauver leur économie d'obèse maladif ... #Ukraine #Russie #StandWithRussia _x000a_https://t.co/RUcNKpVGa2"/>
    <s v="https://www.lesechos.fr/monde/enjeux-internationaux/les-etats-unis-reclament-lunite-des-allies-contre-la-russie-1787144?xtor=CS4-6235"/>
    <s v="lesechos.fr"/>
    <s v="ukraine russie standwithrussia"/>
    <m/>
    <s v="https://pbs.twimg.com/profile_images/1560875137486016513/fpVisRaj_normal.jpg"/>
    <d v="2022-09-11T18:35:24.000"/>
    <d v="2022-09-11T00:00:00.000"/>
    <s v="18:35:24"/>
    <s v="https://twitter.com/xav0621/status/1569031875074686977"/>
    <m/>
    <m/>
    <s v="1569031875074686977"/>
    <m/>
    <b v="0"/>
    <n v="0"/>
    <s v=""/>
    <b v="0"/>
    <s v="fr"/>
    <m/>
    <s v=""/>
    <b v="0"/>
    <n v="10"/>
    <s v="1568962631435952131"/>
    <s v="Twitter Web App"/>
    <b v="0"/>
    <s v="1568962631435952131"/>
    <s v="Tweet"/>
    <n v="0"/>
    <n v="0"/>
    <m/>
    <m/>
    <m/>
    <m/>
    <m/>
    <m/>
    <m/>
    <m/>
    <n v="1"/>
    <s v="7"/>
    <s v="7"/>
    <n v="0"/>
    <n v="0"/>
    <n v="0"/>
    <n v="0"/>
    <n v="0"/>
    <n v="0"/>
    <n v="27"/>
    <n v="100"/>
    <n v="27"/>
  </r>
  <r>
    <s v="ludwig04796864"/>
    <s v="stratpol_site"/>
    <m/>
    <m/>
    <m/>
    <m/>
    <m/>
    <m/>
    <m/>
    <m/>
    <s v="No"/>
    <n v="169"/>
    <m/>
    <m/>
    <s v="Replies to"/>
    <x v="108"/>
    <s v="@stratpol_site Toute la racaille veautante, politique, médiatique que la 🇫🇷,🇪🇺 et + peuvent compter qui fait du triomphalisme, chie sur un pays solide qui refuse de se soumettre comme eux, 🤢._x000a_Le temps est venu de leur niquer leur mère et leur montrer  quelle heure il est._x000a_#StandWithRussia"/>
    <m/>
    <m/>
    <s v="standwithrussia"/>
    <m/>
    <s v="https://pbs.twimg.com/profile_images/1416503095249494017/Qv3htsYe_normal.jpg"/>
    <d v="2022-09-11T19:15:16.000"/>
    <d v="2022-09-11T00:00:00.000"/>
    <s v="19:15:16"/>
    <s v="https://twitter.com/ludwig04796864/status/1569041907963002880"/>
    <m/>
    <m/>
    <s v="1569041907963002880"/>
    <s v="1569038342552944641"/>
    <b v="0"/>
    <n v="2"/>
    <s v="2819892940"/>
    <b v="0"/>
    <s v="fr"/>
    <m/>
    <s v=""/>
    <b v="0"/>
    <n v="0"/>
    <s v=""/>
    <s v="Twitter Web App"/>
    <b v="0"/>
    <s v="1569038342552944641"/>
    <s v="Tweet"/>
    <n v="0"/>
    <n v="0"/>
    <m/>
    <m/>
    <m/>
    <m/>
    <m/>
    <m/>
    <m/>
    <m/>
    <n v="1"/>
    <s v="51"/>
    <s v="51"/>
    <n v="0"/>
    <n v="0"/>
    <n v="1"/>
    <n v="2.2222222222222223"/>
    <n v="0"/>
    <n v="0"/>
    <n v="44"/>
    <n v="97.77777777777777"/>
    <n v="45"/>
  </r>
  <r>
    <s v="readovkaworld"/>
    <s v="readovkaworld"/>
    <m/>
    <m/>
    <m/>
    <m/>
    <m/>
    <m/>
    <m/>
    <m/>
    <s v="No"/>
    <n v="170"/>
    <m/>
    <m/>
    <s v="Tweet"/>
    <x v="109"/>
    <s v="Video from social network go viral: In #Sofia, #Bulgarian patriots spoke out against the Russophobic demonstration of #Ukrainian refugees with the song #Russia _x000a__x000a_#StandWithRussia https://t.co/dg9G1bZILw"/>
    <m/>
    <m/>
    <s v="sofia bulgarian ukrainian russia standwithrussia"/>
    <s v="https://pbs.twimg.com/ext_tw_video_thumb/1568550609225138178/pu/img/-GqFQP2LKjYRZ4Kw.jpg"/>
    <s v="https://pbs.twimg.com/ext_tw_video_thumb/1568550609225138178/pu/img/-GqFQP2LKjYRZ4Kw.jpg"/>
    <d v="2022-09-10T11:55:30.000"/>
    <d v="2022-09-10T00:00:00.000"/>
    <s v="11:55:30"/>
    <s v="https://twitter.com/readovkaworld/status/1568568846495240192"/>
    <m/>
    <m/>
    <s v="1568568846495240192"/>
    <m/>
    <b v="0"/>
    <n v="8"/>
    <s v=""/>
    <b v="0"/>
    <s v="en"/>
    <m/>
    <s v=""/>
    <b v="0"/>
    <n v="3"/>
    <s v=""/>
    <s v="Twitter Web App"/>
    <b v="0"/>
    <s v="1568568846495240192"/>
    <s v="Tweet"/>
    <n v="0"/>
    <n v="0"/>
    <m/>
    <m/>
    <m/>
    <m/>
    <m/>
    <m/>
    <m/>
    <m/>
    <n v="1"/>
    <s v="28"/>
    <s v="28"/>
    <n v="0"/>
    <n v="0"/>
    <n v="0"/>
    <n v="0"/>
    <n v="0"/>
    <n v="0"/>
    <n v="24"/>
    <n v="100"/>
    <n v="24"/>
  </r>
  <r>
    <s v="edisabela1"/>
    <s v="readovkaworld"/>
    <m/>
    <m/>
    <m/>
    <m/>
    <m/>
    <m/>
    <m/>
    <m/>
    <s v="No"/>
    <n v="171"/>
    <m/>
    <m/>
    <s v="Retweet"/>
    <x v="110"/>
    <s v="Video from social network go viral: In #Sofia, #Bulgarian patriots spoke out against the Russophobic demonstration of #Ukrainian refugees with the song #Russia _x000a__x000a_#StandWithRussia https://t.co/dg9G1bZILw"/>
    <m/>
    <m/>
    <s v="sofia bulgarian ukrainian russia standwithrussia"/>
    <s v="https://pbs.twimg.com/ext_tw_video_thumb/1568550609225138178/pu/img/-GqFQP2LKjYRZ4Kw.jpg"/>
    <s v="https://pbs.twimg.com/ext_tw_video_thumb/1568550609225138178/pu/img/-GqFQP2LKjYRZ4Kw.jpg"/>
    <d v="2022-09-11T19:27:12.000"/>
    <d v="2022-09-11T00:00:00.000"/>
    <s v="19:27:12"/>
    <s v="https://twitter.com/edisabela1/status/1569044909780336643"/>
    <m/>
    <m/>
    <s v="1569044909780336643"/>
    <m/>
    <b v="0"/>
    <n v="0"/>
    <s v=""/>
    <b v="0"/>
    <s v="en"/>
    <m/>
    <s v=""/>
    <b v="0"/>
    <n v="3"/>
    <s v="1568568846495240192"/>
    <s v="Twitter Web App"/>
    <b v="0"/>
    <s v="1568568846495240192"/>
    <s v="Tweet"/>
    <n v="0"/>
    <n v="0"/>
    <m/>
    <m/>
    <m/>
    <m/>
    <m/>
    <m/>
    <m/>
    <m/>
    <n v="1"/>
    <s v="28"/>
    <s v="28"/>
    <n v="0"/>
    <n v="0"/>
    <n v="0"/>
    <n v="0"/>
    <n v="0"/>
    <n v="0"/>
    <n v="24"/>
    <n v="100"/>
    <n v="24"/>
  </r>
  <r>
    <s v="gerasimos2016"/>
    <s v="gerasimos2016"/>
    <m/>
    <m/>
    <m/>
    <m/>
    <m/>
    <m/>
    <m/>
    <m/>
    <s v="No"/>
    <n v="172"/>
    <m/>
    <m/>
    <s v="Tweet"/>
    <x v="111"/>
    <s v="Βλαδίμηρε Πούτιν όταν παίρνεις τις αποφάσεις σου θα κοιτάς κατάματα αυτούς τους δύο......_x000a_General Qasem Soleimani_x000a_Major General Issam Zahreddine_x000a_Strength and Honour_x000a_#Soleimani_x000a_#Zahreddine_x000a_#StandWithRussia _x000a_#Putin #Πουτιν #Ρωσια https://t.co/LZNAD4riME"/>
    <m/>
    <m/>
    <s v="soleimani zahreddine standwithrussia putin πουτιν ρωσια"/>
    <s v="https://pbs.twimg.com/media/FcZkP2MWYAAz3Ln.jpg"/>
    <s v="https://pbs.twimg.com/media/FcZkP2MWYAAz3Ln.jpg"/>
    <d v="2022-09-11T19:59:50.000"/>
    <d v="2022-09-11T00:00:00.000"/>
    <s v="19:59:50"/>
    <s v="https://twitter.com/gerasimos2016/status/1569053122416492550"/>
    <m/>
    <m/>
    <s v="1569053122416492550"/>
    <m/>
    <b v="0"/>
    <n v="3"/>
    <s v=""/>
    <b v="0"/>
    <s v="und"/>
    <m/>
    <s v=""/>
    <b v="0"/>
    <n v="0"/>
    <s v=""/>
    <s v="Twitter Web App"/>
    <b v="0"/>
    <s v="1569053122416492550"/>
    <s v="Tweet"/>
    <n v="0"/>
    <n v="0"/>
    <m/>
    <m/>
    <m/>
    <m/>
    <m/>
    <m/>
    <m/>
    <m/>
    <n v="1"/>
    <s v="2"/>
    <s v="2"/>
    <n v="0"/>
    <n v="0"/>
    <n v="0"/>
    <n v="0"/>
    <n v="0"/>
    <n v="0"/>
    <n v="29"/>
    <n v="100"/>
    <n v="29"/>
  </r>
  <r>
    <s v="aleksandarcbl"/>
    <s v="jacksonhinklle"/>
    <m/>
    <m/>
    <m/>
    <m/>
    <m/>
    <m/>
    <m/>
    <m/>
    <s v="No"/>
    <n v="173"/>
    <m/>
    <m/>
    <s v="Replies to"/>
    <x v="112"/>
    <s v="@jacksonhinklle But Donbas and Krim bright shine like diamond #StandWithRussia"/>
    <m/>
    <m/>
    <s v="standwithrussia"/>
    <m/>
    <s v="https://pbs.twimg.com/profile_images/1378351175867772930/4wwCmQbY_normal.jpg"/>
    <d v="2022-09-11T20:01:14.000"/>
    <d v="2022-09-11T00:00:00.000"/>
    <s v="20:01:14"/>
    <s v="https://twitter.com/aleksandarcbl/status/1569053473823686656"/>
    <m/>
    <m/>
    <s v="1569053473823686656"/>
    <s v="1569045871748349953"/>
    <b v="0"/>
    <n v="1"/>
    <s v="1151913018936053760"/>
    <b v="0"/>
    <s v="en"/>
    <m/>
    <s v=""/>
    <b v="0"/>
    <n v="0"/>
    <s v=""/>
    <s v="Twitter for Android"/>
    <b v="0"/>
    <s v="1569045871748349953"/>
    <s v="Tweet"/>
    <n v="0"/>
    <n v="0"/>
    <m/>
    <m/>
    <m/>
    <m/>
    <m/>
    <m/>
    <m/>
    <m/>
    <n v="1"/>
    <s v="50"/>
    <s v="50"/>
    <n v="3"/>
    <n v="30"/>
    <n v="0"/>
    <n v="0"/>
    <n v="0"/>
    <n v="0"/>
    <n v="7"/>
    <n v="70"/>
    <n v="10"/>
  </r>
  <r>
    <s v="levent42402926"/>
    <s v="amaresyev"/>
    <m/>
    <m/>
    <m/>
    <m/>
    <m/>
    <m/>
    <m/>
    <m/>
    <s v="No"/>
    <n v="174"/>
    <m/>
    <m/>
    <s v="Retweet"/>
    <x v="113"/>
    <s v="Rus ordusu Harkov ve bölgedeki hedeflere büyük bir darbe indiriyor_x000a_Ayrıca Slavyansk ve Konstantinovka'da patlama haberleri geliyor. #StandwithRussia #Russia #RussianArmy"/>
    <m/>
    <m/>
    <s v="standwithrussia russia russianarmy"/>
    <m/>
    <s v="https://abs.twimg.com/sticky/default_profile_images/default_profile_normal.png"/>
    <d v="2022-09-11T21:17:54.000"/>
    <d v="2022-09-11T00:00:00.000"/>
    <s v="21:17:54"/>
    <s v="https://twitter.com/levent42402926/status/1569072767898640384"/>
    <m/>
    <m/>
    <s v="1569072767898640384"/>
    <m/>
    <b v="0"/>
    <n v="0"/>
    <s v=""/>
    <b v="0"/>
    <s v="tr"/>
    <m/>
    <s v=""/>
    <b v="0"/>
    <n v="2"/>
    <s v="1569072430504902656"/>
    <s v="Twitter for Android"/>
    <b v="0"/>
    <s v="1569072430504902656"/>
    <s v="Tweet"/>
    <n v="0"/>
    <n v="0"/>
    <m/>
    <m/>
    <m/>
    <m/>
    <m/>
    <m/>
    <m/>
    <m/>
    <n v="1"/>
    <s v="3"/>
    <s v="3"/>
    <n v="0"/>
    <n v="0"/>
    <n v="0"/>
    <n v="0"/>
    <n v="0"/>
    <n v="0"/>
    <n v="20"/>
    <n v="100"/>
    <n v="20"/>
  </r>
  <r>
    <s v="urlodellavolpe"/>
    <s v="urlodellavolpe"/>
    <m/>
    <m/>
    <m/>
    <m/>
    <m/>
    <m/>
    <m/>
    <m/>
    <s v="No"/>
    <n v="175"/>
    <m/>
    <m/>
    <s v="Tweet"/>
    <x v="114"/>
    <s v="L'esercito dei Bot filo-ucraini:_x000a_“In passato, le guerre sono state combattute principalmente fisicamente, [...] Tuttavia, i social media hanno creato un nuovo ambiente in cui l'opinione pubblica può essere manipolata su larga scala&quot;_x000a_#StandWithRussia _x000a_https://t.co/Gug1p117lq https://t.co/SMnheiEdts"/>
    <s v="https://www.adelaide.edu.au/newsroom/news/list/2022/09/08/bots-manipulate-public-opinion-in-russia-ukraine-conflict"/>
    <s v="edu.au"/>
    <s v="standwithrussia"/>
    <s v="https://pbs.twimg.com/media/FcaVS3ZXEAElLV9.jpg"/>
    <s v="https://pbs.twimg.com/media/FcaVS3ZXEAElLV9.jpg"/>
    <d v="2022-09-11T23:30:09.000"/>
    <d v="2022-09-11T00:00:00.000"/>
    <s v="23:30:09"/>
    <s v="https://twitter.com/urlodellavolpe/status/1569106050837610496"/>
    <m/>
    <m/>
    <s v="1569106050837610496"/>
    <m/>
    <b v="0"/>
    <n v="0"/>
    <s v=""/>
    <b v="0"/>
    <s v="it"/>
    <m/>
    <s v=""/>
    <b v="0"/>
    <n v="0"/>
    <s v=""/>
    <s v="Twitter Web App"/>
    <b v="0"/>
    <s v="1569106050837610496"/>
    <s v="Tweet"/>
    <n v="0"/>
    <n v="0"/>
    <m/>
    <m/>
    <m/>
    <m/>
    <m/>
    <m/>
    <m/>
    <m/>
    <n v="1"/>
    <s v="2"/>
    <s v="2"/>
    <n v="0"/>
    <n v="0"/>
    <n v="0"/>
    <n v="0"/>
    <n v="0"/>
    <n v="0"/>
    <n v="34"/>
    <n v="100"/>
    <n v="34"/>
  </r>
  <r>
    <s v="terrorsyndicate"/>
    <s v="terrorsyndicate"/>
    <m/>
    <m/>
    <m/>
    <m/>
    <m/>
    <m/>
    <m/>
    <m/>
    <s v="No"/>
    <n v="176"/>
    <m/>
    <m/>
    <s v="Tweet"/>
    <x v="115"/>
    <s v="#Belgrade #Serbia #StandWithRussia _x000a_#Orthodox_x000a__x000a_🇷🇺🇷🇸 Photos from Belgrade! https://t.co/dhDJLs8qQg"/>
    <m/>
    <m/>
    <s v="belgrade serbia standwithrussia orthodox"/>
    <s v="https://pbs.twimg.com/media/Fcag0L1aAAEluRw.jpg"/>
    <s v="https://pbs.twimg.com/media/Fcag0L1aAAEluRw.jpg"/>
    <d v="2022-09-12T00:19:12.000"/>
    <d v="2022-09-12T00:00:00.000"/>
    <s v="00:19:12"/>
    <s v="https://twitter.com/terrorsyndicate/status/1569118392589905925"/>
    <m/>
    <m/>
    <s v="1569118392589905925"/>
    <m/>
    <b v="0"/>
    <n v="0"/>
    <s v=""/>
    <b v="0"/>
    <s v="en"/>
    <m/>
    <s v=""/>
    <b v="0"/>
    <n v="0"/>
    <s v=""/>
    <s v="Twitter for Android"/>
    <b v="0"/>
    <s v="1569118392589905925"/>
    <s v="Tweet"/>
    <n v="0"/>
    <n v="0"/>
    <m/>
    <m/>
    <m/>
    <m/>
    <m/>
    <m/>
    <m/>
    <m/>
    <n v="1"/>
    <s v="2"/>
    <s v="2"/>
    <n v="0"/>
    <n v="0"/>
    <n v="0"/>
    <n v="0"/>
    <n v="0"/>
    <n v="0"/>
    <n v="7"/>
    <n v="100"/>
    <n v="7"/>
  </r>
  <r>
    <s v="jameswmoore"/>
    <s v="jameswmoore"/>
    <m/>
    <m/>
    <m/>
    <m/>
    <m/>
    <m/>
    <m/>
    <m/>
    <s v="No"/>
    <n v="177"/>
    <m/>
    <m/>
    <s v="Tweet"/>
    <x v="116"/>
    <s v="#СлаваУкраїні!  #СлаваУкраїні! #СлаваУкраїні! _x000a__x000a_#рашизм #Yкраїна #Россия #StopRussia #SlavaUkraini #StandWithUkraine #IStandWithUkraine #RussianArmy #RussianAirForce #UkraineRussianWar #UkraineUnderAttack #Ukraine #Russia #UkraineRussiaCrisis #StandWithRussia #IStandWithRussia"/>
    <m/>
    <m/>
    <s v="славаукраїні славаукраїні славаукраїні рашизм yкраїна россия stoprussia slavaukraini standwithukraine istandwithukraine russianarmy russianairforce ukrainerussianwar ukraineunderattack ukraine russia ukrainerussiacrisis standwithrussia istandwithrussia"/>
    <m/>
    <s v="https://pbs.twimg.com/profile_images/1327258725435006982/FoaJR013_normal.jpg"/>
    <d v="2022-09-12T00:35:36.000"/>
    <d v="2022-09-12T00:00:00.000"/>
    <s v="00:35:36"/>
    <s v="https://twitter.com/jameswmoore/status/1569122521768759297"/>
    <m/>
    <m/>
    <s v="1569122521768759297"/>
    <m/>
    <b v="0"/>
    <n v="0"/>
    <s v=""/>
    <b v="0"/>
    <s v="und"/>
    <m/>
    <s v=""/>
    <b v="0"/>
    <n v="0"/>
    <s v=""/>
    <s v="Twitter Web App"/>
    <b v="0"/>
    <s v="1569122521768759297"/>
    <s v="Tweet"/>
    <n v="0"/>
    <n v="0"/>
    <m/>
    <m/>
    <m/>
    <m/>
    <m/>
    <m/>
    <m/>
    <m/>
    <n v="1"/>
    <s v="2"/>
    <s v="2"/>
    <n v="0"/>
    <n v="0"/>
    <n v="0"/>
    <n v="0"/>
    <n v="0"/>
    <n v="0"/>
    <n v="19"/>
    <n v="100"/>
    <n v="19"/>
  </r>
  <r>
    <s v="spicymanit"/>
    <s v="russia"/>
    <m/>
    <m/>
    <m/>
    <m/>
    <m/>
    <m/>
    <m/>
    <m/>
    <s v="No"/>
    <n v="178"/>
    <m/>
    <m/>
    <s v="Mentions"/>
    <x v="117"/>
    <s v="#india is with u. @KremlinRussia_E @Russia #ISupportRussia #StandWithRussia #supportputin #StandWithPutin _x000a_#RussiaUkraine #Ukriane https://t.co/oTx3M10qAs"/>
    <m/>
    <m/>
    <s v="india isupportrussia standwithrussia supportputin standwithputin russiaukraine ukriane"/>
    <s v="https://pbs.twimg.com/media/FMuBznOagAQTSWL.jpg"/>
    <s v="https://pbs.twimg.com/media/FMuBznOagAQTSWL.jpg"/>
    <d v="2022-02-28T23:05:28.000"/>
    <d v="2022-02-28T00:00:00.000"/>
    <s v="23:05:28"/>
    <s v="https://twitter.com/spicymanit/status/1498434204207841280"/>
    <m/>
    <m/>
    <s v="1498434204207841280"/>
    <m/>
    <b v="0"/>
    <n v="22"/>
    <s v=""/>
    <b v="0"/>
    <s v="en"/>
    <m/>
    <s v=""/>
    <b v="0"/>
    <n v="4"/>
    <s v=""/>
    <s v="Twitter Web App"/>
    <b v="0"/>
    <s v="1498434204207841280"/>
    <s v="Retweet"/>
    <n v="0"/>
    <n v="0"/>
    <m/>
    <m/>
    <m/>
    <m/>
    <m/>
    <m/>
    <m/>
    <m/>
    <n v="1"/>
    <s v="23"/>
    <s v="23"/>
    <m/>
    <m/>
    <m/>
    <m/>
    <m/>
    <m/>
    <m/>
    <m/>
    <m/>
  </r>
  <r>
    <s v="maier_maier8"/>
    <s v="russia"/>
    <m/>
    <m/>
    <m/>
    <m/>
    <m/>
    <m/>
    <m/>
    <m/>
    <s v="No"/>
    <n v="179"/>
    <m/>
    <m/>
    <s v="MentionsInRetweet"/>
    <x v="118"/>
    <s v="#india is with u. @KremlinRussia_E @Russia #ISupportRussia #StandWithRussia #supportputin #StandWithPutin _x000a_#RussiaUkraine #Ukriane https://t.co/oTx3M10qAs"/>
    <m/>
    <m/>
    <s v="india isupportrussia standwithrussia supportputin standwithputin russiaukraine ukriane"/>
    <s v="https://pbs.twimg.com/media/FMuBznOagAQTSWL.jpg"/>
    <s v="https://pbs.twimg.com/media/FMuBznOagAQTSWL.jpg"/>
    <d v="2022-09-12T01:48:00.000"/>
    <d v="2022-09-12T00:00:00.000"/>
    <s v="01:48:00"/>
    <s v="https://twitter.com/maier_maier8/status/1569140739912630276"/>
    <m/>
    <m/>
    <s v="1569140739912630276"/>
    <m/>
    <b v="0"/>
    <n v="0"/>
    <s v=""/>
    <b v="0"/>
    <s v="en"/>
    <m/>
    <s v=""/>
    <b v="0"/>
    <n v="4"/>
    <s v="1498434204207841280"/>
    <s v="Twitter for iPhone"/>
    <b v="0"/>
    <s v="1498434204207841280"/>
    <s v="Tweet"/>
    <n v="0"/>
    <n v="0"/>
    <m/>
    <m/>
    <m/>
    <m/>
    <m/>
    <m/>
    <m/>
    <m/>
    <n v="1"/>
    <s v="23"/>
    <s v="23"/>
    <m/>
    <m/>
    <m/>
    <m/>
    <m/>
    <m/>
    <m/>
    <m/>
    <m/>
  </r>
  <r>
    <s v="freescotsman92"/>
    <s v="freescotsman92"/>
    <m/>
    <m/>
    <m/>
    <m/>
    <m/>
    <m/>
    <m/>
    <m/>
    <s v="No"/>
    <n v="183"/>
    <m/>
    <m/>
    <s v="Tweet"/>
    <x v="119"/>
    <s v="Self declared left wing anti imperialists who support a conservative dictators war of imperialist conquest all in the name of anti imperialism , as a way to stick it  to the West really baffle me_x000a_#nwo #antiimperialism #russia #StandWithRussia #Tankies #handsoffukraine #socialism"/>
    <m/>
    <m/>
    <s v="nwo antiimperialism russia standwithrussia tankies handsoffukraine socialism"/>
    <m/>
    <s v="https://pbs.twimg.com/profile_images/1348253593166622722/BNCnH0Ev_normal.jpg"/>
    <d v="2022-09-12T05:55:30.000"/>
    <d v="2022-09-12T00:00:00.000"/>
    <s v="05:55:30"/>
    <s v="https://twitter.com/freescotsman92/status/1569203025440276480"/>
    <m/>
    <m/>
    <s v="1569203025440276480"/>
    <m/>
    <b v="0"/>
    <n v="1"/>
    <s v=""/>
    <b v="0"/>
    <s v="en"/>
    <m/>
    <s v=""/>
    <b v="0"/>
    <n v="0"/>
    <s v=""/>
    <s v="Twitter for iPhone"/>
    <b v="0"/>
    <s v="1569203025440276480"/>
    <s v="Tweet"/>
    <n v="0"/>
    <n v="0"/>
    <m/>
    <m/>
    <m/>
    <m/>
    <m/>
    <m/>
    <m/>
    <m/>
    <n v="1"/>
    <s v="2"/>
    <s v="2"/>
    <n v="1"/>
    <n v="2.4390243902439024"/>
    <n v="3"/>
    <n v="7.317073170731708"/>
    <n v="0"/>
    <n v="0"/>
    <n v="37"/>
    <n v="90.2439024390244"/>
    <n v="41"/>
  </r>
  <r>
    <s v="selpermer"/>
    <s v="rusembturkey"/>
    <m/>
    <m/>
    <m/>
    <m/>
    <m/>
    <m/>
    <m/>
    <m/>
    <s v="No"/>
    <n v="184"/>
    <m/>
    <m/>
    <s v="Replies to"/>
    <x v="120"/>
    <s v="@RusEmbTurkey #standwithrussia"/>
    <m/>
    <m/>
    <s v="standwithrussia"/>
    <m/>
    <s v="https://pbs.twimg.com/profile_images/1427318110927851522/gy4hztPs_normal.png"/>
    <d v="2022-09-12T07:42:13.000"/>
    <d v="2022-09-12T00:00:00.000"/>
    <s v="07:42:13"/>
    <s v="https://twitter.com/selpermer/status/1569229881803960320"/>
    <m/>
    <m/>
    <s v="1569229881803960320"/>
    <s v="1569224525232967680"/>
    <b v="0"/>
    <n v="0"/>
    <s v="848884243"/>
    <b v="0"/>
    <s v="und"/>
    <m/>
    <s v=""/>
    <b v="0"/>
    <n v="0"/>
    <s v=""/>
    <s v="Twitter for Android"/>
    <b v="0"/>
    <s v="1569224525232967680"/>
    <s v="Tweet"/>
    <n v="0"/>
    <n v="0"/>
    <m/>
    <m/>
    <m/>
    <m/>
    <m/>
    <m/>
    <m/>
    <m/>
    <n v="1"/>
    <s v="49"/>
    <s v="49"/>
    <n v="0"/>
    <n v="0"/>
    <n v="0"/>
    <n v="0"/>
    <n v="0"/>
    <n v="0"/>
    <n v="2"/>
    <n v="100"/>
    <n v="2"/>
  </r>
  <r>
    <s v="khairulazzwa1"/>
    <s v="drjasonleong"/>
    <m/>
    <m/>
    <m/>
    <m/>
    <m/>
    <m/>
    <m/>
    <m/>
    <s v="No"/>
    <n v="185"/>
    <m/>
    <m/>
    <s v="Mentions"/>
    <x v="121"/>
    <s v="@howardlee_my @DrJasonLeong #StandWithRUSSIA !!!!"/>
    <m/>
    <m/>
    <s v="standwithrussia"/>
    <m/>
    <s v="https://pbs.twimg.com/profile_images/1413157286462181378/gUP4dkZt_normal.jpg"/>
    <d v="2022-09-12T08:02:55.000"/>
    <d v="2022-09-12T00:00:00.000"/>
    <s v="08:02:55"/>
    <s v="https://twitter.com/khairulazzwa1/status/1569235093591564288"/>
    <m/>
    <m/>
    <s v="1569235093591564288"/>
    <s v="1568833466153959429"/>
    <b v="0"/>
    <n v="0"/>
    <s v="543975537"/>
    <b v="0"/>
    <s v="und"/>
    <m/>
    <s v=""/>
    <b v="0"/>
    <n v="0"/>
    <s v=""/>
    <s v="Twitter for Android"/>
    <b v="0"/>
    <s v="1568833466153959429"/>
    <s v="Tweet"/>
    <n v="0"/>
    <n v="0"/>
    <m/>
    <m/>
    <m/>
    <m/>
    <m/>
    <m/>
    <m/>
    <m/>
    <n v="1"/>
    <s v="35"/>
    <s v="35"/>
    <m/>
    <m/>
    <m/>
    <m/>
    <m/>
    <m/>
    <m/>
    <m/>
    <m/>
  </r>
  <r>
    <s v="luckystrike2030"/>
    <s v="palmenco08"/>
    <m/>
    <m/>
    <m/>
    <m/>
    <m/>
    <m/>
    <m/>
    <m/>
    <s v="No"/>
    <n v="187"/>
    <m/>
    <m/>
    <s v="Retweet"/>
    <x v="122"/>
    <s v="Dal 2013 lavora per adeguare #Kiev agli standard #NATO.. giusto per capire chi, e da quando sta preparando questa guerra._x000a_#USA stato canaglia_x000a_#StandWithRussia https://t.co/c7PqYWTqI3"/>
    <m/>
    <m/>
    <s v="kiev nato usa standwithrussia"/>
    <s v="https://pbs.twimg.com/media/FccOqeBX0AUNXZY.jpg"/>
    <s v="https://pbs.twimg.com/media/FccOqeBX0AUNXZY.jpg"/>
    <d v="2022-09-12T08:20:08.000"/>
    <d v="2022-09-12T00:00:00.000"/>
    <s v="08:20:08"/>
    <s v="https://twitter.com/luckystrike2030/status/1569239425128841216"/>
    <m/>
    <m/>
    <s v="1569239425128841216"/>
    <m/>
    <b v="0"/>
    <n v="0"/>
    <s v=""/>
    <b v="0"/>
    <s v="it"/>
    <m/>
    <s v=""/>
    <b v="0"/>
    <n v="3"/>
    <s v="1569239123247906817"/>
    <s v="Twitter for Android"/>
    <b v="0"/>
    <s v="1569239123247906817"/>
    <s v="Tweet"/>
    <n v="0"/>
    <n v="0"/>
    <m/>
    <m/>
    <m/>
    <m/>
    <m/>
    <m/>
    <m/>
    <m/>
    <n v="1"/>
    <s v="27"/>
    <s v="27"/>
    <n v="0"/>
    <n v="0"/>
    <n v="0"/>
    <n v="0"/>
    <n v="0"/>
    <n v="0"/>
    <n v="24"/>
    <n v="100"/>
    <n v="24"/>
  </r>
  <r>
    <s v="giovannicalcara"/>
    <s v="palmenco08"/>
    <m/>
    <m/>
    <m/>
    <m/>
    <m/>
    <m/>
    <m/>
    <m/>
    <s v="No"/>
    <n v="188"/>
    <m/>
    <m/>
    <s v="Retweet"/>
    <x v="123"/>
    <s v="Dal 2013 lavora per adeguare #Kiev agli standard #NATO.. giusto per capire chi, e da quando sta preparando questa guerra._x000a_#USA stato canaglia_x000a_#StandWithRussia https://t.co/c7PqYWTqI3"/>
    <m/>
    <m/>
    <s v="kiev nato usa standwithrussia"/>
    <s v="https://pbs.twimg.com/media/FccOqeBX0AUNXZY.jpg"/>
    <s v="https://pbs.twimg.com/media/FccOqeBX0AUNXZY.jpg"/>
    <d v="2022-09-12T10:15:20.000"/>
    <d v="2022-09-12T00:00:00.000"/>
    <s v="10:15:20"/>
    <s v="https://twitter.com/giovannicalcara/status/1569268417319911424"/>
    <m/>
    <m/>
    <s v="1569268417319911424"/>
    <m/>
    <b v="0"/>
    <n v="0"/>
    <s v=""/>
    <b v="0"/>
    <s v="it"/>
    <m/>
    <s v=""/>
    <b v="0"/>
    <n v="3"/>
    <s v="1569239123247906817"/>
    <s v="Twitter for iPhone"/>
    <b v="0"/>
    <s v="1569239123247906817"/>
    <s v="Tweet"/>
    <n v="0"/>
    <n v="0"/>
    <m/>
    <m/>
    <m/>
    <m/>
    <m/>
    <m/>
    <m/>
    <m/>
    <n v="1"/>
    <s v="27"/>
    <s v="27"/>
    <n v="0"/>
    <n v="0"/>
    <n v="0"/>
    <n v="0"/>
    <n v="0"/>
    <n v="0"/>
    <n v="24"/>
    <n v="100"/>
    <n v="24"/>
  </r>
  <r>
    <s v="palmenco08"/>
    <s v="palmenco08"/>
    <m/>
    <m/>
    <m/>
    <m/>
    <m/>
    <m/>
    <m/>
    <m/>
    <s v="No"/>
    <n v="189"/>
    <m/>
    <m/>
    <s v="Tweet"/>
    <x v="124"/>
    <s v="Effettivamente non fa una piega._x000a_#Nonato _x000a_#StandWithRussia https://t.co/S3m4plyEFC"/>
    <s v="https://twitter.com/Cambiacasacca/status/1567434742311567360"/>
    <s v="twitter.com"/>
    <s v="nonato standwithrussia"/>
    <m/>
    <s v="https://pbs.twimg.com/profile_images/1502033880651554816/3-5eV5Eu_normal.jpg"/>
    <d v="2022-09-08T08:04:38.000"/>
    <d v="2022-09-08T00:00:00.000"/>
    <s v="08:04:38"/>
    <s v="https://twitter.com/palmenco08/status/1567785970434539520"/>
    <m/>
    <m/>
    <s v="1567785970434539520"/>
    <m/>
    <b v="0"/>
    <n v="1"/>
    <s v=""/>
    <b v="1"/>
    <s v="it"/>
    <m/>
    <s v="1567434742311567360"/>
    <b v="0"/>
    <n v="0"/>
    <s v=""/>
    <s v="Twitter for Android"/>
    <b v="0"/>
    <s v="1567785970434539520"/>
    <s v="Tweet"/>
    <n v="0"/>
    <n v="0"/>
    <m/>
    <m/>
    <m/>
    <m/>
    <m/>
    <m/>
    <m/>
    <m/>
    <n v="2"/>
    <s v="27"/>
    <s v="27"/>
    <n v="0"/>
    <n v="0"/>
    <n v="0"/>
    <n v="0"/>
    <n v="0"/>
    <n v="0"/>
    <n v="7"/>
    <n v="100"/>
    <n v="7"/>
  </r>
  <r>
    <s v="palmenco08"/>
    <s v="palmenco08"/>
    <m/>
    <m/>
    <m/>
    <m/>
    <m/>
    <m/>
    <m/>
    <m/>
    <s v="No"/>
    <n v="190"/>
    <m/>
    <m/>
    <s v="Tweet"/>
    <x v="125"/>
    <s v="Dal 2013 lavora per adeguare #Kiev agli standard #NATO.. giusto per capire chi, e da quando sta preparando questa guerra._x000a_#USA stato canaglia_x000a_#StandWithRussia https://t.co/c7PqYWTqI3"/>
    <m/>
    <m/>
    <s v="kiev nato usa standwithrussia"/>
    <s v="https://pbs.twimg.com/media/FccOqeBX0AUNXZY.jpg"/>
    <s v="https://pbs.twimg.com/media/FccOqeBX0AUNXZY.jpg"/>
    <d v="2022-09-12T08:18:56.000"/>
    <d v="2022-09-12T00:00:00.000"/>
    <s v="08:18:56"/>
    <s v="https://twitter.com/palmenco08/status/1569239123247906817"/>
    <m/>
    <m/>
    <s v="1569239123247906817"/>
    <m/>
    <b v="0"/>
    <n v="11"/>
    <s v=""/>
    <b v="0"/>
    <s v="it"/>
    <m/>
    <s v=""/>
    <b v="0"/>
    <n v="3"/>
    <s v=""/>
    <s v="Twitter for Android"/>
    <b v="0"/>
    <s v="1569239123247906817"/>
    <s v="Tweet"/>
    <n v="0"/>
    <n v="0"/>
    <m/>
    <m/>
    <m/>
    <m/>
    <m/>
    <m/>
    <m/>
    <m/>
    <n v="2"/>
    <s v="27"/>
    <s v="27"/>
    <n v="0"/>
    <n v="0"/>
    <n v="0"/>
    <n v="0"/>
    <n v="0"/>
    <n v="0"/>
    <n v="24"/>
    <n v="100"/>
    <n v="24"/>
  </r>
  <r>
    <s v="robymark1"/>
    <s v="palmenco08"/>
    <m/>
    <m/>
    <m/>
    <m/>
    <m/>
    <m/>
    <m/>
    <m/>
    <s v="No"/>
    <n v="191"/>
    <m/>
    <m/>
    <s v="Retweet"/>
    <x v="126"/>
    <s v="Dal 2013 lavora per adeguare #Kiev agli standard #NATO.. giusto per capire chi, e da quando sta preparando questa guerra._x000a_#USA stato canaglia_x000a_#StandWithRussia https://t.co/c7PqYWTqI3"/>
    <m/>
    <m/>
    <s v="kiev nato usa standwithrussia"/>
    <s v="https://pbs.twimg.com/media/FccOqeBX0AUNXZY.jpg"/>
    <s v="https://pbs.twimg.com/media/FccOqeBX0AUNXZY.jpg"/>
    <d v="2022-09-12T10:22:08.000"/>
    <d v="2022-09-12T00:00:00.000"/>
    <s v="10:22:08"/>
    <s v="https://twitter.com/robymark1/status/1569270126905823233"/>
    <m/>
    <m/>
    <s v="1569270126905823233"/>
    <m/>
    <b v="0"/>
    <n v="0"/>
    <s v=""/>
    <b v="0"/>
    <s v="it"/>
    <m/>
    <s v=""/>
    <b v="0"/>
    <n v="3"/>
    <s v="1569239123247906817"/>
    <s v="Twitter for Android"/>
    <b v="0"/>
    <s v="1569239123247906817"/>
    <s v="Tweet"/>
    <n v="0"/>
    <n v="0"/>
    <m/>
    <m/>
    <m/>
    <m/>
    <m/>
    <m/>
    <m/>
    <m/>
    <n v="1"/>
    <s v="27"/>
    <s v="27"/>
    <n v="0"/>
    <n v="0"/>
    <n v="0"/>
    <n v="0"/>
    <n v="0"/>
    <n v="0"/>
    <n v="24"/>
    <n v="100"/>
    <n v="24"/>
  </r>
  <r>
    <s v="mark_dive"/>
    <s v="ilpolemista4"/>
    <m/>
    <m/>
    <m/>
    <m/>
    <m/>
    <m/>
    <m/>
    <m/>
    <s v="No"/>
    <n v="192"/>
    <m/>
    <m/>
    <s v="Replies to"/>
    <x v="127"/>
    <s v="@IlPolemista4 Concordo! _x000a__x000a_#ForzaPutin _x000a_#StandWithRussia _x000a_#ForzaBRICS_x000a_#ForzaEEF_x000a__x000a_#ZelenskyWarCriminal _x000a_#ZelenskyCocaineAddicted_x000a_#NaziUkraine_x000a_#FuckUSA_x000a_#FuckNATO_x000a_#FuckEU_x000a_#StopNWO_x000a_#StopWEF"/>
    <m/>
    <m/>
    <s v="forzaputin standwithrussia forzabrics forzaeef zelenskywarcriminal zelenskycocaineaddicted naziukraine fuckusa fucknato fuckeu stopnwo stopwef"/>
    <m/>
    <s v="https://pbs.twimg.com/profile_images/1382752853865955330/I3PvsxEp_normal.jpg"/>
    <d v="2022-09-08T09:53:28.000"/>
    <d v="2022-09-08T00:00:00.000"/>
    <s v="09:53:28"/>
    <s v="https://twitter.com/mark_dive/status/1567813361038942208"/>
    <m/>
    <m/>
    <s v="1567813361038942208"/>
    <s v="1567493448810352642"/>
    <b v="0"/>
    <n v="0"/>
    <s v="1496540039450443779"/>
    <b v="0"/>
    <s v="pt"/>
    <m/>
    <s v=""/>
    <b v="0"/>
    <n v="0"/>
    <s v=""/>
    <s v="Twitter Web App"/>
    <b v="0"/>
    <s v="1567493448810352642"/>
    <s v="Tweet"/>
    <n v="0"/>
    <n v="0"/>
    <m/>
    <m/>
    <m/>
    <m/>
    <m/>
    <m/>
    <m/>
    <m/>
    <n v="1"/>
    <s v="12"/>
    <s v="12"/>
    <n v="0"/>
    <n v="0"/>
    <n v="0"/>
    <n v="0"/>
    <n v="0"/>
    <n v="0"/>
    <n v="14"/>
    <n v="100"/>
    <n v="14"/>
  </r>
  <r>
    <s v="mark_dive"/>
    <s v="jacopo_iacoboni"/>
    <m/>
    <m/>
    <m/>
    <m/>
    <m/>
    <m/>
    <m/>
    <m/>
    <s v="No"/>
    <n v="193"/>
    <m/>
    <m/>
    <s v="Replies to"/>
    <x v="128"/>
    <s v="@jacopo_iacoboni Nel 2022 in Italia abbiamo cani che scrivono spesso tweets patetici sul terribileh Pooteen, ma non mi pare abbiamo un grande istinto._x000a__x000a_#ForzaPutin_x000a_#StandWithRussia"/>
    <m/>
    <m/>
    <s v="forzaputin standwithrussia"/>
    <m/>
    <s v="https://pbs.twimg.com/profile_images/1382752853865955330/I3PvsxEp_normal.jpg"/>
    <d v="2022-09-09T09:25:04.000"/>
    <d v="2022-09-09T00:00:00.000"/>
    <s v="09:25:04"/>
    <s v="https://twitter.com/mark_dive/status/1568168601328254976"/>
    <m/>
    <m/>
    <s v="1568168601328254976"/>
    <s v="1568114914102841347"/>
    <b v="0"/>
    <n v="1"/>
    <s v="497995758"/>
    <b v="0"/>
    <s v="it"/>
    <m/>
    <s v=""/>
    <b v="0"/>
    <n v="0"/>
    <s v=""/>
    <s v="Twitter Web App"/>
    <b v="0"/>
    <s v="1568114914102841347"/>
    <s v="Tweet"/>
    <n v="0"/>
    <n v="0"/>
    <m/>
    <m/>
    <m/>
    <m/>
    <m/>
    <m/>
    <m/>
    <m/>
    <n v="1"/>
    <s v="12"/>
    <s v="12"/>
    <n v="0"/>
    <n v="0"/>
    <n v="0"/>
    <n v="0"/>
    <n v="0"/>
    <n v="0"/>
    <n v="25"/>
    <n v="100"/>
    <n v="25"/>
  </r>
  <r>
    <s v="mark_dive"/>
    <s v="guerini_lorenzo"/>
    <m/>
    <m/>
    <m/>
    <m/>
    <m/>
    <m/>
    <m/>
    <m/>
    <s v="No"/>
    <n v="194"/>
    <m/>
    <m/>
    <s v="Mentions"/>
    <x v="129"/>
    <s v="@Vita66011510 @guerini_lorenzo terrorismo criminale del Cremlino 🤣🤣🤣🤣🤣🤣🤣 ...dajeeeee!_x000a__x000a_#StandWithRussia_x000a_#ForzaPutin_x000a__x000a_#ZelenskyCocaineAddicted_x000a_#ZelenskyWarCriminal _x000a_#NaziUkraine"/>
    <m/>
    <m/>
    <s v="standwithrussia forzaputin zelenskycocaineaddicted zelenskywarcriminal naziukraine"/>
    <m/>
    <s v="https://pbs.twimg.com/profile_images/1382752853865955330/I3PvsxEp_normal.jpg"/>
    <d v="2022-09-10T14:49:05.000"/>
    <d v="2022-09-10T00:00:00.000"/>
    <s v="14:49:05"/>
    <s v="https://twitter.com/mark_dive/status/1568612530452316164"/>
    <m/>
    <m/>
    <s v="1568612530452316164"/>
    <s v="1568594977671741440"/>
    <b v="0"/>
    <n v="0"/>
    <s v="1524419766609403907"/>
    <b v="0"/>
    <s v="it"/>
    <m/>
    <s v=""/>
    <b v="0"/>
    <n v="0"/>
    <s v=""/>
    <s v="Twitter Web App"/>
    <b v="0"/>
    <s v="1568594977671741440"/>
    <s v="Tweet"/>
    <n v="0"/>
    <n v="0"/>
    <m/>
    <m/>
    <m/>
    <m/>
    <m/>
    <m/>
    <m/>
    <m/>
    <n v="1"/>
    <s v="12"/>
    <s v="12"/>
    <m/>
    <m/>
    <m/>
    <m/>
    <m/>
    <m/>
    <m/>
    <m/>
    <m/>
  </r>
  <r>
    <s v="mark_dive"/>
    <s v="aldotorchiaro"/>
    <m/>
    <m/>
    <m/>
    <m/>
    <m/>
    <m/>
    <m/>
    <m/>
    <s v="No"/>
    <n v="196"/>
    <m/>
    <m/>
    <s v="Replies to"/>
    <x v="130"/>
    <s v="@aldotorchiaro e bè dai, credici, ma non ti ci fissà... ci potresti altrimenti rimanere parecchio male! _x000a__x000a_#ForzaPutin_x000a_#StandWithRussia"/>
    <m/>
    <m/>
    <s v="forzaputin standwithrussia"/>
    <m/>
    <s v="https://pbs.twimg.com/profile_images/1382752853865955330/I3PvsxEp_normal.jpg"/>
    <d v="2022-09-11T10:03:08.000"/>
    <d v="2022-09-11T00:00:00.000"/>
    <s v="10:03:08"/>
    <s v="https://twitter.com/mark_dive/status/1568902956740759555"/>
    <m/>
    <m/>
    <s v="1568902956740759555"/>
    <s v="1568666675146530816"/>
    <b v="0"/>
    <n v="0"/>
    <s v="35721171"/>
    <b v="0"/>
    <s v="it"/>
    <m/>
    <s v=""/>
    <b v="0"/>
    <n v="0"/>
    <s v=""/>
    <s v="Twitter Web App"/>
    <b v="0"/>
    <s v="1568666675146530816"/>
    <s v="Tweet"/>
    <n v="0"/>
    <n v="0"/>
    <m/>
    <m/>
    <m/>
    <m/>
    <m/>
    <m/>
    <m/>
    <m/>
    <n v="1"/>
    <s v="12"/>
    <s v="12"/>
    <n v="0"/>
    <n v="0"/>
    <n v="0"/>
    <n v="0"/>
    <n v="0"/>
    <n v="0"/>
    <n v="18"/>
    <n v="100"/>
    <n v="18"/>
  </r>
  <r>
    <s v="mark_dive"/>
    <s v="pietroraffa"/>
    <m/>
    <m/>
    <m/>
    <m/>
    <m/>
    <m/>
    <m/>
    <m/>
    <s v="No"/>
    <n v="197"/>
    <m/>
    <m/>
    <s v="Replies to"/>
    <x v="131"/>
    <s v="@pietroraffa fantastico, più che un tweet un concentrato di idiozie di rara bellezza! _x000a__x000a_Forza Russia!_x000a__x000a_#ForzaPutin_x000a_#StandWithRussia"/>
    <m/>
    <m/>
    <s v="forzaputin standwithrussia"/>
    <m/>
    <s v="https://pbs.twimg.com/profile_images/1382752853865955330/I3PvsxEp_normal.jpg"/>
    <d v="2022-09-12T12:27:19.000"/>
    <d v="2022-09-12T00:00:00.000"/>
    <s v="12:27:19"/>
    <s v="https://twitter.com/mark_dive/status/1569301632042549249"/>
    <m/>
    <m/>
    <s v="1569301632042549249"/>
    <s v="1569235558278258690"/>
    <b v="0"/>
    <n v="1"/>
    <s v="61877999"/>
    <b v="0"/>
    <s v="it"/>
    <m/>
    <s v=""/>
    <b v="0"/>
    <n v="0"/>
    <s v=""/>
    <s v="Twitter Web App"/>
    <b v="0"/>
    <s v="1569235558278258690"/>
    <s v="Tweet"/>
    <n v="0"/>
    <n v="0"/>
    <m/>
    <m/>
    <m/>
    <m/>
    <m/>
    <m/>
    <m/>
    <m/>
    <n v="1"/>
    <s v="12"/>
    <s v="12"/>
    <n v="0"/>
    <n v="0"/>
    <n v="0"/>
    <n v="0"/>
    <n v="0"/>
    <n v="0"/>
    <n v="17"/>
    <n v="100"/>
    <n v="17"/>
  </r>
  <r>
    <s v="gamodana"/>
    <s v="akorybko"/>
    <m/>
    <m/>
    <m/>
    <m/>
    <m/>
    <m/>
    <m/>
    <m/>
    <s v="No"/>
    <n v="198"/>
    <m/>
    <m/>
    <s v="Retweet"/>
    <x v="132"/>
    <s v="Without intending to, this #NAFO #Fella perfectly encapsulated the gist of my analyses in this meme. _x000a__x000a_It’s time for those who #StandWithRussia to do away with all #WishfulThinking!_x000a__x000a_Sober, serious analyses are the need of the hour as Russia contemplates #TotalWar 💤🇷🇺💤 https://t.co/pBHTXxqfR5"/>
    <s v="https://twitter.com/MaxDfelladius/status/1569308389137649669"/>
    <s v="twitter.com"/>
    <s v="nafo fella standwithrussia wishfulthinking totalwar"/>
    <m/>
    <s v="https://pbs.twimg.com/profile_images/1490317095183294464/1tjDF5N-_normal.jpg"/>
    <d v="2022-09-12T13:29:05.000"/>
    <d v="2022-09-12T00:00:00.000"/>
    <s v="13:29:05"/>
    <s v="https://twitter.com/gamodana/status/1569317173545545728"/>
    <m/>
    <m/>
    <s v="1569317173545545728"/>
    <m/>
    <b v="0"/>
    <n v="0"/>
    <s v=""/>
    <b v="1"/>
    <s v="en"/>
    <m/>
    <s v="1569308389137649669"/>
    <b v="0"/>
    <n v="4"/>
    <s v="1569314814589108225"/>
    <s v="Twitter for Android"/>
    <b v="0"/>
    <s v="1569314814589108225"/>
    <s v="Tweet"/>
    <n v="0"/>
    <n v="0"/>
    <m/>
    <m/>
    <m/>
    <m/>
    <m/>
    <m/>
    <m/>
    <m/>
    <n v="1"/>
    <s v="17"/>
    <s v="17"/>
    <n v="1"/>
    <n v="2.380952380952381"/>
    <n v="1"/>
    <n v="2.380952380952381"/>
    <n v="0"/>
    <n v="0"/>
    <n v="40"/>
    <n v="95.23809523809524"/>
    <n v="42"/>
  </r>
  <r>
    <s v="solomon73155195"/>
    <s v="akorybko"/>
    <m/>
    <m/>
    <m/>
    <m/>
    <m/>
    <m/>
    <m/>
    <m/>
    <s v="No"/>
    <n v="199"/>
    <m/>
    <m/>
    <s v="Replies to"/>
    <x v="133"/>
    <s v="@AKorybko #StandWithRussia"/>
    <m/>
    <m/>
    <s v="standwithrussia"/>
    <m/>
    <s v="https://pbs.twimg.com/profile_images/1565601273793155072/_ZBFA3xK_normal.jpg"/>
    <d v="2022-09-12T14:01:05.000"/>
    <d v="2022-09-12T00:00:00.000"/>
    <s v="14:01:05"/>
    <s v="https://twitter.com/solomon73155195/status/1569325225749217282"/>
    <m/>
    <m/>
    <s v="1569325225749217282"/>
    <s v="1569314814589108225"/>
    <b v="0"/>
    <n v="0"/>
    <s v="923106269761851392"/>
    <b v="0"/>
    <s v="und"/>
    <m/>
    <s v=""/>
    <b v="0"/>
    <n v="0"/>
    <s v=""/>
    <s v="Twitter for Android"/>
    <b v="0"/>
    <s v="1569314814589108225"/>
    <s v="Tweet"/>
    <n v="0"/>
    <n v="0"/>
    <m/>
    <m/>
    <m/>
    <m/>
    <m/>
    <m/>
    <m/>
    <m/>
    <n v="1"/>
    <s v="17"/>
    <s v="17"/>
    <n v="0"/>
    <n v="0"/>
    <n v="0"/>
    <n v="0"/>
    <n v="0"/>
    <n v="0"/>
    <n v="2"/>
    <n v="100"/>
    <n v="2"/>
  </r>
  <r>
    <s v="mariusstannard"/>
    <s v="judeanne66"/>
    <m/>
    <m/>
    <m/>
    <m/>
    <m/>
    <m/>
    <m/>
    <m/>
    <s v="No"/>
    <n v="200"/>
    <m/>
    <m/>
    <s v="Mentions"/>
    <x v="134"/>
    <s v="@SpencerGuard @judeanne66 It has also banned every opposition party. It is without doubt behaving like a fascist government. #StandWithRussia  #FreePalestine #No2Fascists &amp;gt;Zionist or Ukrainian."/>
    <m/>
    <m/>
    <s v="standwithrussia freepalestine no2fascists"/>
    <m/>
    <s v="https://pbs.twimg.com/profile_images/1544271154147385345/p1GlPOSh_normal.png"/>
    <d v="2022-09-12T14:30:55.000"/>
    <d v="2022-09-12T00:00:00.000"/>
    <s v="14:30:55"/>
    <s v="https://twitter.com/mariusstannard/status/1569332733486268416"/>
    <m/>
    <m/>
    <s v="1569332733486268416"/>
    <s v="1568623034856251398"/>
    <b v="0"/>
    <n v="0"/>
    <s v="792054557501038592"/>
    <b v="0"/>
    <s v="en"/>
    <m/>
    <s v=""/>
    <b v="0"/>
    <n v="0"/>
    <s v=""/>
    <s v="Twitter Web App"/>
    <b v="0"/>
    <s v="1568623034856251398"/>
    <s v="Tweet"/>
    <n v="0"/>
    <n v="0"/>
    <m/>
    <m/>
    <m/>
    <m/>
    <m/>
    <m/>
    <m/>
    <m/>
    <n v="1"/>
    <s v="1"/>
    <s v="1"/>
    <m/>
    <m/>
    <m/>
    <m/>
    <m/>
    <m/>
    <m/>
    <m/>
    <m/>
  </r>
  <r>
    <s v="kr33b"/>
    <s v="kr33b"/>
    <m/>
    <m/>
    <m/>
    <m/>
    <m/>
    <m/>
    <m/>
    <m/>
    <s v="No"/>
    <n v="202"/>
    <m/>
    <m/>
    <s v="Tweet"/>
    <x v="135"/>
    <s v="* Najważniejsze wyniki badań to:_x000a_1) 60-80% wpisów z hashtagami #(I)StandWithPutin, #(I)StandWithRussia, #(I)SupportRussia, #(I)StandWithUkraine, #(I)StandWithZelenskyy and #(I)SupportUkraine były generowane przez boty_x000a_2) 90,16% z tych botowych kont były &quot;proUkraińskie&quot;_x000a_2/"/>
    <m/>
    <m/>
    <m/>
    <m/>
    <s v="https://pbs.twimg.com/profile_images/1287874019660791808/wm9JfkaQ_normal.jpg"/>
    <d v="2022-09-12T15:09:10.000"/>
    <d v="2022-09-12T00:00:00.000"/>
    <s v="15:09:10"/>
    <s v="https://twitter.com/kr33b/status/1569342361083457537"/>
    <m/>
    <m/>
    <s v="1569342361083457537"/>
    <s v="1569342020220600320"/>
    <b v="0"/>
    <n v="2"/>
    <s v="867871016"/>
    <b v="0"/>
    <s v="pl"/>
    <m/>
    <s v=""/>
    <b v="0"/>
    <n v="1"/>
    <s v=""/>
    <s v="Twitter Web App"/>
    <b v="0"/>
    <s v="1569342020220600320"/>
    <s v="Tweet"/>
    <n v="0"/>
    <n v="0"/>
    <m/>
    <m/>
    <m/>
    <m/>
    <m/>
    <m/>
    <m/>
    <m/>
    <n v="1"/>
    <s v="48"/>
    <s v="48"/>
    <n v="0"/>
    <n v="0"/>
    <n v="0"/>
    <n v="0"/>
    <n v="0"/>
    <n v="0"/>
    <n v="37"/>
    <n v="100"/>
    <n v="37"/>
  </r>
  <r>
    <s v="pp_now"/>
    <s v="kr33b"/>
    <m/>
    <m/>
    <m/>
    <m/>
    <m/>
    <m/>
    <m/>
    <m/>
    <s v="No"/>
    <n v="203"/>
    <m/>
    <m/>
    <s v="Retweet"/>
    <x v="136"/>
    <s v="* Najważniejsze wyniki badań to:_x000a_1) 60-80% wpisów z hashtagami #(I)StandWithPutin, #(I)StandWithRussia, #(I)SupportRussia, #(I)StandWithUkraine, #(I)StandWithZelenskyy and #(I)SupportUkraine były generowane przez boty_x000a_2) 90,16% z tych botowych kont były &quot;proUkraińskie&quot;_x000a_2/"/>
    <m/>
    <m/>
    <m/>
    <m/>
    <s v="https://pbs.twimg.com/profile_images/1222634122411237376/IwyBl8Vy_normal.jpg"/>
    <d v="2022-09-12T16:08:09.000"/>
    <d v="2022-09-12T00:00:00.000"/>
    <s v="16:08:09"/>
    <s v="https://twitter.com/pp_now/status/1569357205987532800"/>
    <m/>
    <m/>
    <s v="1569357205987532800"/>
    <m/>
    <b v="0"/>
    <n v="0"/>
    <s v=""/>
    <b v="0"/>
    <s v="pl"/>
    <m/>
    <s v=""/>
    <b v="0"/>
    <n v="1"/>
    <s v="1569342361083457537"/>
    <s v="Twitter for Android"/>
    <b v="0"/>
    <s v="1569342361083457537"/>
    <s v="Tweet"/>
    <n v="0"/>
    <n v="0"/>
    <m/>
    <m/>
    <m/>
    <m/>
    <m/>
    <m/>
    <m/>
    <m/>
    <n v="1"/>
    <s v="48"/>
    <s v="48"/>
    <n v="0"/>
    <n v="0"/>
    <n v="0"/>
    <n v="0"/>
    <n v="0"/>
    <n v="0"/>
    <n v="37"/>
    <n v="100"/>
    <n v="37"/>
  </r>
  <r>
    <s v="ymnkv"/>
    <s v="akorybko"/>
    <m/>
    <m/>
    <m/>
    <m/>
    <m/>
    <m/>
    <m/>
    <m/>
    <s v="No"/>
    <n v="204"/>
    <m/>
    <m/>
    <s v="Retweet"/>
    <x v="137"/>
    <s v="Without intending to, this #NAFO #Fella perfectly encapsulated the gist of my analyses in this meme. _x000a__x000a_It’s time for those who #StandWithRussia to do away with all #WishfulThinking!_x000a__x000a_Sober, serious analyses are the need of the hour as Russia contemplates #TotalWar 💤🇷🇺💤 https://t.co/pBHTXxqfR5"/>
    <s v="https://twitter.com/MaxDfelladius/status/1569308389137649669"/>
    <s v="twitter.com"/>
    <s v="nafo fella standwithrussia wishfulthinking totalwar"/>
    <m/>
    <s v="https://pbs.twimg.com/profile_images/1570257207110897666/NP3eJKG7_normal.jpg"/>
    <d v="2022-09-12T16:11:13.000"/>
    <d v="2022-09-12T00:00:00.000"/>
    <s v="16:11:13"/>
    <s v="https://twitter.com/ymnkv/status/1569357974484799489"/>
    <m/>
    <m/>
    <s v="1569357974484799489"/>
    <m/>
    <b v="0"/>
    <n v="0"/>
    <s v=""/>
    <b v="1"/>
    <s v="en"/>
    <m/>
    <s v="1569308389137649669"/>
    <b v="0"/>
    <n v="4"/>
    <s v="1569314814589108225"/>
    <s v="Twitter Web App"/>
    <b v="0"/>
    <s v="1569314814589108225"/>
    <s v="Tweet"/>
    <n v="0"/>
    <n v="0"/>
    <m/>
    <m/>
    <m/>
    <m/>
    <m/>
    <m/>
    <m/>
    <m/>
    <n v="1"/>
    <s v="17"/>
    <s v="17"/>
    <n v="1"/>
    <n v="2.380952380952381"/>
    <n v="1"/>
    <n v="2.380952380952381"/>
    <n v="0"/>
    <n v="0"/>
    <n v="40"/>
    <n v="95.23809523809524"/>
    <n v="42"/>
  </r>
  <r>
    <s v="akorybko"/>
    <s v="akorybko"/>
    <m/>
    <m/>
    <m/>
    <m/>
    <m/>
    <m/>
    <m/>
    <m/>
    <s v="No"/>
    <n v="205"/>
    <m/>
    <m/>
    <s v="Tweet"/>
    <x v="138"/>
    <s v="Without intending to, this #NAFO #Fella perfectly encapsulated the gist of my analyses in this meme. _x000a__x000a_It’s time for those who #StandWithRussia to do away with all #WishfulThinking!_x000a__x000a_Sober, serious analyses are the need of the hour as Russia contemplates #TotalWar 💤🇷🇺💤 https://t.co/pBHTXxqfR5"/>
    <s v="https://twitter.com/MaxDfelladius/status/1569308389137649669"/>
    <s v="twitter.com"/>
    <s v="nafo fella standwithrussia wishfulthinking totalwar"/>
    <m/>
    <s v="https://pbs.twimg.com/profile_images/923110970515513344/mN-gzyJK_normal.jpg"/>
    <d v="2022-09-12T13:19:42.000"/>
    <d v="2022-09-12T00:00:00.000"/>
    <s v="13:19:42"/>
    <s v="https://twitter.com/akorybko/status/1569314814589108225"/>
    <m/>
    <m/>
    <s v="1569314814589108225"/>
    <m/>
    <b v="0"/>
    <n v="16"/>
    <s v=""/>
    <b v="1"/>
    <s v="en"/>
    <m/>
    <s v="1569308389137649669"/>
    <b v="0"/>
    <n v="4"/>
    <s v=""/>
    <s v="Twitter for iPhone"/>
    <b v="0"/>
    <s v="1569314814589108225"/>
    <s v="Tweet"/>
    <n v="0"/>
    <n v="0"/>
    <m/>
    <m/>
    <m/>
    <m/>
    <m/>
    <m/>
    <m/>
    <m/>
    <n v="1"/>
    <s v="17"/>
    <s v="17"/>
    <n v="1"/>
    <n v="2.380952380952381"/>
    <n v="1"/>
    <n v="2.380952380952381"/>
    <n v="0"/>
    <n v="0"/>
    <n v="40"/>
    <n v="95.23809523809524"/>
    <n v="42"/>
  </r>
  <r>
    <s v="carmenacoleman"/>
    <s v="akorybko"/>
    <m/>
    <m/>
    <m/>
    <m/>
    <m/>
    <m/>
    <m/>
    <m/>
    <s v="No"/>
    <n v="206"/>
    <m/>
    <m/>
    <s v="Retweet"/>
    <x v="139"/>
    <s v="Without intending to, this #NAFO #Fella perfectly encapsulated the gist of my analyses in this meme. _x000a__x000a_It’s time for those who #StandWithRussia to do away with all #WishfulThinking!_x000a__x000a_Sober, serious analyses are the need of the hour as Russia contemplates #TotalWar 💤🇷🇺💤 https://t.co/pBHTXxqfR5"/>
    <s v="https://twitter.com/MaxDfelladius/status/1569308389137649669"/>
    <s v="twitter.com"/>
    <s v="nafo fella standwithrussia wishfulthinking totalwar"/>
    <m/>
    <s v="https://pbs.twimg.com/profile_images/636582458176221184/2uRQQx1e_normal.png"/>
    <d v="2022-09-12T17:52:59.000"/>
    <d v="2022-09-12T00:00:00.000"/>
    <s v="17:52:59"/>
    <s v="https://twitter.com/carmenacoleman/status/1569383585815166976"/>
    <m/>
    <m/>
    <s v="1569383585815166976"/>
    <m/>
    <b v="0"/>
    <n v="0"/>
    <s v=""/>
    <b v="1"/>
    <s v="en"/>
    <m/>
    <s v="1569308389137649669"/>
    <b v="0"/>
    <n v="4"/>
    <s v="1569314814589108225"/>
    <s v="Twitter Web App"/>
    <b v="0"/>
    <s v="1569314814589108225"/>
    <s v="Tweet"/>
    <n v="0"/>
    <n v="0"/>
    <m/>
    <m/>
    <m/>
    <m/>
    <m/>
    <m/>
    <m/>
    <m/>
    <n v="1"/>
    <s v="17"/>
    <s v="17"/>
    <n v="1"/>
    <n v="2.380952380952381"/>
    <n v="1"/>
    <n v="2.380952380952381"/>
    <n v="0"/>
    <n v="0"/>
    <n v="40"/>
    <n v="95.23809523809524"/>
    <n v="42"/>
  </r>
  <r>
    <s v="berniedelf"/>
    <s v="actualidadrt"/>
    <m/>
    <m/>
    <m/>
    <m/>
    <m/>
    <m/>
    <m/>
    <m/>
    <s v="No"/>
    <n v="207"/>
    <m/>
    <m/>
    <s v="Replies to"/>
    <x v="140"/>
    <s v="@ActualidadRT #PutinWarCriminal #StandWithRussia"/>
    <m/>
    <m/>
    <s v="putinwarcriminal standwithrussia"/>
    <m/>
    <s v="https://pbs.twimg.com/profile_images/1332671007883137026/M20mm0Jg_normal.jpg"/>
    <d v="2022-09-12T19:08:30.000"/>
    <d v="2022-09-12T00:00:00.000"/>
    <s v="19:08:30"/>
    <s v="https://twitter.com/berniedelf/status/1569402590672130048"/>
    <m/>
    <m/>
    <s v="1569402590672130048"/>
    <s v="1569400451551969282"/>
    <b v="0"/>
    <n v="0"/>
    <s v="100731315"/>
    <b v="0"/>
    <s v="und"/>
    <m/>
    <s v=""/>
    <b v="0"/>
    <n v="0"/>
    <s v=""/>
    <s v="Twitter Web App"/>
    <b v="0"/>
    <s v="1569400451551969282"/>
    <s v="Tweet"/>
    <n v="0"/>
    <n v="0"/>
    <m/>
    <m/>
    <m/>
    <m/>
    <m/>
    <m/>
    <m/>
    <m/>
    <n v="1"/>
    <s v="47"/>
    <s v="47"/>
    <n v="0"/>
    <n v="0"/>
    <n v="0"/>
    <n v="0"/>
    <n v="0"/>
    <n v="0"/>
    <n v="3"/>
    <n v="100"/>
    <n v="3"/>
  </r>
  <r>
    <s v="arifvns1985"/>
    <s v="reuters"/>
    <m/>
    <m/>
    <m/>
    <m/>
    <m/>
    <m/>
    <m/>
    <m/>
    <s v="No"/>
    <n v="208"/>
    <m/>
    <m/>
    <s v="Replies to"/>
    <x v="141"/>
    <s v="@Reuters #BoycottQatar #BoycottQatar2022 #BoycottQatarFifaWorldcup2022 #BoycottFifa #BoycottFifaWorldCup2022 #BoycottQatarAirways #BoycottArab #BoycottPuppetsOfAmerica #BoycottWahabiIslam #BoycottMohammadBinAbdulWahabIslam #BoycottAljajeera #BoycottAmerica #StandWithRussia"/>
    <m/>
    <m/>
    <s v="boycottqatar boycottqatar2022 boycottqatarfifaworldcup2022 boycottfifa boycottfifaworldcup2022 boycottqatarairways boycottarab boycottpuppetsofamerica boycottwahabiislam boycottmohammadbinabdulwahabislam boycottaljajeera boycottamerica standwithrussia"/>
    <m/>
    <s v="https://pbs.twimg.com/profile_images/1561835387508740098/-ajRrRYm_normal.jpg"/>
    <d v="2022-09-12T21:13:53.000"/>
    <d v="2022-09-12T00:00:00.000"/>
    <s v="21:13:53"/>
    <s v="https://twitter.com/arifvns1985/status/1569434143548907523"/>
    <m/>
    <m/>
    <s v="1569434143548907523"/>
    <s v="1569432222771429377"/>
    <b v="0"/>
    <n v="1"/>
    <s v="1652541"/>
    <b v="0"/>
    <s v="und"/>
    <m/>
    <s v=""/>
    <b v="0"/>
    <n v="0"/>
    <s v=""/>
    <s v="Twitter for iPhone"/>
    <b v="0"/>
    <s v="1569432222771429377"/>
    <s v="Tweet"/>
    <n v="0"/>
    <n v="0"/>
    <m/>
    <m/>
    <m/>
    <m/>
    <m/>
    <m/>
    <m/>
    <m/>
    <n v="1"/>
    <s v="46"/>
    <s v="46"/>
    <n v="0"/>
    <n v="0"/>
    <n v="0"/>
    <n v="0"/>
    <n v="0"/>
    <n v="0"/>
    <n v="14"/>
    <n v="100"/>
    <n v="14"/>
  </r>
  <r>
    <s v="varyagi"/>
    <s v="varyagi"/>
    <m/>
    <m/>
    <m/>
    <m/>
    <m/>
    <m/>
    <m/>
    <m/>
    <s v="No"/>
    <n v="209"/>
    <m/>
    <m/>
    <s v="Tweet"/>
    <x v="142"/>
    <s v="@TAHDMB Many in Norway also #StandWithRussia. Good to keep history in mind at times when the west is drowning the masses in hysterical lies. We'll never forget how #Russia was first in line to recognize our own independence in 1905, nor how the #RedArmy later swept out the nazis._x000a__x000a_🇳🇴❤️🇷🇺 https://t.co/g2SxKZAaxX"/>
    <m/>
    <m/>
    <s v="standwithrussia russia redarmy"/>
    <s v="https://pbs.twimg.com/media/FR3Y1LuXsAQ67ek.jpg"/>
    <s v="https://pbs.twimg.com/media/FR3Y1LuXsAQ67ek.jpg"/>
    <d v="2022-05-03T22:28:15.000"/>
    <d v="2022-05-03T00:00:00.000"/>
    <s v="22:28:15"/>
    <s v="https://twitter.com/varyagi/status/1521617663776239616"/>
    <m/>
    <m/>
    <s v="1521617663776239616"/>
    <s v="1521191570359341058"/>
    <b v="0"/>
    <n v="52"/>
    <s v="1492527784656318469"/>
    <b v="0"/>
    <s v="en"/>
    <m/>
    <s v=""/>
    <b v="0"/>
    <n v="19"/>
    <s v=""/>
    <s v="Twitter Web App"/>
    <b v="0"/>
    <s v="1521191570359341058"/>
    <s v="Retweet"/>
    <n v="0"/>
    <n v="0"/>
    <m/>
    <m/>
    <m/>
    <m/>
    <m/>
    <m/>
    <m/>
    <m/>
    <n v="2"/>
    <s v="2"/>
    <s v="2"/>
    <n v="1"/>
    <n v="2.0408163265306123"/>
    <n v="3"/>
    <n v="6.122448979591836"/>
    <n v="0"/>
    <n v="0"/>
    <n v="45"/>
    <n v="91.83673469387755"/>
    <n v="49"/>
  </r>
  <r>
    <s v="varyagi"/>
    <s v="varyagi"/>
    <m/>
    <m/>
    <m/>
    <m/>
    <m/>
    <m/>
    <m/>
    <m/>
    <s v="No"/>
    <n v="210"/>
    <m/>
    <m/>
    <s v="Retweet"/>
    <x v="143"/>
    <s v="@TAHDMB Many in Norway also #StandWithRussia. Good to keep history in mind at times when the west is drowning the masses in hysterical lies. We'll never forget how #Russia was first in line to recognize our own independence in 1905, nor how the #RedArmy later swept out the nazis._x000a__x000a_🇳🇴❤️🇷🇺 https://t.co/g2SxKZAaxX"/>
    <m/>
    <m/>
    <s v="standwithrussia russia redarmy"/>
    <s v="https://pbs.twimg.com/media/FR3Y1LuXsAQ67ek.jpg"/>
    <s v="https://pbs.twimg.com/media/FR3Y1LuXsAQ67ek.jpg"/>
    <d v="2022-09-12T22:09:38.000"/>
    <d v="2022-09-12T00:00:00.000"/>
    <s v="22:09:38"/>
    <s v="https://twitter.com/varyagi/status/1569448174128881664"/>
    <m/>
    <m/>
    <s v="1569448174128881664"/>
    <m/>
    <b v="0"/>
    <n v="0"/>
    <s v=""/>
    <b v="0"/>
    <s v="en"/>
    <m/>
    <s v=""/>
    <b v="0"/>
    <n v="19"/>
    <s v="1521617663776239616"/>
    <s v="Twitter Web App"/>
    <b v="0"/>
    <s v="1521617663776239616"/>
    <s v="Tweet"/>
    <n v="0"/>
    <n v="0"/>
    <m/>
    <m/>
    <m/>
    <m/>
    <m/>
    <m/>
    <m/>
    <m/>
    <n v="2"/>
    <s v="2"/>
    <s v="2"/>
    <n v="1"/>
    <n v="2.0408163265306123"/>
    <n v="3"/>
    <n v="6.122448979591836"/>
    <n v="0"/>
    <n v="0"/>
    <n v="45"/>
    <n v="91.83673469387755"/>
    <n v="49"/>
  </r>
  <r>
    <s v="peter_b_c"/>
    <s v="plnewstoday"/>
    <m/>
    <m/>
    <m/>
    <m/>
    <m/>
    <m/>
    <m/>
    <m/>
    <s v="No"/>
    <n v="211"/>
    <m/>
    <m/>
    <s v="Mentions"/>
    <x v="144"/>
    <s v="@SurfingCelia @TermitesTurd @PLnewstoday They looked at accounts using 1 of 12 hashtags:_x000a_#(I)StandWithPutin, #(I)StandWithRussia, #(I)SupportRussia, #(I)StandWithUkraine, #(I)StandWithZelenskyy and #(I)SupportUkraine_x000a_[12 because with or without I, eg SupportRussia or ISupportRussia]_x000a_Why?? I have never used any of them."/>
    <m/>
    <m/>
    <m/>
    <m/>
    <s v="https://abs.twimg.com/sticky/default_profile_images/default_profile_normal.png"/>
    <d v="2022-09-13T01:23:06.000"/>
    <d v="2022-09-13T00:00:00.000"/>
    <s v="01:23:06"/>
    <s v="https://twitter.com/peter_b_c/status/1569496861370884096"/>
    <m/>
    <m/>
    <s v="1569496861370884096"/>
    <s v="1569435923502465026"/>
    <b v="0"/>
    <n v="0"/>
    <s v="1297464842287226880"/>
    <b v="0"/>
    <s v="en"/>
    <m/>
    <s v=""/>
    <b v="0"/>
    <n v="0"/>
    <s v=""/>
    <s v="Twitter for iPad"/>
    <b v="0"/>
    <s v="1569435923502465026"/>
    <s v="Tweet"/>
    <n v="0"/>
    <n v="0"/>
    <m/>
    <m/>
    <m/>
    <m/>
    <m/>
    <m/>
    <m/>
    <m/>
    <n v="1"/>
    <s v="26"/>
    <s v="26"/>
    <m/>
    <m/>
    <m/>
    <m/>
    <m/>
    <m/>
    <m/>
    <m/>
    <m/>
  </r>
  <r>
    <s v="cookiegonewrong"/>
    <s v="heinrich_haupt"/>
    <m/>
    <m/>
    <m/>
    <m/>
    <m/>
    <m/>
    <m/>
    <m/>
    <s v="No"/>
    <n v="214"/>
    <m/>
    <m/>
    <s v="Replies to"/>
    <x v="145"/>
    <s v="@heinrich_haupt #Putin is playing you! #StandWithRussia. F#*#* Ukraine F239 EU! from a small gain you get crazy! we knew it .. but this was a Nato way of pushing back. time to go for WW3! And enjoy the nukes!"/>
    <m/>
    <m/>
    <s v="putin standwithrussia"/>
    <m/>
    <s v="https://pbs.twimg.com/profile_images/1423346020805644288/T3n4AiLz_normal.jpg"/>
    <d v="2022-09-13T08:11:01.000"/>
    <d v="2022-09-13T00:00:00.000"/>
    <s v="08:11:01"/>
    <s v="https://twitter.com/cookiegonewrong/status/1569599519880540160"/>
    <m/>
    <m/>
    <s v="1569599519880540160"/>
    <s v="1569552445847511040"/>
    <b v="0"/>
    <n v="0"/>
    <s v="774955073067687936"/>
    <b v="0"/>
    <s v="en"/>
    <m/>
    <s v=""/>
    <b v="0"/>
    <n v="0"/>
    <s v=""/>
    <s v="Twitter Web App"/>
    <b v="0"/>
    <s v="1569552445847511040"/>
    <s v="Tweet"/>
    <n v="0"/>
    <n v="0"/>
    <m/>
    <m/>
    <m/>
    <m/>
    <m/>
    <m/>
    <m/>
    <m/>
    <n v="1"/>
    <s v="45"/>
    <s v="45"/>
    <n v="2"/>
    <n v="5.2631578947368425"/>
    <n v="1"/>
    <n v="2.6315789473684212"/>
    <n v="0"/>
    <n v="0"/>
    <n v="35"/>
    <n v="92.10526315789474"/>
    <n v="38"/>
  </r>
  <r>
    <s v="theliverpooly"/>
    <s v="cnn"/>
    <m/>
    <m/>
    <m/>
    <m/>
    <m/>
    <m/>
    <m/>
    <m/>
    <s v="No"/>
    <n v="215"/>
    <m/>
    <m/>
    <s v="Mentions"/>
    <x v="146"/>
    <s v="@Chimdi0811 @CNN Azerbaijan’s unprovoked attacks are backed by Turkey. Turkey is a NATO member, so sanctions won’t be issued. #standwitharmenia It seems sanctions are only issued to non NATO members #standwithrussia"/>
    <m/>
    <m/>
    <s v="standwitharmenia standwithrussia"/>
    <m/>
    <s v="https://pbs.twimg.com/profile_images/1065809287476318208/sExOz_YS_normal.jpg"/>
    <d v="2022-09-13T11:22:42.000"/>
    <d v="2022-09-13T00:00:00.000"/>
    <s v="11:22:42"/>
    <s v="https://twitter.com/theliverpooly/status/1569647757820067845"/>
    <m/>
    <m/>
    <s v="1569647757820067845"/>
    <s v="1569623305644130305"/>
    <b v="0"/>
    <n v="0"/>
    <s v="1492411357785903104"/>
    <b v="0"/>
    <s v="en"/>
    <m/>
    <s v=""/>
    <b v="0"/>
    <n v="0"/>
    <s v=""/>
    <s v="Twitter for iPhone"/>
    <b v="0"/>
    <s v="1569623305644130305"/>
    <s v="Tweet"/>
    <n v="0"/>
    <n v="0"/>
    <m/>
    <m/>
    <m/>
    <m/>
    <m/>
    <m/>
    <m/>
    <m/>
    <n v="1"/>
    <s v="34"/>
    <s v="34"/>
    <m/>
    <m/>
    <m/>
    <m/>
    <m/>
    <m/>
    <m/>
    <m/>
    <m/>
  </r>
  <r>
    <s v="wille_keurige"/>
    <s v="pwrdbyanthony"/>
    <m/>
    <m/>
    <m/>
    <m/>
    <m/>
    <m/>
    <m/>
    <m/>
    <s v="No"/>
    <n v="217"/>
    <m/>
    <m/>
    <s v="Mentions"/>
    <x v="147"/>
    <s v="@sunshinesaskia @pwrdbyanthony Hoho jij leest graag wat je wil lezen blijkbaar._x000a__x000a_#(I)StandWithPutin, #(I)StandWithRussia, #(I)SupportRussia, #(I)StandWithUkraine, #(I)StandWithZelenskyy and #(I)SupportUkraine._x000a__x000a_Was 60-80% nep oftewel ook van Russische zijde."/>
    <m/>
    <m/>
    <m/>
    <m/>
    <s v="https://pbs.twimg.com/profile_images/1497900647550697473/Ezdr-fMu_normal.png"/>
    <d v="2022-09-13T11:29:51.000"/>
    <d v="2022-09-13T00:00:00.000"/>
    <s v="11:29:51"/>
    <s v="https://twitter.com/wille_keurige/status/1569649555582644224"/>
    <m/>
    <m/>
    <s v="1569649555582644224"/>
    <s v="1569635560041365504"/>
    <b v="0"/>
    <n v="5"/>
    <s v="162368802"/>
    <b v="0"/>
    <s v="nl"/>
    <m/>
    <s v=""/>
    <b v="0"/>
    <n v="0"/>
    <s v=""/>
    <s v="Twitter Web App"/>
    <b v="0"/>
    <s v="1569635560041365504"/>
    <s v="Tweet"/>
    <n v="0"/>
    <n v="0"/>
    <m/>
    <m/>
    <m/>
    <m/>
    <m/>
    <m/>
    <m/>
    <m/>
    <n v="1"/>
    <s v="33"/>
    <s v="33"/>
    <m/>
    <m/>
    <m/>
    <m/>
    <m/>
    <m/>
    <m/>
    <m/>
    <m/>
  </r>
  <r>
    <s v="pxalbert1"/>
    <s v="heinzpetergnth2"/>
    <m/>
    <m/>
    <m/>
    <m/>
    <m/>
    <m/>
    <m/>
    <m/>
    <s v="No"/>
    <n v="219"/>
    <m/>
    <m/>
    <s v="Mentions"/>
    <x v="148"/>
    <s v="Solche Aussagen zeigen nicht nur, dass die Nazis jetzt bei den Grünen zu finden sind, von wo aus sie den Russlandfeldzug zu Ende führen wollen, das bringt @DJanecek auch ganz nach vorne, wenn es um die Tribunale geht. #StandWithRussia @HeinzPeterGnth2 #neutralgermany https://t.co/NhSrK234V2"/>
    <s v="https://twitter.com/DJanecek/status/1569290251906031619"/>
    <s v="twitter.com"/>
    <s v="standwithrussia neutralgermany"/>
    <m/>
    <s v="https://pbs.twimg.com/profile_images/1117568007499284480/ks2D6uA6_normal.jpg"/>
    <d v="2022-09-13T11:44:48.000"/>
    <d v="2022-09-13T00:00:00.000"/>
    <s v="11:44:48"/>
    <s v="https://twitter.com/pxalbert1/status/1569653318976167936"/>
    <m/>
    <m/>
    <s v="1569653318976167936"/>
    <m/>
    <b v="0"/>
    <n v="2"/>
    <s v=""/>
    <b v="1"/>
    <s v="de"/>
    <m/>
    <s v="1569290251906031619"/>
    <b v="0"/>
    <n v="0"/>
    <s v=""/>
    <s v="Twitter for iPhone"/>
    <b v="0"/>
    <s v="1569653318976167936"/>
    <s v="Tweet"/>
    <n v="0"/>
    <n v="0"/>
    <m/>
    <m/>
    <m/>
    <m/>
    <m/>
    <m/>
    <m/>
    <m/>
    <n v="1"/>
    <s v="32"/>
    <s v="32"/>
    <m/>
    <m/>
    <m/>
    <m/>
    <m/>
    <m/>
    <m/>
    <m/>
    <m/>
  </r>
  <r>
    <s v="pxalbert1"/>
    <s v="pxalbert1"/>
    <m/>
    <m/>
    <m/>
    <m/>
    <m/>
    <m/>
    <m/>
    <m/>
    <s v="No"/>
    <n v="221"/>
    <m/>
    <m/>
    <s v="Tweet"/>
    <x v="149"/>
    <s v="Ich dachte immer, dass Frauen vernünftiger wären und begreifen, dass Krieg das Schlimmste ist, das man Menschen antun kann. Jede Waffenlieferung schafft mehr Tote, euch interessiert jedoch nur die Fortsetzung des Russlandfeldzug. 50 Mio Tote reichen euch nicht. #StandWithRussia https://t.co/gNL0NErNWe"/>
    <s v="https://twitter.com/EFDavies/status/1569272600055930880"/>
    <s v="twitter.com"/>
    <s v="standwithrussia"/>
    <m/>
    <s v="https://pbs.twimg.com/profile_images/1117568007499284480/ks2D6uA6_normal.jpg"/>
    <d v="2022-09-12T11:32:43.000"/>
    <d v="2022-09-12T00:00:00.000"/>
    <s v="11:32:43"/>
    <s v="https://twitter.com/pxalbert1/status/1569287891695665152"/>
    <m/>
    <m/>
    <s v="1569287891695665152"/>
    <m/>
    <b v="0"/>
    <n v="1"/>
    <s v=""/>
    <b v="1"/>
    <s v="de"/>
    <m/>
    <s v="1569272600055930880"/>
    <b v="0"/>
    <n v="0"/>
    <s v=""/>
    <s v="Twitter for iPhone"/>
    <b v="0"/>
    <s v="1569287891695665152"/>
    <s v="Tweet"/>
    <n v="0"/>
    <n v="0"/>
    <m/>
    <m/>
    <m/>
    <m/>
    <m/>
    <m/>
    <m/>
    <m/>
    <n v="1"/>
    <s v="32"/>
    <s v="32"/>
    <n v="0"/>
    <n v="0"/>
    <n v="1"/>
    <n v="2.5641025641025643"/>
    <n v="0"/>
    <n v="0"/>
    <n v="38"/>
    <n v="97.43589743589743"/>
    <n v="39"/>
  </r>
  <r>
    <s v="tamer_lannn"/>
    <s v="tamer_lannn"/>
    <m/>
    <m/>
    <m/>
    <m/>
    <m/>
    <m/>
    <m/>
    <m/>
    <s v="No"/>
    <n v="222"/>
    <m/>
    <m/>
    <s v="Tweet"/>
    <x v="150"/>
    <s v="Hələ bəzilərinin profilində “StandwithUkraine” yazılanları var no war deyir. Peysəllər hələdə başa düşmürki öz ərazisini qoruyan Ukrayna ilə Azərbaycan arasında fərq yoxdu. Maraqlıdı görəsən Ukrayna Krıma girəndə  adlarını dəyişdirib “StandwithRussia” eliyəcəklər ya yox. https://t.co/PMdv41npVe"/>
    <s v="https://twitter.com/M_Guliyev2/status/1569679577844154369"/>
    <s v="twitter.com"/>
    <m/>
    <m/>
    <s v="https://pbs.twimg.com/profile_images/1558438671887605760/dKtWLXtK_normal.jpg"/>
    <d v="2022-09-13T13:35:08.000"/>
    <d v="2022-09-13T00:00:00.000"/>
    <s v="13:35:08"/>
    <s v="https://twitter.com/tamer_lannn/status/1569681086686306304"/>
    <m/>
    <m/>
    <s v="1569681086686306304"/>
    <m/>
    <b v="0"/>
    <n v="9"/>
    <s v=""/>
    <b v="1"/>
    <s v="tr"/>
    <m/>
    <s v="1569679577844154369"/>
    <b v="0"/>
    <n v="0"/>
    <s v=""/>
    <s v="Twitter for iPhone"/>
    <b v="0"/>
    <s v="1569681086686306304"/>
    <s v="Tweet"/>
    <n v="0"/>
    <n v="0"/>
    <m/>
    <m/>
    <m/>
    <m/>
    <m/>
    <m/>
    <m/>
    <m/>
    <n v="1"/>
    <s v="2"/>
    <s v="2"/>
    <n v="0"/>
    <n v="0"/>
    <n v="0"/>
    <n v="0"/>
    <n v="0"/>
    <n v="0"/>
    <n v="33"/>
    <n v="100"/>
    <n v="33"/>
  </r>
  <r>
    <s v="cagataycirit12"/>
    <s v="zelenskyyua"/>
    <m/>
    <m/>
    <m/>
    <m/>
    <m/>
    <m/>
    <m/>
    <m/>
    <s v="No"/>
    <n v="223"/>
    <m/>
    <m/>
    <s v="MentionsInRetweet"/>
    <x v="151"/>
    <s v="Ukrayna, Harkov metrosu. Işığına ne oldu @ZelenskyyUa ? 😎 #StandwithRussia #Russia https://t.co/LlKC2JpCfQ"/>
    <m/>
    <m/>
    <s v="standwithrussia russia"/>
    <s v="https://pbs.twimg.com/ext_tw_video_thumb/1569314489102630913/pu/img/BR0KDvRYMz2wMx5y.jpg"/>
    <s v="https://pbs.twimg.com/ext_tw_video_thumb/1569314489102630913/pu/img/BR0KDvRYMz2wMx5y.jpg"/>
    <d v="2022-09-12T16:11:17.000"/>
    <d v="2022-09-12T00:00:00.000"/>
    <s v="16:11:17"/>
    <s v="https://twitter.com/cagataycirit12/status/1569357992784453634"/>
    <m/>
    <m/>
    <s v="1569357992784453634"/>
    <m/>
    <b v="0"/>
    <n v="0"/>
    <s v=""/>
    <b v="0"/>
    <s v="tr"/>
    <m/>
    <s v=""/>
    <b v="0"/>
    <n v="2"/>
    <s v="1569314539979653120"/>
    <s v="Twitter for iPhone"/>
    <b v="0"/>
    <s v="1569314539979653120"/>
    <s v="Tweet"/>
    <n v="0"/>
    <n v="0"/>
    <m/>
    <m/>
    <m/>
    <m/>
    <m/>
    <m/>
    <m/>
    <m/>
    <n v="1"/>
    <s v="3"/>
    <s v="3"/>
    <m/>
    <m/>
    <m/>
    <m/>
    <m/>
    <m/>
    <m/>
    <m/>
    <m/>
  </r>
  <r>
    <s v="cagataycirit12"/>
    <s v="amaresyev"/>
    <m/>
    <m/>
    <m/>
    <m/>
    <m/>
    <m/>
    <m/>
    <m/>
    <s v="No"/>
    <n v="225"/>
    <m/>
    <m/>
    <s v="Retweet"/>
    <x v="152"/>
    <s v="Ukronazi medyası, Rus askeri uçaklarının doğu sınırı boyunca uçtuğunu bildirdi. #StandwithRussia #RussianArmy #Russia https://t.co/YdBgWa04Tm"/>
    <m/>
    <m/>
    <s v="standwithrussia russianarmy russia"/>
    <s v="https://pbs.twimg.com/media/FciVAscX0AA7C40.jpg"/>
    <s v="https://pbs.twimg.com/media/FciVAscX0AA7C40.jpg"/>
    <d v="2022-09-13T13:37:08.000"/>
    <d v="2022-09-13T00:00:00.000"/>
    <s v="13:37:08"/>
    <s v="https://twitter.com/cagataycirit12/status/1569681587293532160"/>
    <m/>
    <m/>
    <s v="1569681587293532160"/>
    <m/>
    <b v="0"/>
    <n v="0"/>
    <s v=""/>
    <b v="0"/>
    <s v="tr"/>
    <m/>
    <s v=""/>
    <b v="0"/>
    <n v="2"/>
    <s v="1569668314779250688"/>
    <s v="Twitter for iPhone"/>
    <b v="0"/>
    <s v="1569668314779250688"/>
    <s v="Tweet"/>
    <n v="0"/>
    <n v="0"/>
    <m/>
    <m/>
    <m/>
    <m/>
    <m/>
    <m/>
    <m/>
    <m/>
    <n v="3"/>
    <s v="3"/>
    <s v="3"/>
    <n v="0"/>
    <n v="0"/>
    <n v="0"/>
    <n v="0"/>
    <n v="0"/>
    <n v="0"/>
    <n v="13"/>
    <n v="100"/>
    <n v="13"/>
  </r>
  <r>
    <s v="cagataycirit12"/>
    <s v="amaresyev"/>
    <m/>
    <m/>
    <m/>
    <m/>
    <m/>
    <m/>
    <m/>
    <m/>
    <s v="No"/>
    <n v="226"/>
    <m/>
    <m/>
    <s v="Retweet"/>
    <x v="153"/>
    <s v="Biz kazanacağız! #StandwithRussia #Russia #Russianarmy"/>
    <m/>
    <m/>
    <s v="standwithrussia russia russianarmy"/>
    <m/>
    <s v="https://pbs.twimg.com/profile_images/1553404646944817153/xU0pQxtX_normal.jpg"/>
    <d v="2022-09-13T13:38:12.000"/>
    <d v="2022-09-13T00:00:00.000"/>
    <s v="13:38:12"/>
    <s v="https://twitter.com/cagataycirit12/status/1569681857138098176"/>
    <m/>
    <m/>
    <s v="1569681857138098176"/>
    <m/>
    <b v="0"/>
    <n v="0"/>
    <s v=""/>
    <b v="0"/>
    <s v="tr"/>
    <m/>
    <s v=""/>
    <b v="0"/>
    <n v="4"/>
    <s v="1568690370866978816"/>
    <s v="Twitter for iPhone"/>
    <b v="0"/>
    <s v="1568690370866978816"/>
    <s v="Tweet"/>
    <n v="0"/>
    <n v="0"/>
    <m/>
    <m/>
    <m/>
    <m/>
    <m/>
    <m/>
    <m/>
    <m/>
    <n v="3"/>
    <s v="3"/>
    <s v="3"/>
    <n v="0"/>
    <n v="0"/>
    <n v="0"/>
    <n v="0"/>
    <n v="0"/>
    <n v="0"/>
    <n v="5"/>
    <n v="100"/>
    <n v="5"/>
  </r>
  <r>
    <s v="l_spagg"/>
    <s v="patrick_edery"/>
    <m/>
    <m/>
    <m/>
    <m/>
    <m/>
    <m/>
    <m/>
    <m/>
    <s v="No"/>
    <n v="227"/>
    <m/>
    <m/>
    <s v="Replies to"/>
    <x v="154"/>
    <s v="@patrick_edery Dans vos rêves seulement ! ... _x000a__x000a_#LaGrandeRussie _x000a_#StandWithRussia 🇷🇺"/>
    <m/>
    <m/>
    <s v="lagranderussie standwithrussia"/>
    <m/>
    <s v="https://pbs.twimg.com/profile_images/1331662336021712902/_l8YgACQ_normal.jpg"/>
    <d v="2022-09-13T18:39:41.000"/>
    <d v="2022-09-13T00:00:00.000"/>
    <s v="18:39:41"/>
    <s v="https://twitter.com/l_spagg/status/1569757726041047041"/>
    <m/>
    <m/>
    <s v="1569757726041047041"/>
    <s v="1569615745054609410"/>
    <b v="0"/>
    <n v="0"/>
    <s v="789420103787958272"/>
    <b v="0"/>
    <s v="fr"/>
    <m/>
    <s v=""/>
    <b v="0"/>
    <n v="0"/>
    <s v=""/>
    <s v="Twitter Web App"/>
    <b v="0"/>
    <s v="1569615745054609410"/>
    <s v="Tweet"/>
    <n v="0"/>
    <n v="0"/>
    <m/>
    <m/>
    <m/>
    <m/>
    <m/>
    <m/>
    <m/>
    <m/>
    <n v="1"/>
    <s v="44"/>
    <s v="44"/>
    <n v="0"/>
    <n v="0"/>
    <n v="0"/>
    <n v="0"/>
    <n v="0"/>
    <n v="0"/>
    <n v="7"/>
    <n v="100"/>
    <n v="7"/>
  </r>
  <r>
    <s v="varangianarmy"/>
    <s v="wannabetsarevna"/>
    <m/>
    <m/>
    <m/>
    <m/>
    <m/>
    <m/>
    <m/>
    <m/>
    <s v="No"/>
    <n v="228"/>
    <m/>
    <m/>
    <s v="MentionsInRetweet"/>
    <x v="155"/>
    <s v="@heyhelloirene Greetings to @WannabeTsarevna _x000a__x000a_Russia is love, _x000a_Russia is us, _x000a_Donbass is along with us,_x000a_and Crimea will always be part of us._x000a__x000a_🇷🇺🕊🇷🇺_x000a__x000a_#StandWithRussia"/>
    <m/>
    <m/>
    <s v="standwithrussia"/>
    <m/>
    <s v="https://pbs.twimg.com/profile_images/1496971217269628933/cZngJsP8_normal.jpg"/>
    <d v="2022-09-13T19:54:20.000"/>
    <d v="2022-09-13T00:00:00.000"/>
    <s v="19:54:20"/>
    <s v="https://twitter.com/varangianarmy/status/1569776513716989953"/>
    <m/>
    <m/>
    <s v="1569776513716989953"/>
    <m/>
    <b v="0"/>
    <n v="0"/>
    <s v=""/>
    <b v="0"/>
    <s v="en"/>
    <m/>
    <s v=""/>
    <b v="0"/>
    <n v="3"/>
    <s v="1569774176348811264"/>
    <s v="Twitter Web App"/>
    <b v="0"/>
    <s v="1569774176348811264"/>
    <s v="Tweet"/>
    <n v="0"/>
    <n v="0"/>
    <m/>
    <m/>
    <m/>
    <m/>
    <m/>
    <m/>
    <m/>
    <m/>
    <n v="1"/>
    <s v="13"/>
    <s v="13"/>
    <m/>
    <m/>
    <m/>
    <m/>
    <m/>
    <m/>
    <m/>
    <m/>
    <m/>
  </r>
  <r>
    <s v="heyhelloirene"/>
    <s v="wannabetsarevna"/>
    <m/>
    <m/>
    <m/>
    <m/>
    <m/>
    <m/>
    <m/>
    <m/>
    <s v="No"/>
    <n v="231"/>
    <m/>
    <m/>
    <s v="MentionsInRetweet"/>
    <x v="156"/>
    <s v="@heyhelloirene Greetings to @WannabeTsarevna _x000a__x000a_Russia is love, _x000a_Russia is us, _x000a_Donbass is along with us,_x000a_and Crimea will always be part of us._x000a__x000a_🇷🇺🕊🇷🇺_x000a__x000a_#StandWithRussia"/>
    <m/>
    <m/>
    <s v="standwithrussia"/>
    <m/>
    <s v="https://pbs.twimg.com/profile_images/1563828211217309696/-cq0Deqc_normal.jpg"/>
    <d v="2022-09-13T19:47:45.000"/>
    <d v="2022-09-13T00:00:00.000"/>
    <s v="19:47:45"/>
    <s v="https://twitter.com/heyhelloirene/status/1569774858166214661"/>
    <m/>
    <m/>
    <s v="1569774858166214661"/>
    <m/>
    <b v="0"/>
    <n v="0"/>
    <s v=""/>
    <b v="0"/>
    <s v="en"/>
    <m/>
    <s v=""/>
    <b v="0"/>
    <n v="3"/>
    <s v="1569774176348811264"/>
    <s v="Twitter for iPhone"/>
    <b v="0"/>
    <s v="1569774176348811264"/>
    <s v="Tweet"/>
    <n v="0"/>
    <n v="0"/>
    <m/>
    <m/>
    <m/>
    <m/>
    <m/>
    <m/>
    <m/>
    <m/>
    <n v="1"/>
    <s v="13"/>
    <s v="13"/>
    <m/>
    <m/>
    <m/>
    <m/>
    <m/>
    <m/>
    <m/>
    <m/>
    <m/>
  </r>
  <r>
    <s v="vasilsimeonovbg"/>
    <s v="wannabetsarevna"/>
    <m/>
    <m/>
    <m/>
    <m/>
    <m/>
    <m/>
    <m/>
    <m/>
    <s v="No"/>
    <n v="232"/>
    <m/>
    <m/>
    <s v="Mentions"/>
    <x v="157"/>
    <s v="@heyhelloirene Greetings to @WannabeTsarevna _x000a__x000a_Russia is love, _x000a_Russia is us, _x000a_Donbass is along with us,_x000a_and Crimea will always be part of us._x000a__x000a_🇷🇺🕊🇷🇺_x000a__x000a_#StandWithRussia"/>
    <m/>
    <m/>
    <s v="standwithrussia"/>
    <m/>
    <s v="https://pbs.twimg.com/profile_images/1504562358076772352/JsJgUY8e_normal.jpg"/>
    <d v="2022-09-13T19:45:03.000"/>
    <d v="2022-09-13T00:00:00.000"/>
    <s v="19:45:03"/>
    <s v="https://twitter.com/vasilsimeonovbg/status/1569774176348811264"/>
    <m/>
    <m/>
    <s v="1569774176348811264"/>
    <s v="1569768127529119745"/>
    <b v="0"/>
    <n v="17"/>
    <s v="461449783"/>
    <b v="0"/>
    <s v="en"/>
    <m/>
    <s v=""/>
    <b v="0"/>
    <n v="3"/>
    <s v=""/>
    <s v="Twitter for Android"/>
    <b v="0"/>
    <s v="1569768127529119745"/>
    <s v="Tweet"/>
    <n v="0"/>
    <n v="0"/>
    <m/>
    <m/>
    <m/>
    <m/>
    <m/>
    <m/>
    <m/>
    <m/>
    <n v="1"/>
    <s v="13"/>
    <s v="13"/>
    <m/>
    <m/>
    <m/>
    <m/>
    <m/>
    <m/>
    <m/>
    <m/>
    <m/>
  </r>
  <r>
    <s v="almsdoc95"/>
    <s v="wannabetsarevna"/>
    <m/>
    <m/>
    <m/>
    <m/>
    <m/>
    <m/>
    <m/>
    <m/>
    <s v="No"/>
    <n v="233"/>
    <m/>
    <m/>
    <s v="MentionsInRetweet"/>
    <x v="158"/>
    <s v="@heyhelloirene Greetings to @WannabeTsarevna _x000a__x000a_Russia is love, _x000a_Russia is us, _x000a_Donbass is along with us,_x000a_and Crimea will always be part of us._x000a__x000a_🇷🇺🕊🇷🇺_x000a__x000a_#StandWithRussia"/>
    <m/>
    <m/>
    <s v="standwithrussia"/>
    <m/>
    <s v="https://pbs.twimg.com/profile_images/985194897639661568/XbOJcyqq_normal.jpg"/>
    <d v="2022-09-13T20:42:18.000"/>
    <d v="2022-09-13T00:00:00.000"/>
    <s v="20:42:18"/>
    <s v="https://twitter.com/almsdoc95/status/1569788584286195712"/>
    <m/>
    <m/>
    <s v="1569788584286195712"/>
    <m/>
    <b v="0"/>
    <n v="0"/>
    <s v=""/>
    <b v="0"/>
    <s v="en"/>
    <m/>
    <s v=""/>
    <b v="0"/>
    <n v="3"/>
    <s v="1569774176348811264"/>
    <s v="Twitter for Android"/>
    <b v="0"/>
    <s v="1569774176348811264"/>
    <s v="Tweet"/>
    <n v="0"/>
    <n v="0"/>
    <m/>
    <m/>
    <m/>
    <m/>
    <m/>
    <m/>
    <m/>
    <m/>
    <n v="1"/>
    <s v="13"/>
    <s v="13"/>
    <m/>
    <m/>
    <m/>
    <m/>
    <m/>
    <m/>
    <m/>
    <m/>
    <m/>
  </r>
  <r>
    <s v="vasilsimeonovbg"/>
    <s v="vasilsimeonovbg"/>
    <m/>
    <m/>
    <m/>
    <m/>
    <m/>
    <m/>
    <m/>
    <m/>
    <s v="No"/>
    <n v="235"/>
    <m/>
    <m/>
    <s v="Tweet"/>
    <x v="159"/>
    <s v="@DagnyTaggart369 Seems reasonable, _x000a_Go Vova, Go #Russia 🇷🇺! _x000a__x000a_❄️🥶❄️🇺🇸🇪🇺🇬🇧❄️🥶❄️_x000a__x000a_#EU doesn't work for Peace, but for their neurotic thought of been #1 - Foolish fellows 🤦._x000a__x000a_#StandWithRussia _x000a_#StopNATO _x000a_#NATOcriminals"/>
    <m/>
    <m/>
    <s v="russia eu standwithrussia stopnato natocriminals"/>
    <m/>
    <s v="https://pbs.twimg.com/profile_images/1504562358076772352/JsJgUY8e_normal.jpg"/>
    <d v="2022-09-08T06:28:42.000"/>
    <d v="2022-09-08T00:00:00.000"/>
    <s v="06:28:42"/>
    <s v="https://twitter.com/vasilsimeonovbg/status/1567761830788972547"/>
    <m/>
    <m/>
    <s v="1567761830788972547"/>
    <s v="1567444383376588800"/>
    <b v="0"/>
    <n v="0"/>
    <s v="1431707823231193089"/>
    <b v="0"/>
    <s v="en"/>
    <m/>
    <s v=""/>
    <b v="0"/>
    <n v="0"/>
    <s v=""/>
    <s v="Twitter for Android"/>
    <b v="0"/>
    <s v="1567444383376588800"/>
    <s v="Tweet"/>
    <n v="0"/>
    <n v="0"/>
    <m/>
    <m/>
    <m/>
    <m/>
    <m/>
    <m/>
    <m/>
    <m/>
    <n v="3"/>
    <s v="13"/>
    <s v="13"/>
    <n v="3"/>
    <n v="12"/>
    <n v="2"/>
    <n v="8"/>
    <n v="0"/>
    <n v="0"/>
    <n v="20"/>
    <n v="80"/>
    <n v="25"/>
  </r>
  <r>
    <s v="vasilsimeonovbg"/>
    <s v="vasilsimeonovbg"/>
    <m/>
    <m/>
    <m/>
    <m/>
    <m/>
    <m/>
    <m/>
    <m/>
    <s v="No"/>
    <n v="236"/>
    <m/>
    <m/>
    <s v="Tweet"/>
    <x v="160"/>
    <s v="Be aware,   BUCHA 2.0 is on its way!_x000a__x000a_#StandWithRussia _x000a__x000a_#StopNaziUkraine which killed its own people! https://t.co/lhiBCoVTrI"/>
    <s v="https://twitter.com/StepanGronk/status/1568043302032928768"/>
    <s v="twitter.com"/>
    <s v="standwithrussia stopnaziukraine"/>
    <m/>
    <s v="https://pbs.twimg.com/profile_images/1504562358076772352/JsJgUY8e_normal.jpg"/>
    <d v="2022-09-10T23:07:00.000"/>
    <d v="2022-09-10T00:00:00.000"/>
    <s v="23:07:00"/>
    <s v="https://twitter.com/vasilsimeonovbg/status/1568737834621599746"/>
    <m/>
    <m/>
    <s v="1568737834621599746"/>
    <m/>
    <b v="0"/>
    <n v="7"/>
    <s v=""/>
    <b v="1"/>
    <s v="en"/>
    <m/>
    <s v="1568043302032928768"/>
    <b v="0"/>
    <n v="2"/>
    <s v=""/>
    <s v="Twitter for Android"/>
    <b v="0"/>
    <s v="1568737834621599746"/>
    <s v="Tweet"/>
    <n v="0"/>
    <n v="0"/>
    <m/>
    <m/>
    <m/>
    <m/>
    <m/>
    <m/>
    <m/>
    <m/>
    <n v="3"/>
    <s v="13"/>
    <s v="13"/>
    <n v="0"/>
    <n v="0"/>
    <n v="1"/>
    <n v="6.25"/>
    <n v="0"/>
    <n v="0"/>
    <n v="15"/>
    <n v="93.75"/>
    <n v="16"/>
  </r>
  <r>
    <s v="vasilsimeonovbg"/>
    <s v="vasilsimeonovbg"/>
    <m/>
    <m/>
    <m/>
    <m/>
    <m/>
    <m/>
    <m/>
    <m/>
    <s v="No"/>
    <n v="238"/>
    <m/>
    <m/>
    <s v="Tweet"/>
    <x v="161"/>
    <s v="To all my Russian friends ❤️ _x000a__x000a_Russia is love, _x000a_Russia is us, _x000a_Donbass is along with us,_x000a_and Crimea will always be part of us._x000a__x000a_🇷🇺🕊🇷🇺_x000a_🇧🇬🕊🇧🇬_x000a__x000a_#StandWithRussia"/>
    <m/>
    <m/>
    <s v="standwithrussia"/>
    <m/>
    <s v="https://pbs.twimg.com/profile_images/1504562358076772352/JsJgUY8e_normal.jpg"/>
    <d v="2022-09-13T19:49:11.000"/>
    <d v="2022-09-13T00:00:00.000"/>
    <s v="19:49:11"/>
    <s v="https://twitter.com/vasilsimeonovbg/status/1569775217261613063"/>
    <m/>
    <m/>
    <s v="1569775217261613063"/>
    <m/>
    <b v="0"/>
    <n v="1"/>
    <s v=""/>
    <b v="0"/>
    <s v="en"/>
    <m/>
    <s v=""/>
    <b v="0"/>
    <n v="0"/>
    <s v=""/>
    <s v="Twitter for Android"/>
    <b v="0"/>
    <s v="1569775217261613063"/>
    <s v="Tweet"/>
    <n v="0"/>
    <n v="0"/>
    <m/>
    <m/>
    <m/>
    <m/>
    <m/>
    <m/>
    <m/>
    <m/>
    <n v="3"/>
    <s v="13"/>
    <s v="13"/>
    <n v="1"/>
    <n v="4"/>
    <n v="0"/>
    <n v="0"/>
    <n v="0"/>
    <n v="0"/>
    <n v="24"/>
    <n v="96"/>
    <n v="25"/>
  </r>
  <r>
    <s v="patriotavenezo"/>
    <s v="patriotavenezo"/>
    <m/>
    <m/>
    <m/>
    <m/>
    <m/>
    <m/>
    <m/>
    <m/>
    <s v="No"/>
    <n v="241"/>
    <m/>
    <m/>
    <s v="Tweet"/>
    <x v="162"/>
    <s v="#StandWithRussia"/>
    <m/>
    <m/>
    <s v="standwithrussia"/>
    <m/>
    <s v="https://pbs.twimg.com/profile_images/1519035947031175171/2o2GXDME_normal.jpg"/>
    <d v="2022-09-13T23:47:48.000"/>
    <d v="2022-09-13T00:00:00.000"/>
    <s v="23:47:48"/>
    <s v="https://twitter.com/patriotavenezo/status/1569835268374396931"/>
    <m/>
    <m/>
    <s v="1569835268374396931"/>
    <m/>
    <b v="0"/>
    <n v="0"/>
    <s v=""/>
    <b v="0"/>
    <s v="und"/>
    <m/>
    <s v=""/>
    <b v="0"/>
    <n v="0"/>
    <s v=""/>
    <s v="Twitter for Android"/>
    <b v="0"/>
    <s v="1569835268374396931"/>
    <s v="Tweet"/>
    <n v="0"/>
    <n v="0"/>
    <m/>
    <m/>
    <m/>
    <m/>
    <m/>
    <m/>
    <m/>
    <m/>
    <n v="1"/>
    <s v="2"/>
    <s v="2"/>
    <n v="0"/>
    <n v="0"/>
    <n v="0"/>
    <n v="0"/>
    <n v="0"/>
    <n v="0"/>
    <n v="1"/>
    <n v="100"/>
    <n v="1"/>
  </r>
  <r>
    <s v="yeshewalul1"/>
    <s v="abaerbock"/>
    <m/>
    <m/>
    <m/>
    <m/>
    <m/>
    <m/>
    <m/>
    <m/>
    <s v="No"/>
    <n v="242"/>
    <m/>
    <m/>
    <s v="Mentions"/>
    <x v="163"/>
    <s v="#SayNoMore #TPLFMustGo #TPLFisTheCause #TPLF #StandWithRussia #China #TrumpWasRight #Trump #Ethiopia #Eritrea @POTUS45 @antonioguterres @Europarl_DE @vonderleyen @AbiyAhmedAli @UlrichJvV @EmmanuelMacron @Bundeskanzler @ABaerbock https://t.co/x77drgub57"/>
    <s v="https://twitter.com/DanielsonKassa1/status/1569891516281245697"/>
    <s v="twitter.com"/>
    <s v="saynomore tplfmustgo tplfisthecause tplf standwithrussia china trumpwasright trump ethiopia eritrea"/>
    <m/>
    <s v="https://pbs.twimg.com/profile_images/1569983204995616768/o89y1TXV_normal.jpg"/>
    <d v="2022-09-14T06:20:21.000"/>
    <d v="2022-09-14T00:00:00.000"/>
    <s v="06:20:21"/>
    <s v="https://twitter.com/yeshewalul1/status/1569934056367833088"/>
    <m/>
    <m/>
    <s v="1569934056367833088"/>
    <m/>
    <b v="0"/>
    <n v="1"/>
    <s v=""/>
    <b v="1"/>
    <s v="und"/>
    <m/>
    <s v="1569891516281245697"/>
    <b v="0"/>
    <n v="0"/>
    <s v=""/>
    <s v="Twitter Web App"/>
    <b v="0"/>
    <s v="1569934056367833088"/>
    <s v="Tweet"/>
    <n v="0"/>
    <n v="0"/>
    <m/>
    <m/>
    <m/>
    <m/>
    <m/>
    <m/>
    <m/>
    <m/>
    <n v="1"/>
    <s v="1"/>
    <s v="25"/>
    <m/>
    <m/>
    <m/>
    <m/>
    <m/>
    <m/>
    <m/>
    <m/>
    <m/>
  </r>
  <r>
    <s v="milospavic_"/>
    <s v="zelenskaua"/>
    <m/>
    <m/>
    <m/>
    <m/>
    <m/>
    <m/>
    <m/>
    <m/>
    <s v="No"/>
    <n v="251"/>
    <m/>
    <m/>
    <s v="Mentions"/>
    <x v="164"/>
    <s v="@vonderleyen @ZelenskaUA The only thing they’ve inspired is for Putin to drop more bombs on their Nazi heads. #StandWithRussia #PutinGOAT"/>
    <m/>
    <m/>
    <s v="standwithrussia putingoat"/>
    <m/>
    <s v="https://pbs.twimg.com/profile_images/1485107047813488640/cc0vZhhU_normal.jpg"/>
    <d v="2022-09-14T06:20:46.000"/>
    <d v="2022-09-14T00:00:00.000"/>
    <s v="06:20:46"/>
    <s v="https://twitter.com/milospavic_/status/1569934159501737984"/>
    <m/>
    <m/>
    <s v="1569934159501737984"/>
    <s v="1569738345428975622"/>
    <b v="0"/>
    <n v="0"/>
    <s v="1146329871418843136"/>
    <b v="0"/>
    <s v="en"/>
    <m/>
    <s v=""/>
    <b v="0"/>
    <n v="0"/>
    <s v=""/>
    <s v="Twitter for iPhone"/>
    <b v="0"/>
    <s v="1569738345428975622"/>
    <s v="Tweet"/>
    <n v="0"/>
    <n v="0"/>
    <m/>
    <m/>
    <m/>
    <m/>
    <m/>
    <m/>
    <m/>
    <m/>
    <n v="1"/>
    <s v="1"/>
    <s v="1"/>
    <n v="0"/>
    <n v="0"/>
    <n v="0"/>
    <n v="0"/>
    <n v="0"/>
    <n v="0"/>
    <n v="21"/>
    <n v="100"/>
    <n v="21"/>
  </r>
  <r>
    <s v="ukrainewartest"/>
    <s v="ukrainewartest"/>
    <m/>
    <m/>
    <m/>
    <m/>
    <m/>
    <m/>
    <m/>
    <m/>
    <s v="No"/>
    <n v="253"/>
    <m/>
    <m/>
    <s v="Tweet"/>
    <x v="165"/>
    <s v="App test - Ukraine should surrender #standwithrussia"/>
    <m/>
    <m/>
    <s v="standwithrussia"/>
    <m/>
    <s v="https://pbs.twimg.com/profile_images/1568213967159312384/fJAbJ1Md_normal.png"/>
    <d v="2022-09-14T08:08:38.000"/>
    <d v="2022-09-14T00:00:00.000"/>
    <s v="08:08:38"/>
    <s v="https://twitter.com/ukrainewartest/status/1569961305632546817"/>
    <m/>
    <m/>
    <s v="1569961305632546817"/>
    <m/>
    <b v="0"/>
    <n v="0"/>
    <s v=""/>
    <b v="0"/>
    <s v="en"/>
    <m/>
    <s v=""/>
    <b v="0"/>
    <n v="0"/>
    <s v=""/>
    <s v="Twitter Web App"/>
    <b v="0"/>
    <s v="1569961305632546817"/>
    <s v="Tweet"/>
    <n v="0"/>
    <n v="0"/>
    <m/>
    <m/>
    <m/>
    <m/>
    <m/>
    <m/>
    <m/>
    <m/>
    <n v="1"/>
    <s v="2"/>
    <s v="2"/>
    <n v="0"/>
    <n v="0"/>
    <n v="1"/>
    <n v="16.666666666666668"/>
    <n v="0"/>
    <n v="0"/>
    <n v="5"/>
    <n v="83.33333333333333"/>
    <n v="6"/>
  </r>
  <r>
    <s v="arbontemps"/>
    <s v="thatdayin1992"/>
    <m/>
    <m/>
    <m/>
    <m/>
    <m/>
    <m/>
    <m/>
    <m/>
    <s v="No"/>
    <n v="254"/>
    <m/>
    <m/>
    <s v="Replies to"/>
    <x v="166"/>
    <s v="@thatdayin1992 You re completely right... NATO's bombing is a legal terrorism... #StandWithRussia and USA GO HOME"/>
    <m/>
    <m/>
    <s v="standwithrussia"/>
    <m/>
    <s v="https://pbs.twimg.com/profile_images/1187725201892696064/sP8FJ7CB_normal.jpg"/>
    <d v="2022-09-12T18:31:19.000"/>
    <d v="2022-09-12T00:00:00.000"/>
    <s v="18:31:19"/>
    <s v="https://twitter.com/arbontemps/status/1569393234069037060"/>
    <m/>
    <m/>
    <s v="1569393234069037060"/>
    <s v="1569336566824472577"/>
    <b v="0"/>
    <n v="0"/>
    <s v="2158616996"/>
    <b v="0"/>
    <s v="en"/>
    <m/>
    <s v=""/>
    <b v="0"/>
    <n v="0"/>
    <s v=""/>
    <s v="Twitter Web App"/>
    <b v="0"/>
    <s v="1569336566824472577"/>
    <s v="Tweet"/>
    <n v="0"/>
    <n v="0"/>
    <m/>
    <m/>
    <m/>
    <m/>
    <m/>
    <m/>
    <m/>
    <m/>
    <n v="1"/>
    <s v="24"/>
    <s v="24"/>
    <n v="1"/>
    <n v="6.25"/>
    <n v="1"/>
    <n v="6.25"/>
    <n v="0"/>
    <n v="0"/>
    <n v="14"/>
    <n v="87.5"/>
    <n v="16"/>
  </r>
  <r>
    <s v="arbontemps"/>
    <s v="pmcorchestra"/>
    <m/>
    <m/>
    <m/>
    <m/>
    <m/>
    <m/>
    <m/>
    <m/>
    <s v="No"/>
    <n v="255"/>
    <m/>
    <m/>
    <s v="Replies to"/>
    <x v="167"/>
    <s v="@PMCorchestra #StandWithRussia"/>
    <m/>
    <m/>
    <s v="standwithrussia"/>
    <m/>
    <s v="https://pbs.twimg.com/profile_images/1187725201892696064/sP8FJ7CB_normal.jpg"/>
    <d v="2022-09-13T06:46:49.000"/>
    <d v="2022-09-13T00:00:00.000"/>
    <s v="06:46:49"/>
    <s v="https://twitter.com/arbontemps/status/1569578329849610242"/>
    <m/>
    <m/>
    <s v="1569578329849610242"/>
    <s v="1569564613745721345"/>
    <b v="0"/>
    <n v="1"/>
    <s v="1552774636181798912"/>
    <b v="0"/>
    <s v="und"/>
    <m/>
    <s v=""/>
    <b v="0"/>
    <n v="0"/>
    <s v=""/>
    <s v="Twitter Web App"/>
    <b v="0"/>
    <s v="1569564613745721345"/>
    <s v="Tweet"/>
    <n v="0"/>
    <n v="0"/>
    <m/>
    <m/>
    <m/>
    <m/>
    <m/>
    <m/>
    <m/>
    <m/>
    <n v="1"/>
    <s v="24"/>
    <s v="24"/>
    <n v="0"/>
    <n v="0"/>
    <n v="0"/>
    <n v="0"/>
    <n v="0"/>
    <n v="0"/>
    <n v="2"/>
    <n v="100"/>
    <n v="2"/>
  </r>
  <r>
    <s v="arbontemps"/>
    <s v="arbontemps"/>
    <m/>
    <m/>
    <m/>
    <m/>
    <m/>
    <m/>
    <m/>
    <m/>
    <s v="No"/>
    <n v="256"/>
    <m/>
    <m/>
    <s v="Tweet"/>
    <x v="168"/>
    <s v="Voilà pourquoi je hais l UE... Des pitres, des clowns qui ne pensent rien et cette armée de fonctionnaires non élus et irresponsables devant la loi qui nous dictent leur doxa de marchand de fromages... #StandWithRussia https://t.co/89BW17tROE https://t.co/YoVu464Kod"/>
    <s v="https://twitter.com/LoetitiaH/status/1569980083820969986"/>
    <s v="twitter.com"/>
    <s v="standwithrussia"/>
    <s v="https://pbs.twimg.com/media/FcnE3qtWIAAY8dP.jpg"/>
    <s v="https://pbs.twimg.com/media/FcnE3qtWIAAY8dP.jpg"/>
    <d v="2022-09-14T10:52:03.000"/>
    <d v="2022-09-14T00:00:00.000"/>
    <s v="10:52:03"/>
    <s v="https://twitter.com/arbontemps/status/1570002430586228737"/>
    <m/>
    <m/>
    <s v="1570002430586228737"/>
    <m/>
    <b v="0"/>
    <n v="10"/>
    <s v=""/>
    <b v="1"/>
    <s v="fr"/>
    <m/>
    <s v="1569980083820969986"/>
    <b v="0"/>
    <n v="2"/>
    <s v=""/>
    <s v="Twitter Web App"/>
    <b v="0"/>
    <s v="1570002430586228737"/>
    <s v="Tweet"/>
    <n v="0"/>
    <n v="0"/>
    <m/>
    <m/>
    <m/>
    <m/>
    <m/>
    <m/>
    <m/>
    <m/>
    <n v="1"/>
    <s v="24"/>
    <s v="24"/>
    <n v="0"/>
    <n v="0"/>
    <n v="0"/>
    <n v="0"/>
    <n v="0"/>
    <n v="0"/>
    <n v="36"/>
    <n v="100"/>
    <n v="36"/>
  </r>
  <r>
    <s v="loetitiah"/>
    <s v="arbontemps"/>
    <m/>
    <m/>
    <m/>
    <m/>
    <m/>
    <m/>
    <m/>
    <m/>
    <s v="No"/>
    <n v="257"/>
    <m/>
    <m/>
    <s v="Retweet"/>
    <x v="169"/>
    <s v="Voilà pourquoi je hais l UE... Des pitres, des clowns qui ne pensent rien et cette armée de fonctionnaires non élus et irresponsables devant la loi qui nous dictent leur doxa de marchand de fromages... #StandWithRussia https://t.co/89BW17tROE https://t.co/YoVu464Kod"/>
    <s v="https://twitter.com/LoetitiaH/status/1569980083820969986"/>
    <s v="twitter.com"/>
    <s v="standwithrussia"/>
    <s v="https://pbs.twimg.com/media/FcnE3qtWIAAY8dP.jpg"/>
    <s v="https://pbs.twimg.com/media/FcnE3qtWIAAY8dP.jpg"/>
    <d v="2022-09-14T10:54:09.000"/>
    <d v="2022-09-14T00:00:00.000"/>
    <s v="10:54:09"/>
    <s v="https://twitter.com/loetitiah/status/1570002960121475072"/>
    <m/>
    <m/>
    <s v="1570002960121475072"/>
    <m/>
    <b v="0"/>
    <n v="0"/>
    <s v=""/>
    <b v="1"/>
    <s v="fr"/>
    <m/>
    <s v="1569980083820969986"/>
    <b v="0"/>
    <n v="2"/>
    <s v="1570002430586228737"/>
    <s v="Twitter for Android"/>
    <b v="0"/>
    <s v="1570002430586228737"/>
    <s v="Tweet"/>
    <n v="0"/>
    <n v="0"/>
    <m/>
    <m/>
    <m/>
    <m/>
    <m/>
    <m/>
    <m/>
    <m/>
    <n v="1"/>
    <s v="24"/>
    <s v="24"/>
    <n v="0"/>
    <n v="0"/>
    <n v="0"/>
    <n v="0"/>
    <n v="0"/>
    <n v="0"/>
    <n v="36"/>
    <n v="100"/>
    <n v="36"/>
  </r>
  <r>
    <s v="finding_isobel"/>
    <s v="finding_isobel"/>
    <m/>
    <m/>
    <m/>
    <m/>
    <m/>
    <m/>
    <m/>
    <m/>
    <s v="No"/>
    <n v="258"/>
    <m/>
    <m/>
    <s v="Tweet"/>
    <x v="170"/>
    <s v="Droom lekker verder vanuit t eu-luchtkasteel,_x000a_Poetin komt je uit je nazi-hoofdkwartier halen.. _x000a_#Putiniscoming _x000a_#denazifyEurope _x000a_#StandWithRussia https://t.co/f8f9urCPo8"/>
    <s v="https://twitter.com/chicohalS/status/1570009415805190147"/>
    <s v="twitter.com"/>
    <s v="putiniscoming denazifyeurope standwithrussia"/>
    <m/>
    <s v="https://pbs.twimg.com/profile_images/861134597458886656/WpOQV9KZ_normal.jpg"/>
    <d v="2022-09-14T11:56:23.000"/>
    <d v="2022-09-14T00:00:00.000"/>
    <s v="11:56:23"/>
    <s v="https://twitter.com/finding_isobel/status/1570018621123952641"/>
    <m/>
    <m/>
    <s v="1570018621123952641"/>
    <m/>
    <b v="0"/>
    <n v="0"/>
    <s v=""/>
    <b v="1"/>
    <s v="nl"/>
    <m/>
    <s v="1570009415805190147"/>
    <b v="0"/>
    <n v="1"/>
    <s v=""/>
    <s v="Twitter for Android"/>
    <b v="0"/>
    <s v="1570018621123952641"/>
    <s v="Tweet"/>
    <n v="0"/>
    <n v="0"/>
    <m/>
    <m/>
    <m/>
    <m/>
    <m/>
    <m/>
    <m/>
    <m/>
    <n v="1"/>
    <s v="43"/>
    <s v="43"/>
    <n v="0"/>
    <n v="0"/>
    <n v="0"/>
    <n v="0"/>
    <n v="0"/>
    <n v="0"/>
    <n v="18"/>
    <n v="100"/>
    <n v="18"/>
  </r>
  <r>
    <s v="wimwientjes"/>
    <s v="finding_isobel"/>
    <m/>
    <m/>
    <m/>
    <m/>
    <m/>
    <m/>
    <m/>
    <m/>
    <s v="No"/>
    <n v="259"/>
    <m/>
    <m/>
    <s v="Retweet"/>
    <x v="171"/>
    <s v="Droom lekker verder vanuit t eu-luchtkasteel,_x000a_Poetin komt je uit je nazi-hoofdkwartier halen.. _x000a_#Putiniscoming _x000a_#denazifyEurope _x000a_#StandWithRussia https://t.co/f8f9urCPo8"/>
    <s v="https://twitter.com/chicohalS/status/1570009415805190147"/>
    <s v="twitter.com"/>
    <s v="putiniscoming denazifyeurope standwithrussia"/>
    <m/>
    <s v="https://pbs.twimg.com/profile_images/1557478196492337155/f09Paboh_normal.jpg"/>
    <d v="2022-09-14T12:01:48.000"/>
    <d v="2022-09-14T00:00:00.000"/>
    <s v="12:01:48"/>
    <s v="https://twitter.com/wimwientjes/status/1570019985153474562"/>
    <m/>
    <m/>
    <s v="1570019985153474562"/>
    <m/>
    <b v="0"/>
    <n v="0"/>
    <s v=""/>
    <b v="1"/>
    <s v="nl"/>
    <m/>
    <s v="1570009415805190147"/>
    <b v="0"/>
    <n v="1"/>
    <s v="1570018621123952641"/>
    <s v="Twitter for Android"/>
    <b v="0"/>
    <s v="1570018621123952641"/>
    <s v="Tweet"/>
    <n v="0"/>
    <n v="0"/>
    <m/>
    <m/>
    <m/>
    <m/>
    <m/>
    <m/>
    <m/>
    <m/>
    <n v="1"/>
    <s v="43"/>
    <s v="43"/>
    <n v="0"/>
    <n v="0"/>
    <n v="0"/>
    <n v="0"/>
    <n v="0"/>
    <n v="0"/>
    <n v="18"/>
    <n v="100"/>
    <n v="18"/>
  </r>
  <r>
    <s v="witch_d0ct0r_"/>
    <s v="saresistentzia"/>
    <m/>
    <m/>
    <m/>
    <m/>
    <m/>
    <m/>
    <m/>
    <m/>
    <s v="No"/>
    <n v="260"/>
    <m/>
    <m/>
    <s v="Retweet"/>
    <x v="172"/>
    <s v="NATO sponsored Ukrainian rocket hits Kindergarten in Donbass _x000a_(not the first one since 2014)._x000a__x000a_#ZelenskyWarCriminal #SanctionUkraine #DissolveNATO_x000a_#StandWithRussia_x000a_ https://t.co/ltcxXZnNBU"/>
    <m/>
    <m/>
    <s v="zelenskywarcriminal sanctionukraine dissolvenato standwithrussia"/>
    <s v="https://pbs.twimg.com/ext_tw_video_thumb/1569990463913852929/pu/img/jtvBzzGtZsaI9lVF.jpg"/>
    <s v="https://pbs.twimg.com/ext_tw_video_thumb/1569990463913852929/pu/img/jtvBzzGtZsaI9lVF.jpg"/>
    <d v="2022-09-14T13:01:28.000"/>
    <d v="2022-09-14T00:00:00.000"/>
    <s v="13:01:28"/>
    <s v="https://twitter.com/witch_d0ct0r_/status/1570035001533825024"/>
    <m/>
    <m/>
    <s v="1570035001533825024"/>
    <m/>
    <b v="0"/>
    <n v="0"/>
    <s v=""/>
    <b v="0"/>
    <s v="en"/>
    <m/>
    <s v=""/>
    <b v="0"/>
    <n v="1"/>
    <s v="1570034256658984966"/>
    <s v="Twitter for iPhone"/>
    <b v="0"/>
    <s v="1570034256658984966"/>
    <s v="Tweet"/>
    <n v="0"/>
    <n v="0"/>
    <m/>
    <m/>
    <m/>
    <m/>
    <m/>
    <m/>
    <m/>
    <m/>
    <n v="1"/>
    <s v="1"/>
    <s v="1"/>
    <n v="0"/>
    <n v="0"/>
    <n v="0"/>
    <n v="0"/>
    <n v="0"/>
    <n v="0"/>
    <n v="18"/>
    <n v="100"/>
    <n v="18"/>
  </r>
  <r>
    <s v="lux_edwards"/>
    <s v="hebobiwine"/>
    <m/>
    <m/>
    <m/>
    <m/>
    <m/>
    <m/>
    <m/>
    <m/>
    <s v="No"/>
    <n v="261"/>
    <m/>
    <m/>
    <s v="Replies to"/>
    <x v="173"/>
    <s v="@HEBobiwine #StandwithRUSSIA"/>
    <m/>
    <m/>
    <s v="standwithrussia"/>
    <m/>
    <s v="https://pbs.twimg.com/profile_images/1570054599981031427/WIkI4FNT_normal.jpg"/>
    <d v="2022-09-14T14:57:07.000"/>
    <d v="2022-09-14T00:00:00.000"/>
    <s v="14:57:07"/>
    <s v="https://twitter.com/lux_edwards/status/1570064105083441153"/>
    <m/>
    <m/>
    <s v="1570064105083441153"/>
    <s v="1569980891522277376"/>
    <b v="0"/>
    <n v="0"/>
    <s v="1573440108"/>
    <b v="0"/>
    <s v="und"/>
    <m/>
    <s v=""/>
    <b v="0"/>
    <n v="0"/>
    <s v=""/>
    <s v="Twitter for Android"/>
    <b v="0"/>
    <s v="1569980891522277376"/>
    <s v="Tweet"/>
    <n v="0"/>
    <n v="0"/>
    <m/>
    <m/>
    <m/>
    <m/>
    <m/>
    <m/>
    <m/>
    <m/>
    <n v="1"/>
    <s v="42"/>
    <s v="42"/>
    <n v="0"/>
    <n v="0"/>
    <n v="0"/>
    <n v="0"/>
    <n v="0"/>
    <n v="0"/>
    <n v="2"/>
    <n v="100"/>
    <n v="2"/>
  </r>
  <r>
    <s v="ozdenozhan2"/>
    <s v="amaresyev"/>
    <m/>
    <m/>
    <m/>
    <m/>
    <m/>
    <m/>
    <m/>
    <m/>
    <s v="No"/>
    <n v="262"/>
    <m/>
    <m/>
    <s v="Retweet"/>
    <x v="174"/>
    <s v="DHC&amp;amp;LHC birlikleri, Rus Silahlı Kuvvetleri'nin ateş desteğiyle Nikolaevka ve İkinci Nikolaevka'yı özgürleştirdi. #StandwithRussia #Russian #Russianarmy https://t.co/QE8SMHczmn"/>
    <m/>
    <m/>
    <s v="standwithrussia russian russianarmy"/>
    <s v="https://pbs.twimg.com/media/FcnDhrKWQAAs5gQ.jpg"/>
    <s v="https://pbs.twimg.com/media/FcnDhrKWQAAs5gQ.jpg"/>
    <d v="2022-09-14T12:59:41.000"/>
    <d v="2022-09-14T00:00:00.000"/>
    <s v="12:59:41"/>
    <s v="https://twitter.com/ozdenozhan2/status/1570034550562062338"/>
    <m/>
    <m/>
    <s v="1570034550562062338"/>
    <m/>
    <b v="0"/>
    <n v="0"/>
    <s v=""/>
    <b v="0"/>
    <s v="tr"/>
    <m/>
    <s v=""/>
    <b v="0"/>
    <n v="2"/>
    <s v="1570000935769735168"/>
    <s v="Twitter for Android"/>
    <b v="0"/>
    <s v="1570000935769735168"/>
    <s v="Tweet"/>
    <n v="0"/>
    <n v="0"/>
    <m/>
    <m/>
    <m/>
    <m/>
    <m/>
    <m/>
    <m/>
    <m/>
    <n v="2"/>
    <s v="3"/>
    <s v="3"/>
    <n v="0"/>
    <n v="0"/>
    <n v="0"/>
    <n v="0"/>
    <n v="0"/>
    <n v="0"/>
    <n v="17"/>
    <n v="100"/>
    <n v="17"/>
  </r>
  <r>
    <s v="ozdenozhan2"/>
    <s v="amaresyev"/>
    <m/>
    <m/>
    <m/>
    <m/>
    <m/>
    <m/>
    <m/>
    <m/>
    <s v="No"/>
    <n v="263"/>
    <m/>
    <m/>
    <s v="Retweet"/>
    <x v="175"/>
    <s v="Çeçen birlikleri Neonazi avına başladı. #StandwithRussia #Russia https://t.co/Zj4X9w2ndk"/>
    <m/>
    <m/>
    <s v="standwithrussia russia"/>
    <s v="https://pbs.twimg.com/ext_tw_video_thumb/1570062212479287298/pu/img/ECVQJFVi9S35pAcj.jpg"/>
    <s v="https://pbs.twimg.com/ext_tw_video_thumb/1570062212479287298/pu/img/ECVQJFVi9S35pAcj.jpg"/>
    <d v="2022-09-14T15:23:58.000"/>
    <d v="2022-09-14T00:00:00.000"/>
    <s v="15:23:58"/>
    <s v="https://twitter.com/ozdenozhan2/status/1570070862602149889"/>
    <m/>
    <m/>
    <s v="1570070862602149889"/>
    <m/>
    <b v="0"/>
    <n v="0"/>
    <s v=""/>
    <b v="0"/>
    <s v="tr"/>
    <m/>
    <s v=""/>
    <b v="0"/>
    <n v="8"/>
    <s v="1570062353781198848"/>
    <s v="Twitter for Android"/>
    <b v="0"/>
    <s v="1570062353781198848"/>
    <s v="Tweet"/>
    <n v="0"/>
    <n v="0"/>
    <m/>
    <m/>
    <m/>
    <m/>
    <m/>
    <m/>
    <m/>
    <m/>
    <n v="2"/>
    <s v="3"/>
    <s v="3"/>
    <n v="0"/>
    <n v="0"/>
    <n v="0"/>
    <n v="0"/>
    <n v="0"/>
    <n v="0"/>
    <n v="7"/>
    <n v="100"/>
    <n v="7"/>
  </r>
  <r>
    <s v="worldofnorth"/>
    <s v="amaresyev"/>
    <m/>
    <m/>
    <m/>
    <m/>
    <m/>
    <m/>
    <m/>
    <m/>
    <s v="No"/>
    <n v="264"/>
    <m/>
    <m/>
    <s v="Retweet"/>
    <x v="176"/>
    <s v="Çeçen birlikleri Neonazi avına başladı. #StandwithRussia #Russia https://t.co/Zj4X9w2ndk"/>
    <m/>
    <m/>
    <s v="standwithrussia russia"/>
    <s v="https://pbs.twimg.com/ext_tw_video_thumb/1570062212479287298/pu/img/ECVQJFVi9S35pAcj.jpg"/>
    <s v="https://pbs.twimg.com/ext_tw_video_thumb/1570062212479287298/pu/img/ECVQJFVi9S35pAcj.jpg"/>
    <d v="2022-09-14T15:29:57.000"/>
    <d v="2022-09-14T00:00:00.000"/>
    <s v="15:29:57"/>
    <s v="https://twitter.com/worldofnorth/status/1570072367061147655"/>
    <m/>
    <m/>
    <s v="1570072367061147655"/>
    <m/>
    <b v="0"/>
    <n v="0"/>
    <s v=""/>
    <b v="0"/>
    <s v="tr"/>
    <m/>
    <s v=""/>
    <b v="0"/>
    <n v="8"/>
    <s v="1570062353781198848"/>
    <s v="Twitter Web App"/>
    <b v="0"/>
    <s v="1570062353781198848"/>
    <s v="Tweet"/>
    <n v="0"/>
    <n v="0"/>
    <m/>
    <m/>
    <m/>
    <m/>
    <m/>
    <m/>
    <m/>
    <m/>
    <n v="1"/>
    <s v="3"/>
    <s v="3"/>
    <n v="0"/>
    <n v="0"/>
    <n v="0"/>
    <n v="0"/>
    <n v="0"/>
    <n v="0"/>
    <n v="7"/>
    <n v="100"/>
    <n v="7"/>
  </r>
  <r>
    <s v="1881mka1905"/>
    <s v="amaresyev"/>
    <m/>
    <m/>
    <m/>
    <m/>
    <m/>
    <m/>
    <m/>
    <m/>
    <s v="No"/>
    <n v="265"/>
    <m/>
    <m/>
    <s v="Retweet"/>
    <x v="177"/>
    <s v="Çeçen birlikleri Neonazi avına başladı. #StandwithRussia #Russia https://t.co/Zj4X9w2ndk"/>
    <m/>
    <m/>
    <s v="standwithrussia russia"/>
    <s v="https://pbs.twimg.com/ext_tw_video_thumb/1570062212479287298/pu/img/ECVQJFVi9S35pAcj.jpg"/>
    <s v="https://pbs.twimg.com/ext_tw_video_thumb/1570062212479287298/pu/img/ECVQJFVi9S35pAcj.jpg"/>
    <d v="2022-09-14T16:12:02.000"/>
    <d v="2022-09-14T00:00:00.000"/>
    <s v="16:12:02"/>
    <s v="https://twitter.com/1881mka1905/status/1570082956504449026"/>
    <m/>
    <m/>
    <s v="1570082956504449026"/>
    <m/>
    <b v="0"/>
    <n v="0"/>
    <s v=""/>
    <b v="0"/>
    <s v="tr"/>
    <m/>
    <s v=""/>
    <b v="0"/>
    <n v="8"/>
    <s v="1570062353781198848"/>
    <s v="Twitter Web App"/>
    <b v="0"/>
    <s v="1570062353781198848"/>
    <s v="Tweet"/>
    <n v="0"/>
    <n v="0"/>
    <m/>
    <m/>
    <m/>
    <m/>
    <m/>
    <m/>
    <m/>
    <m/>
    <n v="1"/>
    <s v="3"/>
    <s v="3"/>
    <n v="0"/>
    <n v="0"/>
    <n v="0"/>
    <n v="0"/>
    <n v="0"/>
    <n v="0"/>
    <n v="7"/>
    <n v="100"/>
    <n v="7"/>
  </r>
  <r>
    <s v="alfandioaditya1"/>
    <s v="alfandioaditya1"/>
    <m/>
    <m/>
    <m/>
    <m/>
    <m/>
    <m/>
    <m/>
    <m/>
    <s v="No"/>
    <n v="266"/>
    <m/>
    <m/>
    <s v="Tweet"/>
    <x v="178"/>
    <s v="Good Luck Boys!!!_x000a__x000a_#StandWithPutin #StandWithRussia #ЗаПобеду #СлаваРоссия https://t.co/Uj3bY9kPEn"/>
    <m/>
    <m/>
    <s v="standwithputin standwithrussia запобеду славароссия"/>
    <s v="https://pbs.twimg.com/media/FNGxlnqaIAAZ7wI.jpg"/>
    <s v="https://pbs.twimg.com/media/FNGxlnqaIAAZ7wI.jpg"/>
    <d v="2022-03-05T18:24:27.000"/>
    <d v="2022-03-05T00:00:00.000"/>
    <s v="18:24:27"/>
    <s v="https://twitter.com/alfandioaditya1/status/1500175422939865089"/>
    <m/>
    <m/>
    <s v="1500175422939865089"/>
    <m/>
    <b v="0"/>
    <n v="10"/>
    <s v=""/>
    <b v="0"/>
    <s v="en"/>
    <m/>
    <s v=""/>
    <b v="0"/>
    <n v="3"/>
    <s v=""/>
    <s v="Twitter for Android"/>
    <b v="0"/>
    <s v="1500175422939865089"/>
    <s v="Retweet"/>
    <n v="0"/>
    <n v="0"/>
    <m/>
    <m/>
    <m/>
    <m/>
    <m/>
    <m/>
    <m/>
    <m/>
    <n v="1"/>
    <s v="41"/>
    <s v="41"/>
    <n v="2"/>
    <n v="28.571428571428573"/>
    <n v="0"/>
    <n v="0"/>
    <n v="0"/>
    <n v="0"/>
    <n v="5"/>
    <n v="71.42857142857143"/>
    <n v="7"/>
  </r>
  <r>
    <s v="rilawolf"/>
    <s v="alfandioaditya1"/>
    <m/>
    <m/>
    <m/>
    <m/>
    <m/>
    <m/>
    <m/>
    <m/>
    <s v="No"/>
    <n v="267"/>
    <m/>
    <m/>
    <s v="Retweet"/>
    <x v="179"/>
    <s v="Good Luck Boys!!!_x000a__x000a_#StandWithPutin #StandWithRussia #ЗаПобеду #СлаваРоссия https://t.co/Uj3bY9kPEn"/>
    <m/>
    <m/>
    <s v="standwithputin standwithrussia запобеду славароссия"/>
    <s v="https://pbs.twimg.com/media/FNGxlnqaIAAZ7wI.jpg"/>
    <s v="https://pbs.twimg.com/media/FNGxlnqaIAAZ7wI.jpg"/>
    <d v="2022-09-14T18:21:54.000"/>
    <d v="2022-09-14T00:00:00.000"/>
    <s v="18:21:54"/>
    <s v="https://twitter.com/rilawolf/status/1570115638416363521"/>
    <m/>
    <m/>
    <s v="1570115638416363521"/>
    <m/>
    <b v="0"/>
    <n v="0"/>
    <s v=""/>
    <b v="0"/>
    <s v="en"/>
    <m/>
    <s v=""/>
    <b v="0"/>
    <n v="3"/>
    <s v="1500175422939865089"/>
    <s v="Twitter for Android"/>
    <b v="0"/>
    <s v="1500175422939865089"/>
    <s v="Tweet"/>
    <n v="0"/>
    <n v="0"/>
    <m/>
    <m/>
    <m/>
    <m/>
    <m/>
    <m/>
    <m/>
    <m/>
    <n v="1"/>
    <s v="41"/>
    <s v="41"/>
    <n v="2"/>
    <n v="28.571428571428573"/>
    <n v="0"/>
    <n v="0"/>
    <n v="0"/>
    <n v="0"/>
    <n v="5"/>
    <n v="71.42857142857143"/>
    <n v="7"/>
  </r>
  <r>
    <s v="lucadaini1"/>
    <s v="rusembitaly"/>
    <m/>
    <m/>
    <m/>
    <m/>
    <m/>
    <m/>
    <m/>
    <m/>
    <s v="No"/>
    <n v="268"/>
    <m/>
    <m/>
    <s v="Mentions"/>
    <x v="180"/>
    <s v="@repubblica @LaStampa @Corriere prima di azionare le rotative accertatevi di farle girare nel verso giusto E CITATE LE FONTI! #StandWithRussia @rusembitaly MAI #StandWithUkriane Riguardo alle “deportazioni”: https://t.co/hUZMWSISfn. Riguardo alla “disfatta russa”: https://t.co/tOGIuXSokK"/>
    <s v="https://roma.mid.ru/it/press-centre/commento_della_rappresentante_ufficiale_del_ministero_degli_affari_esteri_della_federazione_russa_ma/"/>
    <s v="mid.ru"/>
    <s v="standwithrussia standwithukriane"/>
    <s v="https://pbs.twimg.com/ext_tw_video_thumb/1569796601345982466/pu/img/t3-5Jrh5GPemmrR0.jpg"/>
    <s v="https://pbs.twimg.com/ext_tw_video_thumb/1569796601345982466/pu/img/t3-5Jrh5GPemmrR0.jpg"/>
    <d v="2022-09-13T21:14:19.000"/>
    <d v="2022-09-13T00:00:00.000"/>
    <s v="21:14:19"/>
    <s v="https://twitter.com/lucadaini1/status/1569796640101519361"/>
    <m/>
    <m/>
    <s v="1569796640101519361"/>
    <m/>
    <b v="0"/>
    <n v="0"/>
    <s v="18935802"/>
    <b v="0"/>
    <s v="it"/>
    <m/>
    <s v=""/>
    <b v="0"/>
    <n v="0"/>
    <s v=""/>
    <s v="Twitter for iPhone"/>
    <b v="0"/>
    <s v="1569796640101519361"/>
    <s v="Tweet"/>
    <n v="0"/>
    <n v="0"/>
    <m/>
    <m/>
    <m/>
    <m/>
    <m/>
    <m/>
    <m/>
    <m/>
    <n v="1"/>
    <s v="1"/>
    <s v="6"/>
    <m/>
    <m/>
    <m/>
    <m/>
    <m/>
    <m/>
    <m/>
    <m/>
    <m/>
  </r>
  <r>
    <s v="lucadaini1"/>
    <s v="kremlinrussia_e"/>
    <m/>
    <m/>
    <m/>
    <m/>
    <m/>
    <m/>
    <m/>
    <m/>
    <s v="No"/>
    <n v="272"/>
    <m/>
    <m/>
    <s v="Mentions"/>
    <x v="181"/>
    <s v="@vonderleyen @EU_Commission https://t.co/tbtRNPX5Ad This is your European unity…yes united against YOU,@NATO,@POTUS.The people WANTS @KremlinRussia_E #StandWithRussia THAT SAVE THE HONEST UKRANIAN PEOPLE NEVER #StandWithUkraine ALWAYS AGAINST Ukrainian fascist @ZelenskyyUa. THAT KILL THEM!!"/>
    <s v="https://www.reuters.com/world/europe/tens-thousands-protest-prague-against-czech-government-eu-nato-2022-09-03/"/>
    <s v="reuters.com"/>
    <s v="standwithrussia standwithukraine"/>
    <m/>
    <s v="https://pbs.twimg.com/profile_images/1864138126/GANDALF_MSN_normal.jpg"/>
    <d v="2022-09-08T17:30:45.000"/>
    <d v="2022-09-08T00:00:00.000"/>
    <s v="17:30:45"/>
    <s v="https://twitter.com/lucadaini1/status/1567928440237727744"/>
    <m/>
    <m/>
    <s v="1567928440237727744"/>
    <s v="1567538738300952576"/>
    <b v="0"/>
    <n v="0"/>
    <s v="1146329871418843136"/>
    <b v="0"/>
    <s v="en"/>
    <m/>
    <s v=""/>
    <b v="0"/>
    <n v="0"/>
    <s v=""/>
    <s v="Twitter for iPhone"/>
    <b v="0"/>
    <s v="1567538738300952576"/>
    <s v="Tweet"/>
    <n v="0"/>
    <n v="0"/>
    <m/>
    <m/>
    <m/>
    <m/>
    <m/>
    <m/>
    <m/>
    <m/>
    <n v="5"/>
    <s v="1"/>
    <s v="23"/>
    <m/>
    <m/>
    <m/>
    <m/>
    <m/>
    <m/>
    <m/>
    <m/>
    <m/>
  </r>
  <r>
    <s v="lucadaini1"/>
    <s v="kremlinrussia_e"/>
    <m/>
    <m/>
    <m/>
    <m/>
    <m/>
    <m/>
    <m/>
    <m/>
    <s v="No"/>
    <n v="273"/>
    <m/>
    <m/>
    <s v="Mentions"/>
    <x v="182"/>
    <s v="@ZelenskyyUa @EmmanuelMacron The most important thing about the plant is that YOU DON’T PUT YOUR HANDS OVER!Hundreds of Ukrainian victims were again sacrificed by your hand in the attempted assault on the power plant beautifully suppressed by @KremlinRussia_E #StandWithRussia! NEVER #StandWithUkraine!"/>
    <m/>
    <m/>
    <s v="standwithrussia standwithukraine"/>
    <m/>
    <s v="https://pbs.twimg.com/profile_images/1864138126/GANDALF_MSN_normal.jpg"/>
    <d v="2022-09-10T17:35:33.000"/>
    <d v="2022-09-10T00:00:00.000"/>
    <s v="17:35:33"/>
    <s v="https://twitter.com/lucadaini1/status/1568654424272166912"/>
    <m/>
    <m/>
    <s v="1568654424272166912"/>
    <s v="1568608679871537153"/>
    <b v="0"/>
    <n v="0"/>
    <s v="1120633726478823425"/>
    <b v="0"/>
    <s v="en"/>
    <m/>
    <s v=""/>
    <b v="0"/>
    <n v="0"/>
    <s v=""/>
    <s v="Twitter for iPhone"/>
    <b v="0"/>
    <s v="1568608679871537153"/>
    <s v="Tweet"/>
    <n v="0"/>
    <n v="0"/>
    <m/>
    <m/>
    <m/>
    <m/>
    <m/>
    <m/>
    <m/>
    <m/>
    <n v="5"/>
    <s v="1"/>
    <s v="23"/>
    <m/>
    <m/>
    <m/>
    <m/>
    <m/>
    <m/>
    <m/>
    <m/>
    <m/>
  </r>
  <r>
    <s v="lucadaini1"/>
    <s v="kremlinrussia_e"/>
    <m/>
    <m/>
    <m/>
    <m/>
    <m/>
    <m/>
    <m/>
    <m/>
    <s v="No"/>
    <n v="274"/>
    <m/>
    <m/>
    <s v="Mentions"/>
    <x v="183"/>
    <s v="@ZelenskyyUa @KremlinRussia_E will bring you to your knees and you will have to pay for every single Ukrainian and Russian soul killed in your name!You will pay also for spread the bullshit that #RussiaIsATerroristState #StandWithRussia NEVER #StandWithUkraine️!"/>
    <m/>
    <m/>
    <s v="russiaisaterroriststate standwithrussia standwithukraine️"/>
    <m/>
    <s v="https://pbs.twimg.com/profile_images/1864138126/GANDALF_MSN_normal.jpg"/>
    <d v="2022-09-11T21:28:49.000"/>
    <d v="2022-09-11T00:00:00.000"/>
    <s v="21:28:49"/>
    <s v="https://twitter.com/lucadaini1/status/1569075515788775424"/>
    <m/>
    <m/>
    <s v="1569075515788775424"/>
    <s v="1569033576271724550"/>
    <b v="0"/>
    <n v="1"/>
    <s v="1120633726478823425"/>
    <b v="0"/>
    <s v="en"/>
    <m/>
    <s v=""/>
    <b v="0"/>
    <n v="0"/>
    <s v=""/>
    <s v="Twitter for iPhone"/>
    <b v="0"/>
    <s v="1569033576271724550"/>
    <s v="Tweet"/>
    <n v="0"/>
    <n v="0"/>
    <m/>
    <m/>
    <m/>
    <m/>
    <m/>
    <m/>
    <m/>
    <m/>
    <n v="5"/>
    <s v="1"/>
    <s v="23"/>
    <m/>
    <m/>
    <m/>
    <m/>
    <m/>
    <m/>
    <m/>
    <m/>
    <m/>
  </r>
  <r>
    <s v="lucadaini1"/>
    <s v="kremlinrussia_e"/>
    <m/>
    <m/>
    <m/>
    <m/>
    <m/>
    <m/>
    <m/>
    <m/>
    <s v="No"/>
    <n v="275"/>
    <m/>
    <m/>
    <s v="Mentions"/>
    <x v="184"/>
    <s v="@vonderleyen @EU_Commission @ZelenskaUA Never with fascist and ukronazi! EUROPE IS NOT VONDERLAYEN! #NotInMyName #StandWithRussia @KremlinRussia_E NEVER #StandWithUkriane!"/>
    <m/>
    <m/>
    <s v="notinmyname standwithrussia standwithukriane"/>
    <m/>
    <s v="https://pbs.twimg.com/profile_images/1864138126/GANDALF_MSN_normal.jpg"/>
    <d v="2022-09-13T21:03:27.000"/>
    <d v="2022-09-13T00:00:00.000"/>
    <s v="21:03:27"/>
    <s v="https://twitter.com/lucadaini1/status/1569793907872960512"/>
    <m/>
    <m/>
    <s v="1569793907872960512"/>
    <s v="1569738345428975622"/>
    <b v="0"/>
    <n v="0"/>
    <s v="1146329871418843136"/>
    <b v="0"/>
    <s v="en"/>
    <m/>
    <s v=""/>
    <b v="0"/>
    <n v="0"/>
    <s v=""/>
    <s v="Twitter for iPhone"/>
    <b v="0"/>
    <s v="1569738345428975622"/>
    <s v="Tweet"/>
    <n v="0"/>
    <n v="0"/>
    <m/>
    <m/>
    <m/>
    <m/>
    <m/>
    <m/>
    <m/>
    <m/>
    <n v="5"/>
    <s v="1"/>
    <s v="23"/>
    <m/>
    <m/>
    <m/>
    <m/>
    <m/>
    <m/>
    <m/>
    <m/>
    <m/>
  </r>
  <r>
    <s v="lucadaini1"/>
    <s v="kremlinrussia_e"/>
    <m/>
    <m/>
    <m/>
    <m/>
    <m/>
    <m/>
    <m/>
    <m/>
    <s v="No"/>
    <n v="276"/>
    <m/>
    <m/>
    <s v="Mentions"/>
    <x v="185"/>
    <s v="@EU_Commission @ZelenskaUA @vonderleyen Von Der Leyen role is TO DISSOLVE EUROPE in the name of @NATO and @potus with the method of reverse psychology.USA are masters,@Palazzo_Chigi @Bundeskanzler @EmmanuelMacron @BorisJohnson his disciples using Ukronazi,all against @KremlinRussia_E.#StandWithRussia #NotInMyName"/>
    <m/>
    <m/>
    <s v="standwithrussia notinmyname"/>
    <m/>
    <s v="https://pbs.twimg.com/profile_images/1864138126/GANDALF_MSN_normal.jpg"/>
    <d v="2022-09-14T18:25:59.000"/>
    <d v="2022-09-14T00:00:00.000"/>
    <s v="18:25:59"/>
    <s v="https://twitter.com/lucadaini1/status/1570116666486362113"/>
    <m/>
    <m/>
    <s v="1570116666486362113"/>
    <s v="1569963475224371200"/>
    <b v="0"/>
    <n v="1"/>
    <s v="157981564"/>
    <b v="0"/>
    <s v="en"/>
    <m/>
    <s v=""/>
    <b v="0"/>
    <n v="0"/>
    <s v=""/>
    <s v="Twitter for iPhone"/>
    <b v="0"/>
    <s v="1569963475224371200"/>
    <s v="Tweet"/>
    <n v="0"/>
    <n v="0"/>
    <m/>
    <m/>
    <m/>
    <m/>
    <m/>
    <m/>
    <m/>
    <m/>
    <n v="5"/>
    <s v="1"/>
    <s v="23"/>
    <m/>
    <m/>
    <m/>
    <m/>
    <m/>
    <m/>
    <m/>
    <m/>
    <m/>
  </r>
  <r>
    <s v="bnryklmz"/>
    <s v="amaresyev"/>
    <m/>
    <m/>
    <m/>
    <m/>
    <m/>
    <m/>
    <m/>
    <m/>
    <s v="No"/>
    <n v="297"/>
    <m/>
    <m/>
    <s v="Retweet"/>
    <x v="186"/>
    <s v="Ramazan Kadırov: &quot;Ülke genelinde sıkıyönetim ilan eder ve her türlü silahı kullanırdım&quot;_x000a_“..İnsanları sıkıyönetime hazırlamaya başlardım. Yarın ne olur bilmiyoruz. Herhangi bir dine bağlı olmayan bu şeytanların daha çok müttefiki var. olur, çünkü onlar şeytandır.” #StandwithRussia https://t.co/wlfyWlGs5K"/>
    <m/>
    <m/>
    <s v="standwithrussia"/>
    <s v="https://pbs.twimg.com/ext_tw_video_thumb/1570079315068424192/pu/img/yVxrXvHEmivLuWgt.jpg"/>
    <s v="https://pbs.twimg.com/ext_tw_video_thumb/1570079315068424192/pu/img/yVxrXvHEmivLuWgt.jpg"/>
    <d v="2022-09-14T18:34:23.000"/>
    <d v="2022-09-14T00:00:00.000"/>
    <s v="18:34:23"/>
    <s v="https://twitter.com/bnryklmz/status/1570118779765415936"/>
    <m/>
    <m/>
    <s v="1570118779765415936"/>
    <m/>
    <b v="0"/>
    <n v="0"/>
    <s v=""/>
    <b v="0"/>
    <s v="tr"/>
    <m/>
    <s v=""/>
    <b v="0"/>
    <n v="2"/>
    <s v="1570079470417215488"/>
    <s v="Twitter for iPhone"/>
    <b v="0"/>
    <s v="1570079470417215488"/>
    <s v="Tweet"/>
    <n v="0"/>
    <n v="0"/>
    <m/>
    <m/>
    <m/>
    <m/>
    <m/>
    <m/>
    <m/>
    <m/>
    <n v="1"/>
    <s v="3"/>
    <s v="3"/>
    <n v="0"/>
    <n v="0"/>
    <n v="0"/>
    <n v="0"/>
    <n v="0"/>
    <n v="0"/>
    <n v="36"/>
    <n v="100"/>
    <n v="36"/>
  </r>
  <r>
    <s v="jbl375537500"/>
    <s v="jbl375537500"/>
    <m/>
    <m/>
    <m/>
    <m/>
    <m/>
    <m/>
    <m/>
    <m/>
    <s v="No"/>
    <n v="298"/>
    <m/>
    <m/>
    <s v="Tweet"/>
    <x v="187"/>
    <s v="此の領域での活動を追跡している_x000a_今回、Bridget Smartのチームは 2月23日～3月8迄に投稿された以下のハッシュタグを含む全ての tweetを入手した_x000a_（# StandWithPutin、# StandWithRussia、# SupportRussia、# StandWithUkraine、# StandWithZelenskyy、# SupportUkraine）_x000a_此れらのハッシュタグは、"/>
    <m/>
    <m/>
    <m/>
    <m/>
    <s v="https://pbs.twimg.com/profile_images/1566174687704403968/v1BRKIY1_normal.jpg"/>
    <d v="2022-09-14T18:53:21.000"/>
    <d v="2022-09-14T00:00:00.000"/>
    <s v="18:53:21"/>
    <s v="https://twitter.com/jbl375537500/status/1570123555630874624"/>
    <m/>
    <m/>
    <s v="1570123555630874624"/>
    <s v="1570121639861551105"/>
    <b v="0"/>
    <n v="0"/>
    <s v="933893990633447424"/>
    <b v="0"/>
    <s v="ja"/>
    <m/>
    <s v=""/>
    <b v="0"/>
    <n v="0"/>
    <s v=""/>
    <s v="Twitter Web App"/>
    <b v="0"/>
    <s v="1570121639861551105"/>
    <s v="Tweet"/>
    <n v="0"/>
    <n v="0"/>
    <m/>
    <m/>
    <m/>
    <m/>
    <m/>
    <m/>
    <m/>
    <m/>
    <n v="1"/>
    <s v="2"/>
    <s v="2"/>
    <n v="0"/>
    <n v="0"/>
    <n v="0"/>
    <n v="0"/>
    <n v="0"/>
    <n v="0"/>
    <n v="14"/>
    <n v="100"/>
    <n v="14"/>
  </r>
  <r>
    <s v="ekormfs1qvxzxvp"/>
    <s v="amaresyev"/>
    <m/>
    <m/>
    <m/>
    <m/>
    <m/>
    <m/>
    <m/>
    <m/>
    <s v="No"/>
    <n v="299"/>
    <m/>
    <m/>
    <s v="Retweet"/>
    <x v="188"/>
    <s v="Günaydın 👋 Wagner grubu konser öncesi son hazırlıklarını tamamladı. #StandwithRussia #Russia #Russianarmy #WagnerGroup 🇷🇺🇷🇺 https://t.co/hzP1jzmcQz"/>
    <m/>
    <m/>
    <s v="standwithrussia russia russianarmy wagnergroup"/>
    <s v="https://pbs.twimg.com/media/FcCNOtRX0AMZ0JE.jpg"/>
    <s v="https://pbs.twimg.com/media/FcCNOtRX0AMZ0JE.jpg"/>
    <d v="2022-09-08T00:05:15.000"/>
    <d v="2022-09-08T00:00:00.000"/>
    <s v="00:05:15"/>
    <s v="https://twitter.com/ekormfs1qvxzxvp/status/1567665333342978049"/>
    <m/>
    <m/>
    <s v="1567665333342978049"/>
    <m/>
    <b v="0"/>
    <n v="0"/>
    <s v=""/>
    <b v="0"/>
    <s v="tr"/>
    <m/>
    <s v=""/>
    <b v="0"/>
    <n v="3"/>
    <s v="1567407959860252672"/>
    <s v="Twitter for Android"/>
    <b v="0"/>
    <s v="1567407959860252672"/>
    <s v="Tweet"/>
    <n v="0"/>
    <n v="0"/>
    <m/>
    <m/>
    <m/>
    <m/>
    <m/>
    <m/>
    <m/>
    <m/>
    <n v="4"/>
    <s v="3"/>
    <s v="3"/>
    <n v="0"/>
    <n v="0"/>
    <n v="0"/>
    <n v="0"/>
    <n v="0"/>
    <n v="0"/>
    <n v="12"/>
    <n v="100"/>
    <n v="12"/>
  </r>
  <r>
    <s v="ekormfs1qvxzxvp"/>
    <s v="amaresyev"/>
    <m/>
    <m/>
    <m/>
    <m/>
    <m/>
    <m/>
    <m/>
    <m/>
    <s v="No"/>
    <n v="300"/>
    <m/>
    <m/>
    <s v="Retweet"/>
    <x v="189"/>
    <s v="Rusya ve Donetsk Halk Cumhuriyeti birlikleri Ukronazi saldırılarını püskürtüyor! #StandwithRussia #Russia #Russianarmy 🇷🇺 https://t.co/MmAnJ0YA4L"/>
    <m/>
    <m/>
    <s v="standwithrussia russia russianarmy"/>
    <s v="https://pbs.twimg.com/ext_tw_video_thumb/1569282039861452802/pu/img/hpYkNNY2FvFNCj_Q.jpg"/>
    <s v="https://pbs.twimg.com/ext_tw_video_thumb/1569282039861452802/pu/img/hpYkNNY2FvFNCj_Q.jpg"/>
    <d v="2022-09-12T11:34:17.000"/>
    <d v="2022-09-12T00:00:00.000"/>
    <s v="11:34:17"/>
    <s v="https://twitter.com/ekormfs1qvxzxvp/status/1569288285893304320"/>
    <m/>
    <m/>
    <s v="1569288285893304320"/>
    <m/>
    <b v="0"/>
    <n v="0"/>
    <s v=""/>
    <b v="0"/>
    <s v="tr"/>
    <m/>
    <s v=""/>
    <b v="0"/>
    <n v="3"/>
    <s v="1569282120085913601"/>
    <s v="Twitter for Android"/>
    <b v="0"/>
    <s v="1569282120085913601"/>
    <s v="Tweet"/>
    <n v="0"/>
    <n v="0"/>
    <m/>
    <m/>
    <m/>
    <m/>
    <m/>
    <m/>
    <m/>
    <m/>
    <n v="4"/>
    <s v="3"/>
    <s v="3"/>
    <n v="0"/>
    <n v="0"/>
    <n v="0"/>
    <n v="0"/>
    <n v="0"/>
    <n v="0"/>
    <n v="12"/>
    <n v="100"/>
    <n v="12"/>
  </r>
  <r>
    <s v="ekormfs1qvxzxvp"/>
    <s v="amaresyev"/>
    <m/>
    <m/>
    <m/>
    <m/>
    <m/>
    <m/>
    <m/>
    <m/>
    <s v="No"/>
    <n v="301"/>
    <m/>
    <m/>
    <s v="Retweet"/>
    <x v="190"/>
    <s v="URA! URAAAA! #StandwithRussia #Russia #Putin https://t.co/Obe7WmKj4J"/>
    <m/>
    <m/>
    <s v="standwithrussia russia putin"/>
    <s v="https://pbs.twimg.com/media/Fco1Im5WAAwCNtd.jpg"/>
    <s v="https://pbs.twimg.com/media/Fco1Im5WAAwCNtd.jpg"/>
    <d v="2022-09-14T20:03:36.000"/>
    <d v="2022-09-14T00:00:00.000"/>
    <s v="20:03:36"/>
    <s v="https://twitter.com/ekormfs1qvxzxvp/status/1570141232244097026"/>
    <m/>
    <m/>
    <s v="1570141232244097026"/>
    <m/>
    <b v="0"/>
    <n v="0"/>
    <s v=""/>
    <b v="0"/>
    <s v="eu"/>
    <m/>
    <s v=""/>
    <b v="0"/>
    <n v="3"/>
    <s v="1570125851999764480"/>
    <s v="Twitter for Android"/>
    <b v="0"/>
    <s v="1570125851999764480"/>
    <s v="Tweet"/>
    <n v="0"/>
    <n v="0"/>
    <m/>
    <m/>
    <m/>
    <m/>
    <m/>
    <m/>
    <m/>
    <m/>
    <n v="4"/>
    <s v="3"/>
    <s v="3"/>
    <n v="0"/>
    <n v="0"/>
    <n v="0"/>
    <n v="0"/>
    <n v="0"/>
    <n v="0"/>
    <n v="5"/>
    <n v="100"/>
    <n v="5"/>
  </r>
  <r>
    <s v="ekormfs1qvxzxvp"/>
    <s v="amaresyev"/>
    <m/>
    <m/>
    <m/>
    <m/>
    <m/>
    <m/>
    <m/>
    <m/>
    <s v="No"/>
    <n v="302"/>
    <m/>
    <m/>
    <s v="Retweet"/>
    <x v="191"/>
    <s v="Çeçen birlikleri Neonazi avına başladı. #StandwithRussia #Russia https://t.co/Zj4X9w2ndk"/>
    <m/>
    <m/>
    <s v="standwithrussia russia"/>
    <s v="https://pbs.twimg.com/ext_tw_video_thumb/1570062212479287298/pu/img/ECVQJFVi9S35pAcj.jpg"/>
    <s v="https://pbs.twimg.com/ext_tw_video_thumb/1570062212479287298/pu/img/ECVQJFVi9S35pAcj.jpg"/>
    <d v="2022-09-14T20:03:45.000"/>
    <d v="2022-09-14T00:00:00.000"/>
    <s v="20:03:45"/>
    <s v="https://twitter.com/ekormfs1qvxzxvp/status/1570141270001201153"/>
    <m/>
    <m/>
    <s v="1570141270001201153"/>
    <m/>
    <b v="0"/>
    <n v="0"/>
    <s v=""/>
    <b v="0"/>
    <s v="tr"/>
    <m/>
    <s v=""/>
    <b v="0"/>
    <n v="8"/>
    <s v="1570062353781198848"/>
    <s v="Twitter for Android"/>
    <b v="0"/>
    <s v="1570062353781198848"/>
    <s v="Tweet"/>
    <n v="0"/>
    <n v="0"/>
    <m/>
    <m/>
    <m/>
    <m/>
    <m/>
    <m/>
    <m/>
    <m/>
    <n v="4"/>
    <s v="3"/>
    <s v="3"/>
    <n v="0"/>
    <n v="0"/>
    <n v="0"/>
    <n v="0"/>
    <n v="0"/>
    <n v="0"/>
    <n v="7"/>
    <n v="100"/>
    <n v="7"/>
  </r>
  <r>
    <s v="3ct3r"/>
    <s v="steph_sejourne"/>
    <m/>
    <m/>
    <m/>
    <m/>
    <m/>
    <m/>
    <m/>
    <m/>
    <s v="No"/>
    <n v="303"/>
    <m/>
    <m/>
    <s v="Replies to"/>
    <x v="192"/>
    <s v="@steph_sejourne La souveraineté européenne n'existe pas. ELLE N'EXISTE PAS PAR DEFINITON._x000a__x000a_Retourne à l'école petit #collabo._x000a_A mort l'#UE, justice contre les traitres. #ViveLaFrance _x000a_#StandWithRussia #ZelenskyWarCriminal #UkraineNazis #UrsulavonderLeyen _x000a__x000a_Souveraineté définition Larousse : https://t.co/YOHEYwvH6E"/>
    <m/>
    <m/>
    <s v="collabo ue vivelafrance standwithrussia zelenskywarcriminal ukrainenazis ursulavonderleyen"/>
    <s v="https://pbs.twimg.com/media/FcpCpSIWYAEY1lU.png"/>
    <s v="https://pbs.twimg.com/media/FcpCpSIWYAEY1lU.png"/>
    <d v="2022-09-14T20:05:31.000"/>
    <d v="2022-09-14T00:00:00.000"/>
    <s v="20:05:31"/>
    <s v="https://twitter.com/3ct3r/status/1570141714551115777"/>
    <m/>
    <m/>
    <s v="1570141714551115777"/>
    <s v="1570042706574950400"/>
    <b v="0"/>
    <n v="0"/>
    <s v="23967604"/>
    <b v="0"/>
    <s v="fr"/>
    <m/>
    <s v=""/>
    <b v="0"/>
    <n v="0"/>
    <s v=""/>
    <s v="Twitter Web App"/>
    <b v="0"/>
    <s v="1570042706574950400"/>
    <s v="Tweet"/>
    <n v="0"/>
    <n v="0"/>
    <m/>
    <m/>
    <m/>
    <m/>
    <m/>
    <m/>
    <m/>
    <m/>
    <n v="1"/>
    <s v="40"/>
    <s v="40"/>
    <n v="0"/>
    <n v="0"/>
    <n v="0"/>
    <n v="0"/>
    <n v="0"/>
    <n v="0"/>
    <n v="32"/>
    <n v="100"/>
    <n v="32"/>
  </r>
  <r>
    <s v="alim_gokce45"/>
    <s v="amaresyev"/>
    <m/>
    <m/>
    <m/>
    <m/>
    <m/>
    <m/>
    <m/>
    <m/>
    <s v="No"/>
    <n v="304"/>
    <m/>
    <m/>
    <s v="Retweet"/>
    <x v="193"/>
    <s v="Çeçen birlikleri Neonazi avına başladı. #StandwithRussia #Russia https://t.co/Zj4X9w2ndk"/>
    <m/>
    <m/>
    <s v="standwithrussia russia"/>
    <s v="https://pbs.twimg.com/ext_tw_video_thumb/1570062212479287298/pu/img/ECVQJFVi9S35pAcj.jpg"/>
    <s v="https://pbs.twimg.com/ext_tw_video_thumb/1570062212479287298/pu/img/ECVQJFVi9S35pAcj.jpg"/>
    <d v="2022-09-14T21:17:13.000"/>
    <d v="2022-09-14T00:00:00.000"/>
    <s v="21:17:13"/>
    <s v="https://twitter.com/alim_gokce45/status/1570159757755023360"/>
    <m/>
    <m/>
    <s v="1570159757755023360"/>
    <m/>
    <b v="0"/>
    <n v="0"/>
    <s v=""/>
    <b v="0"/>
    <s v="tr"/>
    <m/>
    <s v=""/>
    <b v="0"/>
    <n v="8"/>
    <s v="1570062353781198848"/>
    <s v="Twitter for Android"/>
    <b v="0"/>
    <s v="1570062353781198848"/>
    <s v="Tweet"/>
    <n v="0"/>
    <n v="0"/>
    <m/>
    <m/>
    <m/>
    <m/>
    <m/>
    <m/>
    <m/>
    <m/>
    <n v="1"/>
    <s v="3"/>
    <s v="3"/>
    <n v="0"/>
    <n v="0"/>
    <n v="0"/>
    <n v="0"/>
    <n v="0"/>
    <n v="0"/>
    <n v="7"/>
    <n v="100"/>
    <n v="7"/>
  </r>
  <r>
    <s v="tekinyamur6"/>
    <s v="amaresyev"/>
    <m/>
    <m/>
    <m/>
    <m/>
    <m/>
    <m/>
    <m/>
    <m/>
    <s v="No"/>
    <n v="305"/>
    <m/>
    <m/>
    <s v="Retweet"/>
    <x v="194"/>
    <s v="Rus Hava Kuvvetleri Ukrayna'nın enerji altyapısına saldırıyor. #StandwithRussia #Russia #Russianarmy https://t.co/Fjxzw1Qmrf"/>
    <m/>
    <m/>
    <s v="standwithrussia russia russianarmy"/>
    <s v="https://pbs.twimg.com/media/FcpmLrCWQAEizKT.jpg"/>
    <s v="https://pbs.twimg.com/media/FcpmLrCWQAEizKT.jpg"/>
    <d v="2022-09-14T22:38:28.000"/>
    <d v="2022-09-14T00:00:00.000"/>
    <s v="22:38:28"/>
    <s v="https://twitter.com/tekinyamur6/status/1570180206790610944"/>
    <m/>
    <m/>
    <s v="1570180206790610944"/>
    <m/>
    <b v="0"/>
    <n v="0"/>
    <s v=""/>
    <b v="0"/>
    <s v="tr"/>
    <m/>
    <s v=""/>
    <b v="0"/>
    <n v="3"/>
    <s v="1570179777172242436"/>
    <s v="Twitter Web App"/>
    <b v="0"/>
    <s v="1570179777172242436"/>
    <s v="Tweet"/>
    <n v="0"/>
    <n v="0"/>
    <m/>
    <m/>
    <m/>
    <m/>
    <m/>
    <m/>
    <m/>
    <m/>
    <n v="1"/>
    <s v="3"/>
    <s v="3"/>
    <n v="0"/>
    <n v="0"/>
    <n v="0"/>
    <n v="0"/>
    <n v="0"/>
    <n v="0"/>
    <n v="10"/>
    <n v="100"/>
    <n v="10"/>
  </r>
  <r>
    <s v="24_yuvi"/>
    <s v="24_yuvi"/>
    <m/>
    <m/>
    <m/>
    <m/>
    <m/>
    <m/>
    <m/>
    <m/>
    <s v="No"/>
    <n v="306"/>
    <m/>
    <m/>
    <s v="Tweet"/>
    <x v="195"/>
    <s v="LOL 🤣_x000a_Pero ya hablando en serio:_x000a_Estamos en peligro cada que se falsea la historia._x000a_#StandWithRussia 🇷🇺 https://t.co/EOS3B1sZ6E"/>
    <s v="https://twitter.com/AriSL2022/status/1569952276776714240"/>
    <s v="twitter.com"/>
    <s v="standwithrussia"/>
    <m/>
    <s v="https://pbs.twimg.com/profile_images/1515746353204408330/g2iiRyHU_normal.jpg"/>
    <d v="2022-09-15T00:18:36.000"/>
    <d v="2022-09-15T00:00:00.000"/>
    <s v="00:18:36"/>
    <s v="https://twitter.com/24_yuvi/status/1570205405468409856"/>
    <m/>
    <m/>
    <s v="1570205405468409856"/>
    <m/>
    <b v="0"/>
    <n v="1"/>
    <s v=""/>
    <b v="1"/>
    <s v="es"/>
    <m/>
    <s v="1569952276776714240"/>
    <b v="0"/>
    <n v="0"/>
    <s v=""/>
    <s v="Twitter for Android"/>
    <b v="0"/>
    <s v="1570205405468409856"/>
    <s v="Tweet"/>
    <n v="0"/>
    <n v="0"/>
    <m/>
    <m/>
    <m/>
    <m/>
    <m/>
    <m/>
    <m/>
    <m/>
    <n v="1"/>
    <s v="2"/>
    <s v="2"/>
    <n v="0"/>
    <n v="0"/>
    <n v="0"/>
    <n v="0"/>
    <n v="0"/>
    <n v="0"/>
    <n v="16"/>
    <n v="100"/>
    <n v="16"/>
  </r>
  <r>
    <s v="cnyana322"/>
    <s v="amaresyev"/>
    <m/>
    <m/>
    <m/>
    <m/>
    <m/>
    <m/>
    <m/>
    <m/>
    <s v="No"/>
    <n v="307"/>
    <m/>
    <m/>
    <s v="Retweet"/>
    <x v="196"/>
    <s v="Rus Hava Kuvvetleri Ukrayna'nın enerji altyapısına saldırıyor. #StandwithRussia #Russia #Russianarmy https://t.co/Fjxzw1Qmrf"/>
    <m/>
    <m/>
    <s v="standwithrussia russia russianarmy"/>
    <s v="https://pbs.twimg.com/media/FcpmLrCWQAEizKT.jpg"/>
    <s v="https://pbs.twimg.com/media/FcpmLrCWQAEizKT.jpg"/>
    <d v="2022-09-15T00:35:18.000"/>
    <d v="2022-09-15T00:00:00.000"/>
    <s v="00:35:18"/>
    <s v="https://twitter.com/cnyana322/status/1570209609507565569"/>
    <m/>
    <m/>
    <s v="1570209609507565569"/>
    <m/>
    <b v="0"/>
    <n v="0"/>
    <s v=""/>
    <b v="0"/>
    <s v="tr"/>
    <m/>
    <s v=""/>
    <b v="0"/>
    <n v="3"/>
    <s v="1570179777172242436"/>
    <s v="Twitter Web App"/>
    <b v="0"/>
    <s v="1570179777172242436"/>
    <s v="Tweet"/>
    <n v="0"/>
    <n v="0"/>
    <m/>
    <m/>
    <m/>
    <m/>
    <m/>
    <m/>
    <m/>
    <m/>
    <n v="1"/>
    <s v="3"/>
    <s v="3"/>
    <n v="0"/>
    <n v="0"/>
    <n v="0"/>
    <n v="0"/>
    <n v="0"/>
    <n v="0"/>
    <n v="10"/>
    <n v="100"/>
    <n v="10"/>
  </r>
  <r>
    <s v="tuk95993809"/>
    <s v="mariana_betsa"/>
    <m/>
    <m/>
    <m/>
    <m/>
    <m/>
    <m/>
    <m/>
    <m/>
    <s v="No"/>
    <n v="308"/>
    <m/>
    <m/>
    <s v="Replies to"/>
    <x v="197"/>
    <s v="@Mariana_Betsa #standwithrussia we don’t want you in Europe Ukrainian we want your girls but nothing else"/>
    <m/>
    <m/>
    <s v="standwithrussia"/>
    <m/>
    <s v="https://pbs.twimg.com/profile_images/1568827986241011713/IP20qKm__normal.jpg"/>
    <d v="2022-09-15T08:22:32.000"/>
    <d v="2022-09-15T00:00:00.000"/>
    <s v="08:22:32"/>
    <s v="https://twitter.com/tuk95993809/status/1570327193804234756"/>
    <m/>
    <m/>
    <s v="1570327193804234756"/>
    <s v="1569341070982664199"/>
    <b v="0"/>
    <n v="0"/>
    <s v="3362160970"/>
    <b v="0"/>
    <s v="en"/>
    <m/>
    <s v=""/>
    <b v="0"/>
    <n v="0"/>
    <s v=""/>
    <s v="Twitter for iPhone"/>
    <b v="0"/>
    <s v="1569341070982664199"/>
    <s v="Tweet"/>
    <n v="0"/>
    <n v="0"/>
    <m/>
    <m/>
    <m/>
    <m/>
    <m/>
    <m/>
    <m/>
    <m/>
    <n v="1"/>
    <s v="39"/>
    <s v="39"/>
    <n v="0"/>
    <n v="0"/>
    <n v="0"/>
    <n v="0"/>
    <n v="0"/>
    <n v="0"/>
    <n v="17"/>
    <n v="100"/>
    <n v="17"/>
  </r>
  <r>
    <s v="arasdal7"/>
    <s v="amaresyev"/>
    <m/>
    <m/>
    <m/>
    <m/>
    <m/>
    <m/>
    <m/>
    <m/>
    <s v="No"/>
    <n v="309"/>
    <m/>
    <m/>
    <s v="Retweet"/>
    <x v="198"/>
    <s v="URA! URAAAA! #StandwithRussia #Russia #Putin https://t.co/Obe7WmKj4J"/>
    <m/>
    <m/>
    <s v="standwithrussia russia putin"/>
    <s v="https://pbs.twimg.com/media/Fco1Im5WAAwCNtd.jpg"/>
    <s v="https://pbs.twimg.com/media/Fco1Im5WAAwCNtd.jpg"/>
    <d v="2022-09-15T08:33:05.000"/>
    <d v="2022-09-15T00:00:00.000"/>
    <s v="08:33:05"/>
    <s v="https://twitter.com/arasdal7/status/1570329845804011525"/>
    <m/>
    <m/>
    <s v="1570329845804011525"/>
    <m/>
    <b v="0"/>
    <n v="0"/>
    <s v=""/>
    <b v="0"/>
    <s v="eu"/>
    <m/>
    <s v=""/>
    <b v="0"/>
    <n v="3"/>
    <s v="1570125851999764480"/>
    <s v="Twitter Web App"/>
    <b v="0"/>
    <s v="1570125851999764480"/>
    <s v="Tweet"/>
    <n v="0"/>
    <n v="0"/>
    <m/>
    <m/>
    <m/>
    <m/>
    <m/>
    <m/>
    <m/>
    <m/>
    <n v="1"/>
    <s v="3"/>
    <s v="3"/>
    <n v="0"/>
    <n v="0"/>
    <n v="0"/>
    <n v="0"/>
    <n v="0"/>
    <n v="0"/>
    <n v="5"/>
    <n v="100"/>
    <n v="5"/>
  </r>
  <r>
    <s v="evabergamo"/>
    <s v="evabergamo"/>
    <m/>
    <m/>
    <m/>
    <m/>
    <m/>
    <m/>
    <m/>
    <m/>
    <s v="No"/>
    <n v="310"/>
    <m/>
    <m/>
    <s v="Tweet"/>
    <x v="199"/>
    <s v="#StandWithRussia https://t.co/JoQmGlwapH"/>
    <s v="https://twitter.com/DmitryEvic/status/1570320429495226371"/>
    <s v="twitter.com"/>
    <s v="standwithrussia"/>
    <m/>
    <s v="https://pbs.twimg.com/profile_images/1242761071749890048/s64OEQOZ_normal.jpg"/>
    <d v="2022-09-15T08:44:05.000"/>
    <d v="2022-09-15T00:00:00.000"/>
    <s v="08:44:05"/>
    <s v="https://twitter.com/evabergamo/status/1570332613533118464"/>
    <m/>
    <m/>
    <s v="1570332613533118464"/>
    <m/>
    <b v="0"/>
    <n v="0"/>
    <s v=""/>
    <b v="1"/>
    <s v="und"/>
    <m/>
    <s v="1570320429495226371"/>
    <b v="0"/>
    <n v="0"/>
    <s v=""/>
    <s v="Twitter Web App"/>
    <b v="0"/>
    <s v="1570332613533118464"/>
    <s v="Tweet"/>
    <n v="0"/>
    <n v="0"/>
    <m/>
    <m/>
    <m/>
    <m/>
    <m/>
    <m/>
    <m/>
    <m/>
    <n v="1"/>
    <s v="2"/>
    <s v="2"/>
    <n v="0"/>
    <n v="0"/>
    <n v="0"/>
    <n v="0"/>
    <n v="0"/>
    <n v="0"/>
    <n v="1"/>
    <n v="100"/>
    <n v="1"/>
  </r>
  <r>
    <s v="star48625796202"/>
    <s v="amaresyev"/>
    <m/>
    <m/>
    <m/>
    <m/>
    <m/>
    <m/>
    <m/>
    <m/>
    <s v="No"/>
    <n v="311"/>
    <m/>
    <m/>
    <s v="Retweet"/>
    <x v="200"/>
    <s v="Günaydın 👋 Wagner grubu konser öncesi son hazırlıklarını tamamladı. #StandwithRussia #Russia #Russianarmy #WagnerGroup 🇷🇺🇷🇺 https://t.co/hzP1jzmcQz"/>
    <m/>
    <m/>
    <s v="standwithrussia russia russianarmy wagnergroup"/>
    <s v="https://pbs.twimg.com/media/FcCNOtRX0AMZ0JE.jpg"/>
    <s v="https://pbs.twimg.com/media/FcCNOtRX0AMZ0JE.jpg"/>
    <d v="2022-09-07T18:42:44.000"/>
    <d v="2022-09-07T00:00:00.000"/>
    <s v="18:42:44"/>
    <s v="https://twitter.com/star48625796202/status/1567584166719492096"/>
    <m/>
    <m/>
    <s v="1567584166719492096"/>
    <m/>
    <b v="0"/>
    <n v="0"/>
    <s v=""/>
    <b v="0"/>
    <s v="tr"/>
    <m/>
    <s v=""/>
    <b v="0"/>
    <n v="3"/>
    <s v="1567407959860252672"/>
    <s v="Twitter for iPhone"/>
    <b v="0"/>
    <s v="1567407959860252672"/>
    <s v="Tweet"/>
    <n v="0"/>
    <n v="0"/>
    <m/>
    <m/>
    <m/>
    <m/>
    <m/>
    <m/>
    <m/>
    <m/>
    <n v="12"/>
    <s v="3"/>
    <s v="3"/>
    <n v="0"/>
    <n v="0"/>
    <n v="0"/>
    <n v="0"/>
    <n v="0"/>
    <n v="0"/>
    <n v="12"/>
    <n v="100"/>
    <n v="12"/>
  </r>
  <r>
    <s v="star48625796202"/>
    <s v="amaresyev"/>
    <m/>
    <m/>
    <m/>
    <m/>
    <m/>
    <m/>
    <m/>
    <m/>
    <s v="No"/>
    <n v="312"/>
    <m/>
    <m/>
    <s v="Retweet"/>
    <x v="201"/>
    <s v="Biz kazanacağız! #StandwithRussia #Russia #Russianarmy"/>
    <m/>
    <m/>
    <s v="standwithrussia russia russianarmy"/>
    <m/>
    <s v="https://abs.twimg.com/sticky/default_profile_images/default_profile_normal.png"/>
    <d v="2022-09-10T21:32:56.000"/>
    <d v="2022-09-10T00:00:00.000"/>
    <s v="21:32:56"/>
    <s v="https://twitter.com/star48625796202/status/1568714165241487363"/>
    <m/>
    <m/>
    <s v="1568714165241487363"/>
    <m/>
    <b v="0"/>
    <n v="0"/>
    <s v=""/>
    <b v="0"/>
    <s v="tr"/>
    <m/>
    <s v=""/>
    <b v="0"/>
    <n v="4"/>
    <s v="1568690370866978816"/>
    <s v="Twitter for iPhone"/>
    <b v="0"/>
    <s v="1568690370866978816"/>
    <s v="Tweet"/>
    <n v="0"/>
    <n v="0"/>
    <m/>
    <m/>
    <m/>
    <m/>
    <m/>
    <m/>
    <m/>
    <m/>
    <n v="12"/>
    <s v="3"/>
    <s v="3"/>
    <n v="0"/>
    <n v="0"/>
    <n v="0"/>
    <n v="0"/>
    <n v="0"/>
    <n v="0"/>
    <n v="5"/>
    <n v="100"/>
    <n v="5"/>
  </r>
  <r>
    <s v="star48625796202"/>
    <s v="amaresyev"/>
    <m/>
    <m/>
    <m/>
    <m/>
    <m/>
    <m/>
    <m/>
    <m/>
    <s v="No"/>
    <n v="313"/>
    <m/>
    <m/>
    <s v="Retweet"/>
    <x v="202"/>
    <s v="Rus ordusu Harkov ve bölgedeki hedeflere büyük bir darbe indiriyor_x000a_Ayrıca Slavyansk ve Konstantinovka'da patlama haberleri geliyor. #StandwithRussia #Russia #RussianArmy"/>
    <m/>
    <m/>
    <s v="standwithrussia russia russianarmy"/>
    <m/>
    <s v="https://abs.twimg.com/sticky/default_profile_images/default_profile_normal.png"/>
    <d v="2022-09-12T08:43:58.000"/>
    <d v="2022-09-12T00:00:00.000"/>
    <s v="08:43:58"/>
    <s v="https://twitter.com/star48625796202/status/1569245422165655555"/>
    <m/>
    <m/>
    <s v="1569245422165655555"/>
    <m/>
    <b v="0"/>
    <n v="0"/>
    <s v=""/>
    <b v="0"/>
    <s v="tr"/>
    <m/>
    <s v=""/>
    <b v="0"/>
    <n v="2"/>
    <s v="1569072430504902656"/>
    <s v="Twitter for iPhone"/>
    <b v="0"/>
    <s v="1569072430504902656"/>
    <s v="Tweet"/>
    <n v="0"/>
    <n v="0"/>
    <m/>
    <m/>
    <m/>
    <m/>
    <m/>
    <m/>
    <m/>
    <m/>
    <n v="12"/>
    <s v="3"/>
    <s v="3"/>
    <n v="0"/>
    <n v="0"/>
    <n v="0"/>
    <n v="0"/>
    <n v="0"/>
    <n v="0"/>
    <n v="20"/>
    <n v="100"/>
    <n v="20"/>
  </r>
  <r>
    <s v="star48625796202"/>
    <s v="amaresyev"/>
    <m/>
    <m/>
    <m/>
    <m/>
    <m/>
    <m/>
    <m/>
    <m/>
    <s v="No"/>
    <n v="314"/>
    <m/>
    <m/>
    <s v="Retweet"/>
    <x v="203"/>
    <s v="Rusya ve Donetsk Halk Cumhuriyeti birlikleri Ukronazi saldırılarını püskürtüyor! #StandwithRussia #Russia #Russianarmy 🇷🇺 https://t.co/MmAnJ0YA4L"/>
    <m/>
    <m/>
    <s v="standwithrussia russia russianarmy"/>
    <s v="https://pbs.twimg.com/ext_tw_video_thumb/1569282039861452802/pu/img/hpYkNNY2FvFNCj_Q.jpg"/>
    <s v="https://pbs.twimg.com/ext_tw_video_thumb/1569282039861452802/pu/img/hpYkNNY2FvFNCj_Q.jpg"/>
    <d v="2022-09-12T13:14:12.000"/>
    <d v="2022-09-12T00:00:00.000"/>
    <s v="13:14:12"/>
    <s v="https://twitter.com/star48625796202/status/1569313428002447360"/>
    <m/>
    <m/>
    <s v="1569313428002447360"/>
    <m/>
    <b v="0"/>
    <n v="0"/>
    <s v=""/>
    <b v="0"/>
    <s v="tr"/>
    <m/>
    <s v=""/>
    <b v="0"/>
    <n v="3"/>
    <s v="1569282120085913601"/>
    <s v="Twitter for iPhone"/>
    <b v="0"/>
    <s v="1569282120085913601"/>
    <s v="Tweet"/>
    <n v="0"/>
    <n v="0"/>
    <m/>
    <m/>
    <m/>
    <m/>
    <m/>
    <m/>
    <m/>
    <m/>
    <n v="12"/>
    <s v="3"/>
    <s v="3"/>
    <n v="0"/>
    <n v="0"/>
    <n v="0"/>
    <n v="0"/>
    <n v="0"/>
    <n v="0"/>
    <n v="12"/>
    <n v="100"/>
    <n v="12"/>
  </r>
  <r>
    <s v="star48625796202"/>
    <s v="zelenskyyua"/>
    <m/>
    <m/>
    <m/>
    <m/>
    <m/>
    <m/>
    <m/>
    <m/>
    <s v="No"/>
    <n v="315"/>
    <m/>
    <m/>
    <s v="MentionsInRetweet"/>
    <x v="204"/>
    <s v="Ukrayna, Harkov metrosu. Işığına ne oldu @ZelenskyyUa ? 😎 #StandwithRussia #Russia https://t.co/LlKC2JpCfQ"/>
    <m/>
    <m/>
    <s v="standwithrussia russia"/>
    <s v="https://pbs.twimg.com/ext_tw_video_thumb/1569314489102630913/pu/img/BR0KDvRYMz2wMx5y.jpg"/>
    <s v="https://pbs.twimg.com/ext_tw_video_thumb/1569314489102630913/pu/img/BR0KDvRYMz2wMx5y.jpg"/>
    <d v="2022-09-12T15:31:52.000"/>
    <d v="2022-09-12T00:00:00.000"/>
    <s v="15:31:52"/>
    <s v="https://twitter.com/star48625796202/status/1569348073012490240"/>
    <m/>
    <m/>
    <s v="1569348073012490240"/>
    <m/>
    <b v="0"/>
    <n v="0"/>
    <s v=""/>
    <b v="0"/>
    <s v="tr"/>
    <m/>
    <s v=""/>
    <b v="0"/>
    <n v="2"/>
    <s v="1569314539979653120"/>
    <s v="Twitter for iPhone"/>
    <b v="0"/>
    <s v="1569314539979653120"/>
    <s v="Tweet"/>
    <n v="0"/>
    <n v="0"/>
    <m/>
    <m/>
    <m/>
    <m/>
    <m/>
    <m/>
    <m/>
    <m/>
    <n v="1"/>
    <s v="3"/>
    <s v="3"/>
    <m/>
    <m/>
    <m/>
    <m/>
    <m/>
    <m/>
    <m/>
    <m/>
    <m/>
  </r>
  <r>
    <s v="star48625796202"/>
    <s v="amaresyev"/>
    <m/>
    <m/>
    <m/>
    <m/>
    <m/>
    <m/>
    <m/>
    <m/>
    <s v="No"/>
    <n v="317"/>
    <m/>
    <m/>
    <s v="Retweet"/>
    <x v="205"/>
    <s v="▪️RF Silahlı Kuvvetleri, tüm cephe hattı boyunca topçu saldırıları gerçekleştiriyor ve aktif olarak hava keşifleri yürütüyor._x000a_▪️RF Silahlı Kuvvetleri, Ukrayna Silahlı Kuvvetleri'ne ait tesislere yüksek hassasiyetli silahlarla saldırı gerçekleştirdi. #StandwithRussia #Russia"/>
    <m/>
    <m/>
    <s v="standwithrussia russia"/>
    <m/>
    <s v="https://abs.twimg.com/sticky/default_profile_images/default_profile_normal.png"/>
    <d v="2022-09-14T05:00:27.000"/>
    <d v="2022-09-14T00:00:00.000"/>
    <s v="05:00:27"/>
    <s v="https://twitter.com/star48625796202/status/1569913947133812737"/>
    <m/>
    <m/>
    <s v="1569913947133812737"/>
    <m/>
    <b v="0"/>
    <n v="0"/>
    <s v=""/>
    <b v="0"/>
    <s v="tr"/>
    <m/>
    <s v=""/>
    <b v="0"/>
    <n v="2"/>
    <s v="1569732083781713920"/>
    <s v="Twitter for iPhone"/>
    <b v="0"/>
    <s v="1569732083781713920"/>
    <s v="Tweet"/>
    <n v="0"/>
    <n v="0"/>
    <m/>
    <m/>
    <m/>
    <m/>
    <m/>
    <m/>
    <m/>
    <m/>
    <n v="12"/>
    <s v="3"/>
    <s v="3"/>
    <n v="0"/>
    <n v="0"/>
    <n v="0"/>
    <n v="0"/>
    <n v="0"/>
    <n v="0"/>
    <n v="31"/>
    <n v="100"/>
    <n v="31"/>
  </r>
  <r>
    <s v="star48625796202"/>
    <s v="amaresyev"/>
    <m/>
    <m/>
    <m/>
    <m/>
    <m/>
    <m/>
    <m/>
    <m/>
    <s v="No"/>
    <n v="318"/>
    <m/>
    <m/>
    <s v="Retweet"/>
    <x v="206"/>
    <s v="Ukronazi medyası, Rus askeri uçaklarının doğu sınırı boyunca uçtuğunu bildirdi. #StandwithRussia #RussianArmy #Russia https://t.co/YdBgWa04Tm"/>
    <m/>
    <m/>
    <s v="standwithrussia russianarmy russia"/>
    <s v="https://pbs.twimg.com/media/FciVAscX0AA7C40.jpg"/>
    <s v="https://pbs.twimg.com/media/FciVAscX0AA7C40.jpg"/>
    <d v="2022-09-14T05:00:53.000"/>
    <d v="2022-09-14T00:00:00.000"/>
    <s v="05:00:53"/>
    <s v="https://twitter.com/star48625796202/status/1569914056672440323"/>
    <m/>
    <m/>
    <s v="1569914056672440323"/>
    <m/>
    <b v="0"/>
    <n v="0"/>
    <s v=""/>
    <b v="0"/>
    <s v="tr"/>
    <m/>
    <s v=""/>
    <b v="0"/>
    <n v="2"/>
    <s v="1569668314779250688"/>
    <s v="Twitter for iPhone"/>
    <b v="0"/>
    <s v="1569668314779250688"/>
    <s v="Tweet"/>
    <n v="0"/>
    <n v="0"/>
    <m/>
    <m/>
    <m/>
    <m/>
    <m/>
    <m/>
    <m/>
    <m/>
    <n v="12"/>
    <s v="3"/>
    <s v="3"/>
    <n v="0"/>
    <n v="0"/>
    <n v="0"/>
    <n v="0"/>
    <n v="0"/>
    <n v="0"/>
    <n v="13"/>
    <n v="100"/>
    <n v="13"/>
  </r>
  <r>
    <s v="star48625796202"/>
    <s v="amaresyev"/>
    <m/>
    <m/>
    <m/>
    <m/>
    <m/>
    <m/>
    <m/>
    <m/>
    <s v="No"/>
    <n v="319"/>
    <m/>
    <m/>
    <s v="Retweet"/>
    <x v="207"/>
    <s v="URA! URAAAA! #StandwithRussia #Russia #Putin https://t.co/Obe7WmKj4J"/>
    <m/>
    <m/>
    <s v="standwithrussia russia putin"/>
    <s v="https://pbs.twimg.com/media/Fco1Im5WAAwCNtd.jpg"/>
    <s v="https://pbs.twimg.com/media/Fco1Im5WAAwCNtd.jpg"/>
    <d v="2022-09-14T19:39:31.000"/>
    <d v="2022-09-14T00:00:00.000"/>
    <s v="19:39:31"/>
    <s v="https://twitter.com/star48625796202/status/1570135173198663680"/>
    <m/>
    <m/>
    <s v="1570135173198663680"/>
    <m/>
    <b v="0"/>
    <n v="0"/>
    <s v=""/>
    <b v="0"/>
    <s v="eu"/>
    <m/>
    <s v=""/>
    <b v="0"/>
    <n v="3"/>
    <s v="1570125851999764480"/>
    <s v="Twitter for iPhone"/>
    <b v="0"/>
    <s v="1570125851999764480"/>
    <s v="Tweet"/>
    <n v="0"/>
    <n v="0"/>
    <m/>
    <m/>
    <m/>
    <m/>
    <m/>
    <m/>
    <m/>
    <m/>
    <n v="12"/>
    <s v="3"/>
    <s v="3"/>
    <n v="0"/>
    <n v="0"/>
    <n v="0"/>
    <n v="0"/>
    <n v="0"/>
    <n v="0"/>
    <n v="5"/>
    <n v="100"/>
    <n v="5"/>
  </r>
  <r>
    <s v="star48625796202"/>
    <s v="amaresyev"/>
    <m/>
    <m/>
    <m/>
    <m/>
    <m/>
    <m/>
    <m/>
    <m/>
    <s v="No"/>
    <n v="320"/>
    <m/>
    <m/>
    <s v="Retweet"/>
    <x v="208"/>
    <s v="Ramazan Kadırov: &quot;Ülke genelinde sıkıyönetim ilan eder ve her türlü silahı kullanırdım&quot;_x000a_“..İnsanları sıkıyönetime hazırlamaya başlardım. Yarın ne olur bilmiyoruz. Herhangi bir dine bağlı olmayan bu şeytanların daha çok müttefiki var. olur, çünkü onlar şeytandır.” #StandwithRussia https://t.co/wlfyWlGs5K"/>
    <m/>
    <m/>
    <s v="standwithrussia"/>
    <s v="https://pbs.twimg.com/ext_tw_video_thumb/1570079315068424192/pu/img/yVxrXvHEmivLuWgt.jpg"/>
    <s v="https://pbs.twimg.com/ext_tw_video_thumb/1570079315068424192/pu/img/yVxrXvHEmivLuWgt.jpg"/>
    <d v="2022-09-14T19:39:56.000"/>
    <d v="2022-09-14T00:00:00.000"/>
    <s v="19:39:56"/>
    <s v="https://twitter.com/star48625796202/status/1570135276290469888"/>
    <m/>
    <m/>
    <s v="1570135276290469888"/>
    <m/>
    <b v="0"/>
    <n v="0"/>
    <s v=""/>
    <b v="0"/>
    <s v="tr"/>
    <m/>
    <s v=""/>
    <b v="0"/>
    <n v="2"/>
    <s v="1570079470417215488"/>
    <s v="Twitter for iPhone"/>
    <b v="0"/>
    <s v="1570079470417215488"/>
    <s v="Tweet"/>
    <n v="0"/>
    <n v="0"/>
    <m/>
    <m/>
    <m/>
    <m/>
    <m/>
    <m/>
    <m/>
    <m/>
    <n v="12"/>
    <s v="3"/>
    <s v="3"/>
    <n v="0"/>
    <n v="0"/>
    <n v="0"/>
    <n v="0"/>
    <n v="0"/>
    <n v="0"/>
    <n v="36"/>
    <n v="100"/>
    <n v="36"/>
  </r>
  <r>
    <s v="star48625796202"/>
    <s v="amaresyev"/>
    <m/>
    <m/>
    <m/>
    <m/>
    <m/>
    <m/>
    <m/>
    <m/>
    <s v="No"/>
    <n v="321"/>
    <m/>
    <m/>
    <s v="Retweet"/>
    <x v="209"/>
    <s v="Çeçen birlikleri Neonazi avına başladı. #StandwithRussia #Russia https://t.co/Zj4X9w2ndk"/>
    <m/>
    <m/>
    <s v="standwithrussia russia"/>
    <s v="https://pbs.twimg.com/ext_tw_video_thumb/1570062212479287298/pu/img/ECVQJFVi9S35pAcj.jpg"/>
    <s v="https://pbs.twimg.com/ext_tw_video_thumb/1570062212479287298/pu/img/ECVQJFVi9S35pAcj.jpg"/>
    <d v="2022-09-14T19:40:07.000"/>
    <d v="2022-09-14T00:00:00.000"/>
    <s v="19:40:07"/>
    <s v="https://twitter.com/star48625796202/status/1570135325070209025"/>
    <m/>
    <m/>
    <s v="1570135325070209025"/>
    <m/>
    <b v="0"/>
    <n v="0"/>
    <s v=""/>
    <b v="0"/>
    <s v="tr"/>
    <m/>
    <s v=""/>
    <b v="0"/>
    <n v="8"/>
    <s v="1570062353781198848"/>
    <s v="Twitter for iPhone"/>
    <b v="0"/>
    <s v="1570062353781198848"/>
    <s v="Tweet"/>
    <n v="0"/>
    <n v="0"/>
    <m/>
    <m/>
    <m/>
    <m/>
    <m/>
    <m/>
    <m/>
    <m/>
    <n v="12"/>
    <s v="3"/>
    <s v="3"/>
    <n v="0"/>
    <n v="0"/>
    <n v="0"/>
    <n v="0"/>
    <n v="0"/>
    <n v="0"/>
    <n v="7"/>
    <n v="100"/>
    <n v="7"/>
  </r>
  <r>
    <s v="star48625796202"/>
    <s v="amaresyev"/>
    <m/>
    <m/>
    <m/>
    <m/>
    <m/>
    <m/>
    <m/>
    <m/>
    <s v="No"/>
    <n v="322"/>
    <m/>
    <m/>
    <s v="Retweet"/>
    <x v="210"/>
    <s v="DHC&amp;amp;LHC birlikleri, Rus Silahlı Kuvvetleri'nin ateş desteğiyle Nikolaevka ve İkinci Nikolaevka'yı özgürleştirdi. #StandwithRussia #Russian #Russianarmy https://t.co/QE8SMHczmn"/>
    <m/>
    <m/>
    <s v="standwithrussia russian russianarmy"/>
    <s v="https://pbs.twimg.com/media/FcnDhrKWQAAs5gQ.jpg"/>
    <s v="https://pbs.twimg.com/media/FcnDhrKWQAAs5gQ.jpg"/>
    <d v="2022-09-14T19:40:16.000"/>
    <d v="2022-09-14T00:00:00.000"/>
    <s v="19:40:16"/>
    <s v="https://twitter.com/star48625796202/status/1570135360046333952"/>
    <m/>
    <m/>
    <s v="1570135360046333952"/>
    <m/>
    <b v="0"/>
    <n v="0"/>
    <s v=""/>
    <b v="0"/>
    <s v="tr"/>
    <m/>
    <s v=""/>
    <b v="0"/>
    <n v="2"/>
    <s v="1570000935769735168"/>
    <s v="Twitter for iPhone"/>
    <b v="0"/>
    <s v="1570000935769735168"/>
    <s v="Tweet"/>
    <n v="0"/>
    <n v="0"/>
    <m/>
    <m/>
    <m/>
    <m/>
    <m/>
    <m/>
    <m/>
    <m/>
    <n v="12"/>
    <s v="3"/>
    <s v="3"/>
    <n v="0"/>
    <n v="0"/>
    <n v="0"/>
    <n v="0"/>
    <n v="0"/>
    <n v="0"/>
    <n v="17"/>
    <n v="100"/>
    <n v="17"/>
  </r>
  <r>
    <s v="star48625796202"/>
    <s v="amaresyev"/>
    <m/>
    <m/>
    <m/>
    <m/>
    <m/>
    <m/>
    <m/>
    <m/>
    <s v="No"/>
    <n v="323"/>
    <m/>
    <m/>
    <s v="Retweet"/>
    <x v="211"/>
    <s v="Rus Hava Kuvvetleri Ukrayna'nın enerji altyapısına saldırıyor. #StandwithRussia #Russia #Russianarmy https://t.co/Fjxzw1Qmrf"/>
    <m/>
    <m/>
    <s v="standwithrussia russia russianarmy"/>
    <s v="https://pbs.twimg.com/media/FcpmLrCWQAEizKT.jpg"/>
    <s v="https://pbs.twimg.com/media/FcpmLrCWQAEizKT.jpg"/>
    <d v="2022-09-15T08:49:37.000"/>
    <d v="2022-09-15T00:00:00.000"/>
    <s v="08:49:37"/>
    <s v="https://twitter.com/star48625796202/status/1570334006415081473"/>
    <m/>
    <m/>
    <s v="1570334006415081473"/>
    <m/>
    <b v="0"/>
    <n v="0"/>
    <s v=""/>
    <b v="0"/>
    <s v="tr"/>
    <m/>
    <s v=""/>
    <b v="0"/>
    <n v="3"/>
    <s v="1570179777172242436"/>
    <s v="Twitter for iPhone"/>
    <b v="0"/>
    <s v="1570179777172242436"/>
    <s v="Tweet"/>
    <n v="0"/>
    <n v="0"/>
    <m/>
    <m/>
    <m/>
    <m/>
    <m/>
    <m/>
    <m/>
    <m/>
    <n v="12"/>
    <s v="3"/>
    <s v="3"/>
    <n v="0"/>
    <n v="0"/>
    <n v="0"/>
    <n v="0"/>
    <n v="0"/>
    <n v="0"/>
    <n v="10"/>
    <n v="100"/>
    <n v="10"/>
  </r>
  <r>
    <s v="tkelic"/>
    <s v="bundeskanzler"/>
    <m/>
    <m/>
    <m/>
    <m/>
    <m/>
    <m/>
    <m/>
    <m/>
    <s v="No"/>
    <n v="324"/>
    <m/>
    <m/>
    <s v="MentionsInRetweet"/>
    <x v="212"/>
    <s v="@denistrubetskoy @Bundeskanzler Es liegt nicht in deutschem oder europäischem Interesse, ein korruptes rassistisches Nazi-Regime als militärische Größe in Zentraleuropa zu etablieren._x000a__x000a_Keine Waffen an Kiew in diesem Stellvertreterkrieg._x000a__x000a_#ZelenskyWarCriminal #DissolveEU #SanctionUkraine #StandWithRussia"/>
    <m/>
    <m/>
    <s v="zelenskywarcriminal dissolveeu sanctionukraine standwithrussia"/>
    <m/>
    <s v="https://pbs.twimg.com/profile_images/808273775905087488/6GlIevjV_normal.jpg"/>
    <d v="2022-09-15T09:10:24.000"/>
    <d v="2022-09-15T00:00:00.000"/>
    <s v="09:10:24"/>
    <s v="https://twitter.com/tkelic/status/1570339236540284930"/>
    <m/>
    <m/>
    <s v="1570339236540284930"/>
    <m/>
    <b v="0"/>
    <n v="0"/>
    <s v=""/>
    <b v="0"/>
    <s v="de"/>
    <m/>
    <s v=""/>
    <b v="0"/>
    <n v="1"/>
    <s v="1570291470782824448"/>
    <s v="Twitter for iPhone"/>
    <b v="0"/>
    <s v="1570291470782824448"/>
    <s v="Tweet"/>
    <n v="0"/>
    <n v="0"/>
    <m/>
    <m/>
    <m/>
    <m/>
    <m/>
    <m/>
    <m/>
    <m/>
    <n v="1"/>
    <s v="1"/>
    <s v="1"/>
    <m/>
    <m/>
    <m/>
    <m/>
    <m/>
    <m/>
    <m/>
    <m/>
    <m/>
  </r>
  <r>
    <s v="augusto40982091"/>
    <s v="augusto40982091"/>
    <m/>
    <m/>
    <m/>
    <m/>
    <m/>
    <m/>
    <m/>
    <m/>
    <s v="No"/>
    <n v="327"/>
    <m/>
    <m/>
    <s v="Tweet"/>
    <x v="213"/>
    <s v="#StandWithRussia https://t.co/JxfQ148spp"/>
    <m/>
    <m/>
    <s v="standwithrussia"/>
    <s v="https://pbs.twimg.com/media/Fcr7G46WYAIk1PT.jpg"/>
    <s v="https://pbs.twimg.com/media/Fcr7G46WYAIk1PT.jpg"/>
    <d v="2022-09-15T09:28:25.000"/>
    <d v="2022-09-15T00:00:00.000"/>
    <s v="09:28:25"/>
    <s v="https://twitter.com/augusto40982091/status/1570343772172713984"/>
    <m/>
    <m/>
    <s v="1570343772172713984"/>
    <m/>
    <b v="0"/>
    <n v="8"/>
    <s v=""/>
    <b v="0"/>
    <s v="und"/>
    <m/>
    <s v=""/>
    <b v="0"/>
    <n v="1"/>
    <s v=""/>
    <s v="Twitter Web App"/>
    <b v="0"/>
    <s v="1570343772172713984"/>
    <s v="Tweet"/>
    <n v="0"/>
    <n v="0"/>
    <m/>
    <m/>
    <m/>
    <m/>
    <m/>
    <m/>
    <m/>
    <m/>
    <n v="1"/>
    <s v="2"/>
    <s v="2"/>
    <n v="0"/>
    <n v="0"/>
    <n v="0"/>
    <n v="0"/>
    <n v="0"/>
    <n v="0"/>
    <n v="1"/>
    <n v="100"/>
    <n v="1"/>
  </r>
  <r>
    <s v="neo8emmanuel"/>
    <s v="neo8emmanuel"/>
    <m/>
    <m/>
    <m/>
    <m/>
    <m/>
    <m/>
    <m/>
    <m/>
    <s v="No"/>
    <n v="328"/>
    <m/>
    <m/>
    <s v="Tweet"/>
    <x v="214"/>
    <s v="Pandor to address Foreign Relations Council in US_x000a__x000a_#StandWithRussia #StandwithBricks #bricks #standwithPutin #SenzoMeyiwaTrail"/>
    <m/>
    <m/>
    <s v="standwithrussia standwithbricks bricks standwithputin senzomeyiwatrail"/>
    <m/>
    <s v="https://pbs.twimg.com/profile_images/1570086566189465601/Z8qxRX8h_normal.jpg"/>
    <d v="2022-09-15T10:16:32.000"/>
    <d v="2022-09-15T00:00:00.000"/>
    <s v="10:16:32"/>
    <s v="https://twitter.com/neo8emmanuel/status/1570355879194816513"/>
    <m/>
    <m/>
    <s v="1570355879194816513"/>
    <m/>
    <b v="0"/>
    <n v="0"/>
    <s v=""/>
    <b v="0"/>
    <s v="en"/>
    <m/>
    <s v=""/>
    <b v="0"/>
    <n v="0"/>
    <s v=""/>
    <s v="Twitter Web App"/>
    <b v="0"/>
    <s v="1570355879194816513"/>
    <s v="Tweet"/>
    <n v="0"/>
    <n v="0"/>
    <m/>
    <m/>
    <m/>
    <m/>
    <m/>
    <m/>
    <m/>
    <m/>
    <n v="1"/>
    <s v="2"/>
    <s v="2"/>
    <n v="0"/>
    <n v="0"/>
    <n v="0"/>
    <n v="0"/>
    <n v="0"/>
    <n v="0"/>
    <n v="13"/>
    <n v="100"/>
    <n v="13"/>
  </r>
  <r>
    <s v="dalev82"/>
    <s v="mike_zoev"/>
    <m/>
    <m/>
    <m/>
    <m/>
    <m/>
    <m/>
    <m/>
    <m/>
    <s v="No"/>
    <n v="329"/>
    <m/>
    <m/>
    <s v="Retweet"/>
    <x v="215"/>
    <s v="🇷🇺🤝🇸🇰 Большинство словаков хотят военной победы России над Украиной, — Euractiv публикует результаты опроса._x000a_#StandWithRussia https://t.co/jvnIxX0I7N"/>
    <m/>
    <m/>
    <s v="standwithrussia"/>
    <s v="https://pbs.twimg.com/media/FcsKLa1WAAAi_cQ.jpg"/>
    <s v="https://pbs.twimg.com/media/FcsKLa1WAAAi_cQ.jpg"/>
    <d v="2022-09-15T10:39:34.000"/>
    <d v="2022-09-15T00:00:00.000"/>
    <s v="10:39:34"/>
    <s v="https://twitter.com/dalev82/status/1570361678067535873"/>
    <m/>
    <m/>
    <s v="1570361678067535873"/>
    <m/>
    <b v="0"/>
    <n v="0"/>
    <s v=""/>
    <b v="0"/>
    <s v="ru"/>
    <m/>
    <s v=""/>
    <b v="0"/>
    <n v="3"/>
    <s v="1570360092079566848"/>
    <s v="Twitter for Android"/>
    <b v="0"/>
    <s v="1570360092079566848"/>
    <s v="Tweet"/>
    <n v="0"/>
    <n v="0"/>
    <m/>
    <m/>
    <m/>
    <m/>
    <m/>
    <m/>
    <m/>
    <m/>
    <n v="1"/>
    <s v="20"/>
    <s v="20"/>
    <n v="0"/>
    <n v="0"/>
    <n v="0"/>
    <n v="0"/>
    <n v="0"/>
    <n v="0"/>
    <n v="13"/>
    <n v="100"/>
    <n v="13"/>
  </r>
  <r>
    <s v="bobmozg"/>
    <s v="generalstaffua"/>
    <m/>
    <m/>
    <m/>
    <m/>
    <m/>
    <m/>
    <m/>
    <m/>
    <s v="No"/>
    <n v="330"/>
    <m/>
    <m/>
    <s v="Replies to"/>
    <x v="216"/>
    <s v="@GeneralStaffUA #StandWithRussia 🇷🇺"/>
    <m/>
    <m/>
    <s v="standwithrussia"/>
    <m/>
    <s v="https://pbs.twimg.com/profile_images/1560723548540489739/Cp800W5O_normal.jpg"/>
    <d v="2022-09-14T07:44:00.000"/>
    <d v="2022-09-14T00:00:00.000"/>
    <s v="07:44:00"/>
    <s v="https://twitter.com/bobmozg/status/1569955105021075456"/>
    <m/>
    <m/>
    <s v="1569955105021075456"/>
    <s v="1569909014846230530"/>
    <b v="0"/>
    <n v="0"/>
    <s v="4012126155"/>
    <b v="0"/>
    <s v="und"/>
    <m/>
    <s v=""/>
    <b v="0"/>
    <n v="0"/>
    <s v=""/>
    <s v="Twitter Web App"/>
    <b v="0"/>
    <s v="1569909014846230530"/>
    <s v="Tweet"/>
    <n v="0"/>
    <n v="0"/>
    <m/>
    <m/>
    <m/>
    <m/>
    <m/>
    <m/>
    <m/>
    <m/>
    <n v="4"/>
    <s v="15"/>
    <s v="15"/>
    <n v="0"/>
    <n v="0"/>
    <n v="0"/>
    <n v="0"/>
    <n v="0"/>
    <n v="0"/>
    <n v="2"/>
    <n v="100"/>
    <n v="2"/>
  </r>
  <r>
    <s v="bobmozg"/>
    <s v="generalstaffua"/>
    <m/>
    <m/>
    <m/>
    <m/>
    <m/>
    <m/>
    <m/>
    <m/>
    <s v="No"/>
    <n v="331"/>
    <m/>
    <m/>
    <s v="Replies to"/>
    <x v="217"/>
    <s v="@GeneralStaffUA #StandWithRussia 🇷🇺"/>
    <m/>
    <m/>
    <s v="standwithrussia"/>
    <m/>
    <s v="https://pbs.twimg.com/profile_images/1560723548540489739/Cp800W5O_normal.jpg"/>
    <d v="2022-09-14T07:44:19.000"/>
    <d v="2022-09-14T00:00:00.000"/>
    <s v="07:44:19"/>
    <s v="https://twitter.com/bobmozg/status/1569955187732942848"/>
    <m/>
    <m/>
    <s v="1569955187732942848"/>
    <s v="1569908443032555520"/>
    <b v="0"/>
    <n v="0"/>
    <s v="4012126155"/>
    <b v="0"/>
    <s v="und"/>
    <m/>
    <s v=""/>
    <b v="0"/>
    <n v="0"/>
    <s v=""/>
    <s v="Twitter Web App"/>
    <b v="0"/>
    <s v="1569908443032555520"/>
    <s v="Tweet"/>
    <n v="0"/>
    <n v="0"/>
    <m/>
    <m/>
    <m/>
    <m/>
    <m/>
    <m/>
    <m/>
    <m/>
    <n v="4"/>
    <s v="15"/>
    <s v="15"/>
    <n v="0"/>
    <n v="0"/>
    <n v="0"/>
    <n v="0"/>
    <n v="0"/>
    <n v="0"/>
    <n v="2"/>
    <n v="100"/>
    <n v="2"/>
  </r>
  <r>
    <s v="bobmozg"/>
    <s v="generalstaffua"/>
    <m/>
    <m/>
    <m/>
    <m/>
    <m/>
    <m/>
    <m/>
    <m/>
    <s v="No"/>
    <n v="332"/>
    <m/>
    <m/>
    <s v="Replies to"/>
    <x v="218"/>
    <s v="@GeneralStaffUA #StandWithRussia 🇷🇺"/>
    <m/>
    <m/>
    <s v="standwithrussia"/>
    <m/>
    <s v="https://pbs.twimg.com/profile_images/1560723548540489739/Cp800W5O_normal.jpg"/>
    <d v="2022-09-14T07:44:35.000"/>
    <d v="2022-09-14T00:00:00.000"/>
    <s v="07:44:35"/>
    <s v="https://twitter.com/bobmozg/status/1569955252853407744"/>
    <m/>
    <m/>
    <s v="1569955252853407744"/>
    <s v="1569876615819051008"/>
    <b v="0"/>
    <n v="0"/>
    <s v="4012126155"/>
    <b v="0"/>
    <s v="und"/>
    <m/>
    <s v=""/>
    <b v="0"/>
    <n v="0"/>
    <s v=""/>
    <s v="Twitter Web App"/>
    <b v="0"/>
    <s v="1569876615819051008"/>
    <s v="Tweet"/>
    <n v="0"/>
    <n v="0"/>
    <m/>
    <m/>
    <m/>
    <m/>
    <m/>
    <m/>
    <m/>
    <m/>
    <n v="4"/>
    <s v="15"/>
    <s v="15"/>
    <n v="0"/>
    <n v="0"/>
    <n v="0"/>
    <n v="0"/>
    <n v="0"/>
    <n v="0"/>
    <n v="2"/>
    <n v="100"/>
    <n v="2"/>
  </r>
  <r>
    <s v="bobmozg"/>
    <s v="generalstaffua"/>
    <m/>
    <m/>
    <m/>
    <m/>
    <m/>
    <m/>
    <m/>
    <m/>
    <s v="No"/>
    <n v="333"/>
    <m/>
    <m/>
    <s v="Replies to"/>
    <x v="219"/>
    <s v="@GeneralStaffUA #StandWithRussia 🇷🇺"/>
    <m/>
    <m/>
    <s v="standwithrussia"/>
    <m/>
    <s v="https://pbs.twimg.com/profile_images/1560723548540489739/Cp800W5O_normal.jpg"/>
    <d v="2022-09-14T08:43:22.000"/>
    <d v="2022-09-14T00:00:00.000"/>
    <s v="08:43:22"/>
    <s v="https://twitter.com/bobmozg/status/1569970048235884544"/>
    <m/>
    <m/>
    <s v="1569970048235884544"/>
    <s v="1569957074909679618"/>
    <b v="0"/>
    <n v="0"/>
    <s v="4012126155"/>
    <b v="0"/>
    <s v="und"/>
    <m/>
    <s v=""/>
    <b v="0"/>
    <n v="0"/>
    <s v=""/>
    <s v="Twitter Web App"/>
    <b v="0"/>
    <s v="1569957074909679618"/>
    <s v="Tweet"/>
    <n v="0"/>
    <n v="0"/>
    <m/>
    <m/>
    <m/>
    <m/>
    <m/>
    <m/>
    <m/>
    <m/>
    <n v="4"/>
    <s v="15"/>
    <s v="15"/>
    <n v="0"/>
    <n v="0"/>
    <n v="0"/>
    <n v="0"/>
    <n v="0"/>
    <n v="0"/>
    <n v="2"/>
    <n v="100"/>
    <n v="2"/>
  </r>
  <r>
    <s v="bobmozg"/>
    <s v="snmilitary"/>
    <m/>
    <m/>
    <m/>
    <m/>
    <m/>
    <m/>
    <m/>
    <m/>
    <s v="No"/>
    <n v="334"/>
    <m/>
    <m/>
    <s v="Replies to"/>
    <x v="220"/>
    <s v="@SNMilitary #StandWithRussia 🇷🇺"/>
    <m/>
    <m/>
    <s v="standwithrussia"/>
    <m/>
    <s v="https://pbs.twimg.com/profile_images/1560723548540489739/Cp800W5O_normal.jpg"/>
    <d v="2022-09-15T11:23:54.000"/>
    <d v="2022-09-15T00:00:00.000"/>
    <s v="11:23:54"/>
    <s v="https://twitter.com/bobmozg/status/1570372834349969408"/>
    <m/>
    <m/>
    <s v="1570372834349969408"/>
    <s v="1570372542820675585"/>
    <b v="0"/>
    <n v="1"/>
    <s v="1507621763538112518"/>
    <b v="0"/>
    <s v="und"/>
    <m/>
    <s v=""/>
    <b v="0"/>
    <n v="0"/>
    <s v=""/>
    <s v="Twitter Web App"/>
    <b v="0"/>
    <s v="1570372542820675585"/>
    <s v="Tweet"/>
    <n v="0"/>
    <n v="0"/>
    <m/>
    <m/>
    <m/>
    <m/>
    <m/>
    <m/>
    <m/>
    <m/>
    <n v="1"/>
    <s v="15"/>
    <s v="15"/>
    <n v="0"/>
    <n v="0"/>
    <n v="0"/>
    <n v="0"/>
    <n v="0"/>
    <n v="0"/>
    <n v="2"/>
    <n v="100"/>
    <n v="2"/>
  </r>
  <r>
    <s v="amaresyev"/>
    <s v="amaresyev"/>
    <m/>
    <m/>
    <m/>
    <m/>
    <m/>
    <m/>
    <m/>
    <m/>
    <s v="No"/>
    <n v="335"/>
    <m/>
    <m/>
    <s v="Tweet"/>
    <x v="221"/>
    <s v="Günaydın 👋 Wagner grubu konser öncesi son hazırlıklarını tamamladı. #StandwithRussia #Russia #Russianarmy #WagnerGroup 🇷🇺🇷🇺 https://t.co/hzP1jzmcQz"/>
    <m/>
    <m/>
    <s v="standwithrussia russia russianarmy wagnergroup"/>
    <s v="https://pbs.twimg.com/media/FcCNOtRX0AMZ0JE.jpg"/>
    <s v="https://pbs.twimg.com/media/FcCNOtRX0AMZ0JE.jpg"/>
    <d v="2022-09-07T07:02:33.000"/>
    <d v="2022-09-07T00:00:00.000"/>
    <s v="07:02:33"/>
    <s v="https://twitter.com/amaresyev/status/1567407959860252672"/>
    <m/>
    <m/>
    <s v="1567407959860252672"/>
    <m/>
    <b v="0"/>
    <n v="13"/>
    <s v=""/>
    <b v="0"/>
    <s v="tr"/>
    <m/>
    <s v=""/>
    <b v="0"/>
    <n v="3"/>
    <s v=""/>
    <s v="Twitter for iPhone"/>
    <b v="0"/>
    <s v="1567407959860252672"/>
    <s v="Tweet"/>
    <n v="0"/>
    <n v="0"/>
    <m/>
    <m/>
    <m/>
    <m/>
    <m/>
    <m/>
    <m/>
    <m/>
    <n v="13"/>
    <s v="3"/>
    <s v="3"/>
    <n v="0"/>
    <n v="0"/>
    <n v="0"/>
    <n v="0"/>
    <n v="0"/>
    <n v="0"/>
    <n v="12"/>
    <n v="100"/>
    <n v="12"/>
  </r>
  <r>
    <s v="amaresyev"/>
    <s v="amaresyev"/>
    <m/>
    <m/>
    <m/>
    <m/>
    <m/>
    <m/>
    <m/>
    <m/>
    <s v="No"/>
    <n v="336"/>
    <m/>
    <m/>
    <s v="Tweet"/>
    <x v="222"/>
    <s v="#FenerbahceDinamokiev #Russia #StandwithRussia #Putin https://t.co/nBhmzIZ9Hz"/>
    <m/>
    <m/>
    <s v="fenerbahcedinamokiev russia standwithrussia putin"/>
    <s v="https://pbs.twimg.com/ext_tw_video_thumb/1567891996022276102/pu/img/34zmVQTODZ5LX-eE.jpg"/>
    <s v="https://pbs.twimg.com/ext_tw_video_thumb/1567891996022276102/pu/img/34zmVQTODZ5LX-eE.jpg"/>
    <d v="2022-09-08T15:06:42.000"/>
    <d v="2022-09-08T00:00:00.000"/>
    <s v="15:06:42"/>
    <s v="https://twitter.com/amaresyev/status/1567892187895025665"/>
    <m/>
    <m/>
    <s v="1567892187895025665"/>
    <m/>
    <b v="0"/>
    <n v="8"/>
    <s v=""/>
    <b v="0"/>
    <s v="und"/>
    <m/>
    <s v=""/>
    <b v="0"/>
    <n v="0"/>
    <s v=""/>
    <s v="Twitter for iPhone"/>
    <b v="0"/>
    <s v="1567892187895025665"/>
    <s v="Tweet"/>
    <n v="0"/>
    <n v="0"/>
    <m/>
    <m/>
    <m/>
    <m/>
    <m/>
    <m/>
    <m/>
    <m/>
    <n v="13"/>
    <s v="3"/>
    <s v="3"/>
    <n v="0"/>
    <n v="0"/>
    <n v="0"/>
    <n v="0"/>
    <n v="0"/>
    <n v="0"/>
    <n v="4"/>
    <n v="100"/>
    <n v="4"/>
  </r>
  <r>
    <s v="amaresyev"/>
    <s v="amaresyev"/>
    <m/>
    <m/>
    <m/>
    <m/>
    <m/>
    <m/>
    <m/>
    <m/>
    <s v="No"/>
    <n v="337"/>
    <m/>
    <m/>
    <s v="Tweet"/>
    <x v="223"/>
    <s v="“Sonra kursunlar darağacını kavgamıza,_x000a_Asarlarsa assınlar bizi düşlerimizden!” #StandwithRussia #Russia #Putin #Russianarmy https://t.co/g0oJY0lNqF"/>
    <m/>
    <m/>
    <s v="standwithrussia russia putin russianarmy"/>
    <s v="https://pbs.twimg.com/media/FcJUKOsXoAIvzeZ.jpg"/>
    <s v="https://pbs.twimg.com/media/FcJUKOsXoAIvzeZ.jpg"/>
    <d v="2022-09-08T16:10:10.000"/>
    <d v="2022-09-08T00:00:00.000"/>
    <s v="16:10:10"/>
    <s v="https://twitter.com/amaresyev/status/1567908159582257153"/>
    <m/>
    <m/>
    <s v="1567908159582257153"/>
    <m/>
    <b v="0"/>
    <n v="4"/>
    <s v=""/>
    <b v="0"/>
    <s v="tr"/>
    <m/>
    <s v=""/>
    <b v="0"/>
    <n v="0"/>
    <s v=""/>
    <s v="Twitter for iPhone"/>
    <b v="0"/>
    <s v="1567908159582257153"/>
    <s v="Tweet"/>
    <n v="0"/>
    <n v="0"/>
    <m/>
    <m/>
    <m/>
    <m/>
    <m/>
    <m/>
    <m/>
    <m/>
    <n v="13"/>
    <s v="3"/>
    <s v="3"/>
    <n v="0"/>
    <n v="0"/>
    <n v="0"/>
    <n v="0"/>
    <n v="0"/>
    <n v="0"/>
    <n v="12"/>
    <n v="100"/>
    <n v="12"/>
  </r>
  <r>
    <s v="amaresyev"/>
    <s v="amaresyev"/>
    <m/>
    <m/>
    <m/>
    <m/>
    <m/>
    <m/>
    <m/>
    <m/>
    <s v="No"/>
    <n v="338"/>
    <m/>
    <m/>
    <s v="Tweet"/>
    <x v="224"/>
    <s v="Biz kazanacağız! #StandwithRussia #Russia #Russianarmy"/>
    <m/>
    <m/>
    <s v="standwithrussia russia russianarmy"/>
    <m/>
    <s v="https://pbs.twimg.com/profile_images/1560409371443609601/2g7dKEs0_normal.jpg"/>
    <d v="2022-09-10T19:58:23.000"/>
    <d v="2022-09-10T00:00:00.000"/>
    <s v="19:58:23"/>
    <s v="https://twitter.com/amaresyev/status/1568690370866978816"/>
    <m/>
    <m/>
    <s v="1568690370866978816"/>
    <m/>
    <b v="0"/>
    <n v="24"/>
    <s v=""/>
    <b v="0"/>
    <s v="tr"/>
    <m/>
    <s v=""/>
    <b v="0"/>
    <n v="4"/>
    <s v=""/>
    <s v="Twitter for iPhone"/>
    <b v="0"/>
    <s v="1568690370866978816"/>
    <s v="Tweet"/>
    <n v="0"/>
    <n v="0"/>
    <m/>
    <m/>
    <m/>
    <m/>
    <m/>
    <m/>
    <m/>
    <m/>
    <n v="13"/>
    <s v="3"/>
    <s v="3"/>
    <n v="0"/>
    <n v="0"/>
    <n v="0"/>
    <n v="0"/>
    <n v="0"/>
    <n v="0"/>
    <n v="5"/>
    <n v="100"/>
    <n v="5"/>
  </r>
  <r>
    <s v="amaresyev"/>
    <s v="amaresyev"/>
    <m/>
    <m/>
    <m/>
    <m/>
    <m/>
    <m/>
    <m/>
    <m/>
    <s v="No"/>
    <n v="339"/>
    <m/>
    <m/>
    <s v="Tweet"/>
    <x v="225"/>
    <s v="Rus ordusu Harkov ve bölgedeki hedeflere büyük bir darbe indiriyor_x000a_Ayrıca Slavyansk ve Konstantinovka'da patlama haberleri geliyor. #StandwithRussia #Russia #RussianArmy"/>
    <m/>
    <m/>
    <s v="standwithrussia russia russianarmy"/>
    <m/>
    <s v="https://pbs.twimg.com/profile_images/1560409371443609601/2g7dKEs0_normal.jpg"/>
    <d v="2022-09-11T21:16:34.000"/>
    <d v="2022-09-11T00:00:00.000"/>
    <s v="21:16:34"/>
    <s v="https://twitter.com/amaresyev/status/1569072430504902656"/>
    <m/>
    <m/>
    <s v="1569072430504902656"/>
    <m/>
    <b v="0"/>
    <n v="5"/>
    <s v=""/>
    <b v="0"/>
    <s v="tr"/>
    <m/>
    <s v=""/>
    <b v="0"/>
    <n v="2"/>
    <s v=""/>
    <s v="Twitter for iPhone"/>
    <b v="0"/>
    <s v="1569072430504902656"/>
    <s v="Tweet"/>
    <n v="0"/>
    <n v="0"/>
    <m/>
    <m/>
    <m/>
    <m/>
    <m/>
    <m/>
    <m/>
    <m/>
    <n v="13"/>
    <s v="3"/>
    <s v="3"/>
    <n v="0"/>
    <n v="0"/>
    <n v="0"/>
    <n v="0"/>
    <n v="0"/>
    <n v="0"/>
    <n v="20"/>
    <n v="100"/>
    <n v="20"/>
  </r>
  <r>
    <s v="amaresyev"/>
    <s v="amaresyev"/>
    <m/>
    <m/>
    <m/>
    <m/>
    <m/>
    <m/>
    <m/>
    <m/>
    <s v="No"/>
    <n v="340"/>
    <m/>
    <m/>
    <s v="Tweet"/>
    <x v="226"/>
    <s v="Rusya ve Donetsk Halk Cumhuriyeti birlikleri Ukronazi saldırılarını püskürtüyor! #StandwithRussia #Russia #Russianarmy 🇷🇺 https://t.co/MmAnJ0YA4L"/>
    <m/>
    <m/>
    <s v="standwithrussia russia russianarmy"/>
    <s v="https://pbs.twimg.com/ext_tw_video_thumb/1569282039861452802/pu/img/hpYkNNY2FvFNCj_Q.jpg"/>
    <s v="https://pbs.twimg.com/ext_tw_video_thumb/1569282039861452802/pu/img/hpYkNNY2FvFNCj_Q.jpg"/>
    <d v="2022-09-12T11:09:47.000"/>
    <d v="2022-09-12T00:00:00.000"/>
    <s v="11:09:47"/>
    <s v="https://twitter.com/amaresyev/status/1569282120085913601"/>
    <m/>
    <m/>
    <s v="1569282120085913601"/>
    <m/>
    <b v="0"/>
    <n v="17"/>
    <s v=""/>
    <b v="0"/>
    <s v="tr"/>
    <m/>
    <s v=""/>
    <b v="0"/>
    <n v="3"/>
    <s v=""/>
    <s v="Twitter for iPhone"/>
    <b v="0"/>
    <s v="1569282120085913601"/>
    <s v="Tweet"/>
    <n v="0"/>
    <n v="0"/>
    <m/>
    <m/>
    <m/>
    <m/>
    <m/>
    <m/>
    <m/>
    <m/>
    <n v="13"/>
    <s v="3"/>
    <s v="3"/>
    <n v="0"/>
    <n v="0"/>
    <n v="0"/>
    <n v="0"/>
    <n v="0"/>
    <n v="0"/>
    <n v="12"/>
    <n v="100"/>
    <n v="12"/>
  </r>
  <r>
    <s v="amaresyev"/>
    <s v="zelenskyyua"/>
    <m/>
    <m/>
    <m/>
    <m/>
    <m/>
    <m/>
    <m/>
    <m/>
    <s v="No"/>
    <n v="341"/>
    <m/>
    <m/>
    <s v="Mentions"/>
    <x v="227"/>
    <s v="Ukrayna, Harkov metrosu. Işığına ne oldu @ZelenskyyUa ? 😎 #StandwithRussia #Russia https://t.co/LlKC2JpCfQ"/>
    <m/>
    <m/>
    <s v="standwithrussia russia"/>
    <s v="https://pbs.twimg.com/ext_tw_video_thumb/1569314489102630913/pu/img/BR0KDvRYMz2wMx5y.jpg"/>
    <s v="https://pbs.twimg.com/ext_tw_video_thumb/1569314489102630913/pu/img/BR0KDvRYMz2wMx5y.jpg"/>
    <d v="2022-09-12T13:18:37.000"/>
    <d v="2022-09-12T00:00:00.000"/>
    <s v="13:18:37"/>
    <s v="https://twitter.com/amaresyev/status/1569314539979653120"/>
    <m/>
    <m/>
    <s v="1569314539979653120"/>
    <m/>
    <b v="0"/>
    <n v="2"/>
    <s v=""/>
    <b v="0"/>
    <s v="tr"/>
    <m/>
    <s v=""/>
    <b v="0"/>
    <n v="2"/>
    <s v=""/>
    <s v="Twitter for iPhone"/>
    <b v="0"/>
    <s v="1569314539979653120"/>
    <s v="Tweet"/>
    <n v="0"/>
    <n v="0"/>
    <m/>
    <m/>
    <m/>
    <m/>
    <m/>
    <m/>
    <m/>
    <m/>
    <n v="1"/>
    <s v="3"/>
    <s v="3"/>
    <n v="0"/>
    <n v="0"/>
    <n v="0"/>
    <n v="0"/>
    <n v="0"/>
    <n v="0"/>
    <n v="9"/>
    <n v="100"/>
    <n v="9"/>
  </r>
  <r>
    <s v="amaresyev"/>
    <s v="amaresyev"/>
    <m/>
    <m/>
    <m/>
    <m/>
    <m/>
    <m/>
    <m/>
    <m/>
    <s v="No"/>
    <n v="342"/>
    <m/>
    <m/>
    <s v="Tweet"/>
    <x v="228"/>
    <s v="Ukronazi medyası, Rus askeri uçaklarının doğu sınırı boyunca uçtuğunu bildirdi. #StandwithRussia #RussianArmy #Russia https://t.co/YdBgWa04Tm"/>
    <m/>
    <m/>
    <s v="standwithrussia russianarmy russia"/>
    <s v="https://pbs.twimg.com/media/FciVAscX0AA7C40.jpg"/>
    <s v="https://pbs.twimg.com/media/FciVAscX0AA7C40.jpg"/>
    <d v="2022-09-13T12:44:23.000"/>
    <d v="2022-09-13T00:00:00.000"/>
    <s v="12:44:23"/>
    <s v="https://twitter.com/amaresyev/status/1569668314779250688"/>
    <m/>
    <m/>
    <s v="1569668314779250688"/>
    <m/>
    <b v="0"/>
    <n v="7"/>
    <s v=""/>
    <b v="0"/>
    <s v="tr"/>
    <m/>
    <s v=""/>
    <b v="0"/>
    <n v="2"/>
    <s v=""/>
    <s v="Twitter for iPhone"/>
    <b v="0"/>
    <s v="1569668314779250688"/>
    <s v="Tweet"/>
    <n v="0"/>
    <n v="0"/>
    <m/>
    <m/>
    <m/>
    <m/>
    <m/>
    <m/>
    <m/>
    <m/>
    <n v="13"/>
    <s v="3"/>
    <s v="3"/>
    <n v="0"/>
    <n v="0"/>
    <n v="0"/>
    <n v="0"/>
    <n v="0"/>
    <n v="0"/>
    <n v="13"/>
    <n v="100"/>
    <n v="13"/>
  </r>
  <r>
    <s v="amaresyev"/>
    <s v="amaresyev"/>
    <m/>
    <m/>
    <m/>
    <m/>
    <m/>
    <m/>
    <m/>
    <m/>
    <s v="No"/>
    <n v="343"/>
    <m/>
    <m/>
    <s v="Tweet"/>
    <x v="229"/>
    <s v="▪️RF Silahlı Kuvvetleri, tüm cephe hattı boyunca topçu saldırıları gerçekleştiriyor ve aktif olarak hava keşifleri yürütüyor._x000a_▪️RF Silahlı Kuvvetleri, Ukrayna Silahlı Kuvvetleri'ne ait tesislere yüksek hassasiyetli silahlarla saldırı gerçekleştirdi. #StandwithRussia #Russia"/>
    <m/>
    <m/>
    <s v="standwithrussia russia"/>
    <m/>
    <s v="https://pbs.twimg.com/profile_images/1560409371443609601/2g7dKEs0_normal.jpg"/>
    <d v="2022-09-13T16:57:47.000"/>
    <d v="2022-09-13T00:00:00.000"/>
    <s v="16:57:47"/>
    <s v="https://twitter.com/amaresyev/status/1569732083781713920"/>
    <m/>
    <m/>
    <s v="1569732083781713920"/>
    <s v="1569731847546097665"/>
    <b v="0"/>
    <n v="3"/>
    <s v="1508231997889601545"/>
    <b v="0"/>
    <s v="tr"/>
    <m/>
    <s v=""/>
    <b v="0"/>
    <n v="2"/>
    <s v=""/>
    <s v="Twitter for iPhone"/>
    <b v="0"/>
    <s v="1569731847546097665"/>
    <s v="Tweet"/>
    <n v="0"/>
    <n v="0"/>
    <m/>
    <m/>
    <m/>
    <m/>
    <m/>
    <m/>
    <m/>
    <m/>
    <n v="13"/>
    <s v="3"/>
    <s v="3"/>
    <n v="0"/>
    <n v="0"/>
    <n v="0"/>
    <n v="0"/>
    <n v="0"/>
    <n v="0"/>
    <n v="31"/>
    <n v="100"/>
    <n v="31"/>
  </r>
  <r>
    <s v="amaresyev"/>
    <s v="amaresyev"/>
    <m/>
    <m/>
    <m/>
    <m/>
    <m/>
    <m/>
    <m/>
    <m/>
    <s v="No"/>
    <n v="344"/>
    <m/>
    <m/>
    <s v="Tweet"/>
    <x v="230"/>
    <s v="DHC&amp;amp;LHC birlikleri, Rus Silahlı Kuvvetleri'nin ateş desteğiyle Nikolaevka ve İkinci Nikolaevka'yı özgürleştirdi. #StandwithRussia #Russian #Russianarmy https://t.co/QE8SMHczmn"/>
    <m/>
    <m/>
    <s v="standwithrussia russian russianarmy"/>
    <s v="https://pbs.twimg.com/media/FcnDhrKWQAAs5gQ.jpg"/>
    <s v="https://pbs.twimg.com/media/FcnDhrKWQAAs5gQ.jpg"/>
    <d v="2022-09-14T10:46:06.000"/>
    <d v="2022-09-14T00:00:00.000"/>
    <s v="10:46:06"/>
    <s v="https://twitter.com/amaresyev/status/1570000935769735168"/>
    <m/>
    <m/>
    <s v="1570000935769735168"/>
    <m/>
    <b v="0"/>
    <n v="8"/>
    <s v=""/>
    <b v="0"/>
    <s v="tr"/>
    <m/>
    <s v=""/>
    <b v="0"/>
    <n v="2"/>
    <s v=""/>
    <s v="Twitter for iPhone"/>
    <b v="0"/>
    <s v="1570000935769735168"/>
    <s v="Tweet"/>
    <n v="0"/>
    <n v="0"/>
    <m/>
    <m/>
    <m/>
    <m/>
    <m/>
    <m/>
    <m/>
    <m/>
    <n v="13"/>
    <s v="3"/>
    <s v="3"/>
    <n v="0"/>
    <n v="0"/>
    <n v="0"/>
    <n v="0"/>
    <n v="0"/>
    <n v="0"/>
    <n v="17"/>
    <n v="100"/>
    <n v="17"/>
  </r>
  <r>
    <s v="amaresyev"/>
    <s v="amaresyev"/>
    <m/>
    <m/>
    <m/>
    <m/>
    <m/>
    <m/>
    <m/>
    <m/>
    <s v="No"/>
    <n v="345"/>
    <m/>
    <m/>
    <s v="Tweet"/>
    <x v="231"/>
    <s v="Çeçen birlikleri Neonazi avına başladı. #StandwithRussia #Russia https://t.co/Zj4X9w2ndk"/>
    <m/>
    <m/>
    <s v="standwithrussia russia"/>
    <s v="https://pbs.twimg.com/ext_tw_video_thumb/1570062212479287298/pu/img/ECVQJFVi9S35pAcj.jpg"/>
    <s v="https://pbs.twimg.com/ext_tw_video_thumb/1570062212479287298/pu/img/ECVQJFVi9S35pAcj.jpg"/>
    <d v="2022-09-14T14:50:10.000"/>
    <d v="2022-09-14T00:00:00.000"/>
    <s v="14:50:10"/>
    <s v="https://twitter.com/amaresyev/status/1570062353781198848"/>
    <m/>
    <m/>
    <s v="1570062353781198848"/>
    <m/>
    <b v="0"/>
    <n v="45"/>
    <s v=""/>
    <b v="0"/>
    <s v="tr"/>
    <m/>
    <s v=""/>
    <b v="0"/>
    <n v="8"/>
    <s v=""/>
    <s v="Twitter for iPhone"/>
    <b v="0"/>
    <s v="1570062353781198848"/>
    <s v="Tweet"/>
    <n v="0"/>
    <n v="0"/>
    <m/>
    <m/>
    <m/>
    <m/>
    <m/>
    <m/>
    <m/>
    <m/>
    <n v="13"/>
    <s v="3"/>
    <s v="3"/>
    <n v="0"/>
    <n v="0"/>
    <n v="0"/>
    <n v="0"/>
    <n v="0"/>
    <n v="0"/>
    <n v="7"/>
    <n v="100"/>
    <n v="7"/>
  </r>
  <r>
    <s v="amaresyev"/>
    <s v="amaresyev"/>
    <m/>
    <m/>
    <m/>
    <m/>
    <m/>
    <m/>
    <m/>
    <m/>
    <s v="No"/>
    <n v="346"/>
    <m/>
    <m/>
    <s v="Tweet"/>
    <x v="232"/>
    <s v="Ramazan Kadırov: &quot;Ülke genelinde sıkıyönetim ilan eder ve her türlü silahı kullanırdım&quot;_x000a_“..İnsanları sıkıyönetime hazırlamaya başlardım. Yarın ne olur bilmiyoruz. Herhangi bir dine bağlı olmayan bu şeytanların daha çok müttefiki var. olur, çünkü onlar şeytandır.” #StandwithRussia https://t.co/wlfyWlGs5K"/>
    <m/>
    <m/>
    <s v="standwithrussia"/>
    <s v="https://pbs.twimg.com/ext_tw_video_thumb/1570079315068424192/pu/img/yVxrXvHEmivLuWgt.jpg"/>
    <s v="https://pbs.twimg.com/ext_tw_video_thumb/1570079315068424192/pu/img/yVxrXvHEmivLuWgt.jpg"/>
    <d v="2022-09-14T15:58:11.000"/>
    <d v="2022-09-14T00:00:00.000"/>
    <s v="15:58:11"/>
    <s v="https://twitter.com/amaresyev/status/1570079470417215488"/>
    <m/>
    <m/>
    <s v="1570079470417215488"/>
    <m/>
    <b v="0"/>
    <n v="8"/>
    <s v=""/>
    <b v="0"/>
    <s v="tr"/>
    <m/>
    <s v=""/>
    <b v="0"/>
    <n v="2"/>
    <s v=""/>
    <s v="Twitter for iPhone"/>
    <b v="0"/>
    <s v="1570079470417215488"/>
    <s v="Tweet"/>
    <n v="0"/>
    <n v="0"/>
    <m/>
    <m/>
    <m/>
    <m/>
    <m/>
    <m/>
    <m/>
    <m/>
    <n v="13"/>
    <s v="3"/>
    <s v="3"/>
    <n v="0"/>
    <n v="0"/>
    <n v="0"/>
    <n v="0"/>
    <n v="0"/>
    <n v="0"/>
    <n v="36"/>
    <n v="100"/>
    <n v="36"/>
  </r>
  <r>
    <s v="amaresyev"/>
    <s v="amaresyev"/>
    <m/>
    <m/>
    <m/>
    <m/>
    <m/>
    <m/>
    <m/>
    <m/>
    <s v="No"/>
    <n v="347"/>
    <m/>
    <m/>
    <s v="Tweet"/>
    <x v="233"/>
    <s v="URA! URAAAA! #StandwithRussia #Russia #Putin https://t.co/Obe7WmKj4J"/>
    <m/>
    <m/>
    <s v="standwithrussia russia putin"/>
    <s v="https://pbs.twimg.com/media/Fco1Im5WAAwCNtd.jpg"/>
    <s v="https://pbs.twimg.com/media/Fco1Im5WAAwCNtd.jpg"/>
    <d v="2022-09-14T19:02:29.000"/>
    <d v="2022-09-14T00:00:00.000"/>
    <s v="19:02:29"/>
    <s v="https://twitter.com/amaresyev/status/1570125851999764480"/>
    <m/>
    <m/>
    <s v="1570125851999764480"/>
    <m/>
    <b v="0"/>
    <n v="20"/>
    <s v=""/>
    <b v="0"/>
    <s v="eu"/>
    <m/>
    <s v=""/>
    <b v="0"/>
    <n v="3"/>
    <s v=""/>
    <s v="Twitter for iPhone"/>
    <b v="0"/>
    <s v="1570125851999764480"/>
    <s v="Tweet"/>
    <n v="0"/>
    <n v="0"/>
    <m/>
    <m/>
    <m/>
    <m/>
    <m/>
    <m/>
    <m/>
    <m/>
    <n v="13"/>
    <s v="3"/>
    <s v="3"/>
    <n v="0"/>
    <n v="0"/>
    <n v="0"/>
    <n v="0"/>
    <n v="0"/>
    <n v="0"/>
    <n v="5"/>
    <n v="100"/>
    <n v="5"/>
  </r>
  <r>
    <s v="amaresyev"/>
    <s v="amaresyev"/>
    <m/>
    <m/>
    <m/>
    <m/>
    <m/>
    <m/>
    <m/>
    <m/>
    <s v="No"/>
    <n v="348"/>
    <m/>
    <m/>
    <s v="Tweet"/>
    <x v="234"/>
    <s v="Rus Hava Kuvvetleri Ukrayna'nın enerji altyapısına saldırıyor. #StandwithRussia #Russia #Russianarmy https://t.co/Fjxzw1Qmrf"/>
    <m/>
    <m/>
    <s v="standwithrussia russia russianarmy"/>
    <s v="https://pbs.twimg.com/media/FcpmLrCWQAEizKT.jpg"/>
    <s v="https://pbs.twimg.com/media/FcpmLrCWQAEizKT.jpg"/>
    <d v="2022-09-14T22:36:46.000"/>
    <d v="2022-09-14T00:00:00.000"/>
    <s v="22:36:46"/>
    <s v="https://twitter.com/amaresyev/status/1570179777172242436"/>
    <m/>
    <m/>
    <s v="1570179777172242436"/>
    <m/>
    <b v="0"/>
    <n v="11"/>
    <s v=""/>
    <b v="0"/>
    <s v="tr"/>
    <m/>
    <s v=""/>
    <b v="0"/>
    <n v="3"/>
    <s v=""/>
    <s v="Twitter for iPhone"/>
    <b v="0"/>
    <s v="1570179777172242436"/>
    <s v="Tweet"/>
    <n v="0"/>
    <n v="0"/>
    <m/>
    <m/>
    <m/>
    <m/>
    <m/>
    <m/>
    <m/>
    <m/>
    <n v="13"/>
    <s v="3"/>
    <s v="3"/>
    <n v="0"/>
    <n v="0"/>
    <n v="0"/>
    <n v="0"/>
    <n v="0"/>
    <n v="0"/>
    <n v="10"/>
    <n v="100"/>
    <n v="10"/>
  </r>
  <r>
    <s v="furkane38029958"/>
    <s v="amaresyev"/>
    <m/>
    <m/>
    <m/>
    <m/>
    <m/>
    <m/>
    <m/>
    <m/>
    <s v="No"/>
    <n v="349"/>
    <m/>
    <m/>
    <s v="Retweet"/>
    <x v="235"/>
    <s v="Çeçen birlikleri Neonazi avına başladı. #StandwithRussia #Russia https://t.co/Zj4X9w2ndk"/>
    <m/>
    <m/>
    <s v="standwithrussia russia"/>
    <s v="https://pbs.twimg.com/ext_tw_video_thumb/1570062212479287298/pu/img/ECVQJFVi9S35pAcj.jpg"/>
    <s v="https://pbs.twimg.com/ext_tw_video_thumb/1570062212479287298/pu/img/ECVQJFVi9S35pAcj.jpg"/>
    <d v="2022-09-15T11:43:39.000"/>
    <d v="2022-09-15T00:00:00.000"/>
    <s v="11:43:39"/>
    <s v="https://twitter.com/furkane38029958/status/1570377802888925185"/>
    <m/>
    <m/>
    <s v="1570377802888925185"/>
    <m/>
    <b v="0"/>
    <n v="0"/>
    <s v=""/>
    <b v="0"/>
    <s v="tr"/>
    <m/>
    <s v=""/>
    <b v="0"/>
    <n v="8"/>
    <s v="1570062353781198848"/>
    <s v="Twitter for Android"/>
    <b v="0"/>
    <s v="1570062353781198848"/>
    <s v="Tweet"/>
    <n v="0"/>
    <n v="0"/>
    <m/>
    <m/>
    <m/>
    <m/>
    <m/>
    <m/>
    <m/>
    <m/>
    <n v="1"/>
    <s v="3"/>
    <s v="3"/>
    <n v="0"/>
    <n v="0"/>
    <n v="0"/>
    <n v="0"/>
    <n v="0"/>
    <n v="0"/>
    <n v="7"/>
    <n v="100"/>
    <n v="7"/>
  </r>
  <r>
    <s v="rapheluriel"/>
    <s v="un"/>
    <m/>
    <m/>
    <m/>
    <m/>
    <m/>
    <m/>
    <m/>
    <m/>
    <s v="No"/>
    <n v="350"/>
    <m/>
    <m/>
    <s v="Mentions"/>
    <x v="236"/>
    <s v="@NATO has send their soldier into Ukraine battlefield camouflage as Ukraine 3rd Batalyon in the latest strike against Russia by the order America Military Commando, they start open battle with Russia. @UN _x000a_#StandWithUkraine #StandWithRussia #istandwithrussia"/>
    <m/>
    <m/>
    <s v="standwithukraine standwithrussia istandwithrussia"/>
    <m/>
    <s v="https://pbs.twimg.com/profile_images/1508251090029977611/WDRwpOWf_normal.jpg"/>
    <d v="2022-09-15T12:45:08.000"/>
    <d v="2022-09-15T00:00:00.000"/>
    <s v="12:45:08"/>
    <s v="https://twitter.com/rapheluriel/status/1570393279325413377"/>
    <m/>
    <m/>
    <s v="1570393279325413377"/>
    <m/>
    <b v="0"/>
    <n v="0"/>
    <s v="83795099"/>
    <b v="0"/>
    <s v="en"/>
    <m/>
    <s v=""/>
    <b v="0"/>
    <n v="0"/>
    <s v=""/>
    <s v="Twitter for Android"/>
    <b v="0"/>
    <s v="1570393279325413377"/>
    <s v="Tweet"/>
    <n v="0"/>
    <n v="0"/>
    <m/>
    <m/>
    <m/>
    <m/>
    <m/>
    <m/>
    <m/>
    <m/>
    <n v="1"/>
    <s v="1"/>
    <s v="1"/>
    <n v="0"/>
    <n v="0"/>
    <n v="1"/>
    <n v="2.857142857142857"/>
    <n v="0"/>
    <n v="0"/>
    <n v="34"/>
    <n v="97.14285714285714"/>
    <n v="35"/>
  </r>
  <r>
    <s v="m4rcyu5"/>
    <s v="zzzaikar"/>
    <m/>
    <m/>
    <m/>
    <m/>
    <m/>
    <m/>
    <m/>
    <m/>
    <s v="No"/>
    <n v="352"/>
    <m/>
    <m/>
    <s v="Replies to"/>
    <x v="237"/>
    <s v="@Zzzaikar #StandWithRussia 🇧🇷❤🇷🇺 https://t.co/Pl6aSpla4Z"/>
    <m/>
    <m/>
    <s v="standwithrussia"/>
    <s v="https://pbs.twimg.com/media/FcnkRuvXkAI1huN.jpg"/>
    <s v="https://pbs.twimg.com/media/FcnkRuvXkAI1huN.jpg"/>
    <d v="2022-09-14T13:09:36.000"/>
    <d v="2022-09-14T00:00:00.000"/>
    <s v="13:09:36"/>
    <s v="https://twitter.com/m4rcyu5/status/1570037048370774019"/>
    <m/>
    <m/>
    <s v="1570037048370774019"/>
    <s v="1568105277093707776"/>
    <b v="0"/>
    <n v="1"/>
    <s v="1457929912917110787"/>
    <b v="0"/>
    <s v="und"/>
    <m/>
    <s v=""/>
    <b v="0"/>
    <n v="0"/>
    <s v=""/>
    <s v="Twitter Web App"/>
    <b v="0"/>
    <s v="1568105277093707776"/>
    <s v="Tweet"/>
    <n v="0"/>
    <n v="0"/>
    <m/>
    <m/>
    <m/>
    <m/>
    <m/>
    <m/>
    <m/>
    <m/>
    <n v="1"/>
    <s v="4"/>
    <s v="4"/>
    <n v="0"/>
    <n v="0"/>
    <n v="0"/>
    <n v="0"/>
    <n v="0"/>
    <n v="0"/>
    <n v="2"/>
    <n v="100"/>
    <n v="2"/>
  </r>
  <r>
    <s v="m4rcyu5"/>
    <s v="ukraine66251776"/>
    <m/>
    <m/>
    <m/>
    <m/>
    <m/>
    <m/>
    <m/>
    <m/>
    <s v="No"/>
    <n v="353"/>
    <m/>
    <m/>
    <s v="Replies to"/>
    <x v="238"/>
    <s v="@Ukraine66251776 #StandWithRussia https://t.co/LpFtISiMeX"/>
    <m/>
    <m/>
    <s v="standwithrussia"/>
    <s v="https://pbs.twimg.com/media/FcD7NNdWYAE9GbE.jpg"/>
    <s v="https://pbs.twimg.com/media/FcD7NNdWYAE9GbE.jpg"/>
    <d v="2022-09-07T15:04:11.000"/>
    <d v="2022-09-07T00:00:00.000"/>
    <s v="15:04:11"/>
    <s v="https://twitter.com/m4rcyu5/status/1567529165594689539"/>
    <m/>
    <m/>
    <s v="1567529165594689539"/>
    <s v="1567347507860017152"/>
    <b v="0"/>
    <n v="1"/>
    <s v="1517696955329228800"/>
    <b v="0"/>
    <s v="und"/>
    <m/>
    <s v=""/>
    <b v="0"/>
    <n v="0"/>
    <s v=""/>
    <s v="Twitter Web App"/>
    <b v="0"/>
    <s v="1567347507860017152"/>
    <s v="Tweet"/>
    <n v="0"/>
    <n v="0"/>
    <m/>
    <m/>
    <m/>
    <m/>
    <m/>
    <m/>
    <m/>
    <m/>
    <n v="1"/>
    <s v="4"/>
    <s v="4"/>
    <n v="0"/>
    <n v="0"/>
    <n v="0"/>
    <n v="0"/>
    <n v="0"/>
    <n v="0"/>
    <n v="2"/>
    <n v="100"/>
    <n v="2"/>
  </r>
  <r>
    <s v="m4rcyu5"/>
    <s v="m4rcyu5"/>
    <m/>
    <m/>
    <m/>
    <m/>
    <m/>
    <m/>
    <m/>
    <m/>
    <s v="No"/>
    <n v="354"/>
    <m/>
    <m/>
    <s v="Tweet"/>
    <x v="239"/>
    <s v="#StandWithRussia https://t.co/KuJ7DA8t8H"/>
    <s v="https://twitter.com/AZmilitary1/status/1569795425397268481"/>
    <s v="twitter.com"/>
    <s v="standwithrussia"/>
    <m/>
    <s v="https://pbs.twimg.com/profile_images/1425565078456315909/Jvt2aJUT_normal.jpg"/>
    <d v="2022-09-14T14:39:06.000"/>
    <d v="2022-09-14T00:00:00.000"/>
    <s v="14:39:06"/>
    <s v="https://twitter.com/m4rcyu5/status/1570059569371709441"/>
    <m/>
    <m/>
    <s v="1570059569371709441"/>
    <m/>
    <b v="0"/>
    <n v="0"/>
    <s v=""/>
    <b v="1"/>
    <s v="und"/>
    <m/>
    <s v="1569795425397268481"/>
    <b v="0"/>
    <n v="0"/>
    <s v=""/>
    <s v="Twitter Web App"/>
    <b v="0"/>
    <s v="1570059569371709441"/>
    <s v="Tweet"/>
    <n v="0"/>
    <n v="0"/>
    <m/>
    <m/>
    <m/>
    <m/>
    <m/>
    <m/>
    <m/>
    <m/>
    <n v="2"/>
    <s v="4"/>
    <s v="4"/>
    <n v="0"/>
    <n v="0"/>
    <n v="0"/>
    <n v="0"/>
    <n v="0"/>
    <n v="0"/>
    <n v="1"/>
    <n v="100"/>
    <n v="1"/>
  </r>
  <r>
    <s v="m4rcyu5"/>
    <s v="m4rcyu5"/>
    <m/>
    <m/>
    <m/>
    <m/>
    <m/>
    <m/>
    <m/>
    <m/>
    <s v="No"/>
    <n v="355"/>
    <m/>
    <m/>
    <s v="Tweet"/>
    <x v="240"/>
    <s v="#StandWithRussia!!! https://t.co/Ry9O69LEgi"/>
    <s v="https://twitter.com/blackintheempir/status/1569873091781591043"/>
    <s v="twitter.com"/>
    <s v="standwithrussia"/>
    <m/>
    <s v="https://pbs.twimg.com/profile_images/1425565078456315909/Jvt2aJUT_normal.jpg"/>
    <d v="2022-09-15T13:23:09.000"/>
    <d v="2022-09-15T00:00:00.000"/>
    <s v="13:23:09"/>
    <s v="https://twitter.com/m4rcyu5/status/1570402844200632321"/>
    <m/>
    <m/>
    <s v="1570402844200632321"/>
    <m/>
    <b v="0"/>
    <n v="0"/>
    <s v=""/>
    <b v="1"/>
    <s v="und"/>
    <m/>
    <s v="1569873091781591043"/>
    <b v="0"/>
    <n v="0"/>
    <s v=""/>
    <s v="Twitter Web App"/>
    <b v="0"/>
    <s v="1570402844200632321"/>
    <s v="Tweet"/>
    <n v="0"/>
    <n v="0"/>
    <m/>
    <m/>
    <m/>
    <m/>
    <m/>
    <m/>
    <m/>
    <m/>
    <n v="2"/>
    <s v="4"/>
    <s v="4"/>
    <n v="0"/>
    <n v="0"/>
    <n v="0"/>
    <n v="0"/>
    <n v="0"/>
    <n v="0"/>
    <n v="1"/>
    <n v="100"/>
    <n v="1"/>
  </r>
  <r>
    <s v="jabalmiza"/>
    <s v="moveebuff1953"/>
    <m/>
    <m/>
    <m/>
    <m/>
    <m/>
    <m/>
    <m/>
    <m/>
    <s v="No"/>
    <n v="356"/>
    <m/>
    <m/>
    <s v="Replies to"/>
    <x v="241"/>
    <s v="@moveebuff1953 Yes...sim..oui_x000a_#ZelenskyWarCriminal _x000a_#StopZelensky_x000a_#StopNaziUkraine_x000a_#UsaEvilEmpire_x000a_#StandWithRussia _x000a_#WeStandWithRussia"/>
    <m/>
    <m/>
    <s v="zelenskywarcriminal stopzelensky stopnaziukraine usaevilempire standwithrussia westandwithrussia"/>
    <m/>
    <s v="https://pbs.twimg.com/profile_images/1550587016798212097/iNHMHieS_normal.jpg"/>
    <d v="2022-09-04T21:40:54.000"/>
    <d v="2022-09-04T00:00:00.000"/>
    <s v="21:40:54"/>
    <s v="https://twitter.com/jabalmiza/status/1566541838957387777"/>
    <m/>
    <m/>
    <s v="1566541838957387777"/>
    <s v="1566540178931568640"/>
    <b v="0"/>
    <n v="1"/>
    <s v="412474587"/>
    <b v="0"/>
    <s v="en"/>
    <m/>
    <s v=""/>
    <b v="0"/>
    <n v="1"/>
    <s v=""/>
    <s v="Twitter for Android"/>
    <b v="0"/>
    <s v="1566540178931568640"/>
    <s v="Retweet"/>
    <n v="0"/>
    <n v="0"/>
    <m/>
    <m/>
    <m/>
    <m/>
    <m/>
    <m/>
    <m/>
    <m/>
    <n v="1"/>
    <s v="4"/>
    <s v="4"/>
    <n v="0"/>
    <n v="0"/>
    <n v="0"/>
    <n v="0"/>
    <n v="0"/>
    <n v="0"/>
    <n v="10"/>
    <n v="100"/>
    <n v="10"/>
  </r>
  <r>
    <s v="jabalmiza"/>
    <s v="gazetadopovo"/>
    <m/>
    <m/>
    <m/>
    <m/>
    <m/>
    <m/>
    <m/>
    <m/>
    <s v="No"/>
    <n v="357"/>
    <m/>
    <m/>
    <s v="Replies to"/>
    <x v="242"/>
    <s v="@gazetadopovo A Rússia deve destruir  todo arsenal que o ocidente envia para o regime de Terror de KIEV e Zelensky, antes mesmo que esse arsenal caia em mãos do regime neofascista da ukrania._x000a_#ZelenskyWarCriminal _x000a_#StopNato_x000a_#StopNaziUkraine_x000a_#StandWithRussia"/>
    <m/>
    <m/>
    <s v="zelenskywarcriminal stopnato stopnaziukraine standwithrussia"/>
    <m/>
    <s v="https://pbs.twimg.com/profile_images/1550587016798212097/iNHMHieS_normal.jpg"/>
    <d v="2022-09-09T21:56:42.000"/>
    <d v="2022-09-09T00:00:00.000"/>
    <s v="21:56:42"/>
    <s v="https://twitter.com/jabalmiza/status/1568357758323261447"/>
    <m/>
    <m/>
    <s v="1568357758323261447"/>
    <s v="1568349664210210816"/>
    <b v="0"/>
    <n v="0"/>
    <s v="15084884"/>
    <b v="0"/>
    <s v="pt"/>
    <m/>
    <s v=""/>
    <b v="0"/>
    <n v="0"/>
    <s v=""/>
    <s v="Twitter for Android"/>
    <b v="0"/>
    <s v="1568349664210210816"/>
    <s v="Tweet"/>
    <n v="0"/>
    <n v="0"/>
    <m/>
    <m/>
    <m/>
    <m/>
    <m/>
    <m/>
    <m/>
    <m/>
    <n v="1"/>
    <s v="4"/>
    <s v="4"/>
    <n v="0"/>
    <n v="0"/>
    <n v="1"/>
    <n v="2.7027027027027026"/>
    <n v="0"/>
    <n v="0"/>
    <n v="36"/>
    <n v="97.29729729729729"/>
    <n v="37"/>
  </r>
  <r>
    <s v="jabalmiza"/>
    <s v="ukraine66251776"/>
    <m/>
    <m/>
    <m/>
    <m/>
    <m/>
    <m/>
    <m/>
    <m/>
    <s v="No"/>
    <n v="358"/>
    <m/>
    <m/>
    <s v="Replies to"/>
    <x v="243"/>
    <s v="@Ukraine66251776 Sim_x000a_#StandWithRussia _x000a_#StandWithRussia🇷🇺_x000a_#ZelenskyWarCriminal _x000a_#StopZelensky_x000a_#StopNatoNow"/>
    <m/>
    <m/>
    <s v="standwithrussia standwithrussia zelenskywarcriminal stopzelensky stopnatonow"/>
    <m/>
    <s v="https://pbs.twimg.com/profile_images/1550587016798212097/iNHMHieS_normal.jpg"/>
    <d v="2022-09-11T18:31:21.000"/>
    <d v="2022-09-11T00:00:00.000"/>
    <s v="18:31:21"/>
    <s v="https://twitter.com/jabalmiza/status/1569030853082087425"/>
    <m/>
    <m/>
    <s v="1569030853082087425"/>
    <s v="1568947844534468608"/>
    <b v="0"/>
    <n v="1"/>
    <s v="1517696955329228800"/>
    <b v="0"/>
    <s v="und"/>
    <m/>
    <s v=""/>
    <b v="0"/>
    <n v="0"/>
    <s v=""/>
    <s v="Twitter for Android"/>
    <b v="0"/>
    <s v="1568947844534468608"/>
    <s v="Tweet"/>
    <n v="0"/>
    <n v="0"/>
    <m/>
    <m/>
    <m/>
    <m/>
    <m/>
    <m/>
    <m/>
    <m/>
    <n v="2"/>
    <s v="4"/>
    <s v="4"/>
    <n v="0"/>
    <n v="0"/>
    <n v="0"/>
    <n v="0"/>
    <n v="0"/>
    <n v="0"/>
    <n v="7"/>
    <n v="100"/>
    <n v="7"/>
  </r>
  <r>
    <s v="jabalmiza"/>
    <s v="ukraine66251776"/>
    <m/>
    <m/>
    <m/>
    <m/>
    <m/>
    <m/>
    <m/>
    <m/>
    <s v="No"/>
    <n v="359"/>
    <m/>
    <m/>
    <s v="Replies to"/>
    <x v="244"/>
    <s v="@Ukraine66251776 A Rússia tem o direito de resistir e se defender contra as investidas da NATO. A humanidade tem o direito de se defender contra o NEONAZISMO ucraniano._x000a_#ZelenskyWarCriminal _x000a_#StopNaziUkraine_x000a_#StopZelensky_x000a_#StopNatoNow_x000a_#StandWithRussia _x000a_#StandWithRussia🇷🇺"/>
    <m/>
    <m/>
    <s v="zelenskywarcriminal stopnaziukraine stopzelensky stopnatonow standwithrussia standwithrussia"/>
    <m/>
    <s v="https://pbs.twimg.com/profile_images/1550587016798212097/iNHMHieS_normal.jpg"/>
    <d v="2022-09-12T18:56:20.000"/>
    <d v="2022-09-12T00:00:00.000"/>
    <s v="18:56:20"/>
    <s v="https://twitter.com/jabalmiza/status/1569399531430899713"/>
    <m/>
    <m/>
    <s v="1569399531430899713"/>
    <s v="1569135551206359041"/>
    <b v="0"/>
    <n v="0"/>
    <s v="1517696955329228800"/>
    <b v="0"/>
    <s v="pt"/>
    <m/>
    <s v=""/>
    <b v="0"/>
    <n v="0"/>
    <s v=""/>
    <s v="Twitter for Android"/>
    <b v="0"/>
    <s v="1569135551206359041"/>
    <s v="Tweet"/>
    <n v="0"/>
    <n v="0"/>
    <m/>
    <m/>
    <m/>
    <m/>
    <m/>
    <m/>
    <m/>
    <m/>
    <n v="2"/>
    <s v="4"/>
    <s v="4"/>
    <n v="2"/>
    <n v="5.882352941176471"/>
    <n v="0"/>
    <n v="0"/>
    <n v="0"/>
    <n v="0"/>
    <n v="32"/>
    <n v="94.11764705882354"/>
    <n v="34"/>
  </r>
  <r>
    <s v="jabalmiza"/>
    <s v="otempo"/>
    <m/>
    <m/>
    <m/>
    <m/>
    <m/>
    <m/>
    <m/>
    <m/>
    <s v="No"/>
    <n v="360"/>
    <m/>
    <m/>
    <s v="Mentions"/>
    <x v="245"/>
    <s v="@AnnaWRDS @otempo Sim_x000a_#StandWithRussia🇷🇺_x000a_#StandWithPutin_x000a_#ZelenskyWarCriminal _x000a_#StopNato"/>
    <m/>
    <m/>
    <s v="standwithrussia standwithputin zelenskywarcriminal stopnato"/>
    <m/>
    <s v="https://pbs.twimg.com/profile_images/1550587016798212097/iNHMHieS_normal.jpg"/>
    <d v="2022-09-14T20:02:16.000"/>
    <d v="2022-09-14T00:00:00.000"/>
    <s v="20:02:16"/>
    <s v="https://twitter.com/jabalmiza/status/1570140897769136131"/>
    <m/>
    <m/>
    <s v="1570140897769136131"/>
    <s v="1570136136080846848"/>
    <b v="0"/>
    <n v="0"/>
    <s v="3224531133"/>
    <b v="0"/>
    <s v="und"/>
    <m/>
    <s v=""/>
    <b v="0"/>
    <n v="0"/>
    <s v=""/>
    <s v="Twitter for Android"/>
    <b v="0"/>
    <s v="1570136136080846848"/>
    <s v="Tweet"/>
    <n v="0"/>
    <n v="0"/>
    <m/>
    <m/>
    <m/>
    <m/>
    <m/>
    <m/>
    <m/>
    <m/>
    <n v="1"/>
    <s v="4"/>
    <s v="4"/>
    <m/>
    <m/>
    <m/>
    <m/>
    <m/>
    <m/>
    <m/>
    <m/>
    <m/>
  </r>
  <r>
    <s v="jabalmiza"/>
    <s v="jpgmary"/>
    <m/>
    <m/>
    <m/>
    <m/>
    <m/>
    <m/>
    <m/>
    <m/>
    <s v="No"/>
    <n v="362"/>
    <m/>
    <m/>
    <s v="Replies to"/>
    <x v="246"/>
    <s v="@JpgMary Simmmmmmmm_x000a_Sim_x000a_#StandWithRussia🇷🇺_x000a_#StandWithPutin_x000a_#ZelenskyWarCriminal _x000a_#StopNato"/>
    <m/>
    <m/>
    <s v="standwithrussia standwithputin zelenskywarcriminal stopnato"/>
    <m/>
    <s v="https://pbs.twimg.com/profile_images/1550587016798212097/iNHMHieS_normal.jpg"/>
    <d v="2022-09-14T20:02:32.000"/>
    <d v="2022-09-14T00:00:00.000"/>
    <s v="20:02:32"/>
    <s v="https://twitter.com/jabalmiza/status/1570140965637337089"/>
    <m/>
    <m/>
    <s v="1570140965637337089"/>
    <s v="1570131271539642368"/>
    <b v="0"/>
    <n v="0"/>
    <s v="1164517268992274432"/>
    <b v="0"/>
    <s v="pt"/>
    <m/>
    <s v=""/>
    <b v="0"/>
    <n v="0"/>
    <s v=""/>
    <s v="Twitter for Android"/>
    <b v="0"/>
    <s v="1570131271539642368"/>
    <s v="Tweet"/>
    <n v="0"/>
    <n v="0"/>
    <m/>
    <m/>
    <m/>
    <m/>
    <m/>
    <m/>
    <m/>
    <m/>
    <n v="1"/>
    <s v="4"/>
    <s v="4"/>
    <n v="0"/>
    <n v="0"/>
    <n v="0"/>
    <n v="0"/>
    <n v="0"/>
    <n v="0"/>
    <n v="7"/>
    <n v="100"/>
    <n v="7"/>
  </r>
  <r>
    <s v="jabalmiza"/>
    <s v="anesfoufa"/>
    <m/>
    <m/>
    <m/>
    <m/>
    <m/>
    <m/>
    <m/>
    <m/>
    <s v="No"/>
    <n v="363"/>
    <m/>
    <m/>
    <s v="Replies to"/>
    <x v="247"/>
    <s v="@AnesFoufa @RWApodcast Russia has the right to defend itself against NATO onslaughts. humanity has the right to resist the fascist regime of KIEV._x000a_#StopZelensky_x000a_#ZelenskyWarCriminal _x000a_#ZelenskyyWarCriminal _x000a_#StopNato_x000a_#StandWithRussia_x000a_#StandWithRussia🇷🇺"/>
    <m/>
    <m/>
    <s v="stopzelensky zelenskywarcriminal zelenskyywarcriminal stopnato standwithrussia standwithrussia"/>
    <m/>
    <s v="https://pbs.twimg.com/profile_images/1550587016798212097/iNHMHieS_normal.jpg"/>
    <d v="2022-09-14T20:58:04.000"/>
    <d v="2022-09-14T00:00:00.000"/>
    <s v="20:58:04"/>
    <s v="https://twitter.com/jabalmiza/status/1570154939179057153"/>
    <m/>
    <m/>
    <s v="1570154939179057153"/>
    <s v="1570001546993143808"/>
    <b v="0"/>
    <n v="0"/>
    <s v="1170697698619658240"/>
    <b v="0"/>
    <s v="en"/>
    <m/>
    <s v=""/>
    <b v="0"/>
    <n v="0"/>
    <s v=""/>
    <s v="Twitter for Android"/>
    <b v="0"/>
    <s v="1570001546993143808"/>
    <s v="Tweet"/>
    <n v="0"/>
    <n v="0"/>
    <m/>
    <m/>
    <m/>
    <m/>
    <m/>
    <m/>
    <m/>
    <m/>
    <n v="1"/>
    <s v="4"/>
    <s v="4"/>
    <m/>
    <m/>
    <m/>
    <m/>
    <m/>
    <m/>
    <m/>
    <m/>
    <m/>
  </r>
  <r>
    <s v="jabalmiza"/>
    <s v="rwapodcast"/>
    <m/>
    <m/>
    <m/>
    <m/>
    <m/>
    <m/>
    <m/>
    <m/>
    <s v="No"/>
    <n v="364"/>
    <m/>
    <m/>
    <s v="Replies to"/>
    <x v="248"/>
    <s v="@RWApodcast Sim_x000a_#StandWithRussia🇷🇺_x000a_#ZelenskyWarCriminal _x000a_#StopNato"/>
    <m/>
    <m/>
    <s v="standwithrussia zelenskywarcriminal stopnato"/>
    <m/>
    <s v="https://pbs.twimg.com/profile_images/1550587016798212097/iNHMHieS_normal.jpg"/>
    <d v="2022-09-14T20:54:35.000"/>
    <d v="2022-09-14T00:00:00.000"/>
    <s v="20:54:35"/>
    <s v="https://twitter.com/jabalmiza/status/1570154062167048192"/>
    <m/>
    <m/>
    <s v="1570154062167048192"/>
    <s v="1570000830765449221"/>
    <b v="0"/>
    <n v="0"/>
    <s v="1327266713054941184"/>
    <b v="0"/>
    <s v="und"/>
    <m/>
    <s v=""/>
    <b v="0"/>
    <n v="0"/>
    <s v=""/>
    <s v="Twitter for Android"/>
    <b v="0"/>
    <s v="1570000830765449221"/>
    <s v="Tweet"/>
    <n v="0"/>
    <n v="0"/>
    <m/>
    <m/>
    <m/>
    <m/>
    <m/>
    <m/>
    <m/>
    <m/>
    <n v="3"/>
    <s v="4"/>
    <s v="4"/>
    <n v="0"/>
    <n v="0"/>
    <n v="0"/>
    <n v="0"/>
    <n v="0"/>
    <n v="0"/>
    <n v="5"/>
    <n v="100"/>
    <n v="5"/>
  </r>
  <r>
    <s v="jabalmiza"/>
    <s v="rwapodcast"/>
    <m/>
    <m/>
    <m/>
    <m/>
    <m/>
    <m/>
    <m/>
    <m/>
    <s v="No"/>
    <n v="366"/>
    <m/>
    <m/>
    <s v="Replies to"/>
    <x v="249"/>
    <s v="@RWApodcast Russia has the right to defend itself against NATO onslaughts. humanity has the right to resist the fascist regime of KIEV _x000a_#StopZelensky_x000a_#ZelenskyWarCriminal _x000a_#ZelenskyyWarCriminal _x000a_#StopNato_x000a_#StandWithRussia_x000a_#StandWithRussia🇷🇺"/>
    <m/>
    <m/>
    <s v="stopzelensky zelenskywarcriminal zelenskyywarcriminal stopnato standwithrussia standwithrussia"/>
    <m/>
    <s v="https://pbs.twimg.com/profile_images/1550587016798212097/iNHMHieS_normal.jpg"/>
    <d v="2022-09-14T20:59:30.000"/>
    <d v="2022-09-14T00:00:00.000"/>
    <s v="20:59:30"/>
    <s v="https://twitter.com/jabalmiza/status/1570155302032670720"/>
    <m/>
    <m/>
    <s v="1570155302032670720"/>
    <s v="1569934067763761154"/>
    <b v="0"/>
    <n v="0"/>
    <s v="1327266713054941184"/>
    <b v="0"/>
    <s v="en"/>
    <m/>
    <s v=""/>
    <b v="0"/>
    <n v="0"/>
    <s v=""/>
    <s v="Twitter for Android"/>
    <b v="0"/>
    <s v="1569934067763761154"/>
    <s v="Tweet"/>
    <n v="0"/>
    <n v="0"/>
    <m/>
    <m/>
    <m/>
    <m/>
    <m/>
    <m/>
    <m/>
    <m/>
    <n v="3"/>
    <s v="4"/>
    <s v="4"/>
    <n v="2"/>
    <n v="7.142857142857143"/>
    <n v="1"/>
    <n v="3.5714285714285716"/>
    <n v="0"/>
    <n v="0"/>
    <n v="25"/>
    <n v="89.28571428571429"/>
    <n v="28"/>
  </r>
  <r>
    <s v="jabalmiza"/>
    <s v="pablospyer"/>
    <m/>
    <m/>
    <m/>
    <m/>
    <m/>
    <m/>
    <m/>
    <m/>
    <s v="No"/>
    <n v="367"/>
    <m/>
    <m/>
    <s v="Replies to"/>
    <x v="250"/>
    <s v="@PabloSpyer #StandWithRussia _x000a_#StandWithPutin🇷🇺"/>
    <m/>
    <m/>
    <s v="standwithrussia standwithputin"/>
    <m/>
    <s v="https://pbs.twimg.com/profile_images/1550587016798212097/iNHMHieS_normal.jpg"/>
    <d v="2022-09-14T23:01:37.000"/>
    <d v="2022-09-14T00:00:00.000"/>
    <s v="23:01:37"/>
    <s v="https://twitter.com/jabalmiza/status/1570186031932252160"/>
    <m/>
    <m/>
    <s v="1570186031932252160"/>
    <s v="1570126652994199553"/>
    <b v="0"/>
    <n v="0"/>
    <s v="2408015736"/>
    <b v="0"/>
    <s v="und"/>
    <m/>
    <s v=""/>
    <b v="0"/>
    <n v="0"/>
    <s v=""/>
    <s v="Twitter for Android"/>
    <b v="0"/>
    <s v="1570126652994199553"/>
    <s v="Tweet"/>
    <n v="0"/>
    <n v="0"/>
    <m/>
    <m/>
    <m/>
    <m/>
    <m/>
    <m/>
    <m/>
    <m/>
    <n v="1"/>
    <s v="4"/>
    <s v="4"/>
    <n v="0"/>
    <n v="0"/>
    <n v="0"/>
    <n v="0"/>
    <n v="0"/>
    <n v="0"/>
    <n v="3"/>
    <n v="100"/>
    <n v="3"/>
  </r>
  <r>
    <s v="jabalmiza"/>
    <s v="drericding"/>
    <m/>
    <m/>
    <m/>
    <m/>
    <m/>
    <m/>
    <m/>
    <m/>
    <s v="No"/>
    <n v="368"/>
    <m/>
    <m/>
    <s v="Replies to"/>
    <x v="251"/>
    <s v="@DrEricDing Russia has the right to defend itself against NATO onslaughts. humanity has the right to fight against Ukrainian NAZISM._x000a_#ZelenskyyWarCriminal _x000a_#ZelenskyWarCriminal _x000a_#StopZelensky_x000a_#StopNato_x000a_#StopNaziUkraine_x000a_#StandWithRussia🇷🇺"/>
    <m/>
    <m/>
    <s v="zelenskyywarcriminal zelenskywarcriminal stopzelensky stopnato stopnaziukraine standwithrussia"/>
    <m/>
    <s v="https://pbs.twimg.com/profile_images/1550587016798212097/iNHMHieS_normal.jpg"/>
    <d v="2022-09-14T23:04:36.000"/>
    <d v="2022-09-14T00:00:00.000"/>
    <s v="23:04:36"/>
    <s v="https://twitter.com/jabalmiza/status/1570186781773164544"/>
    <m/>
    <m/>
    <s v="1570186781773164544"/>
    <s v="1569801663325544448"/>
    <b v="0"/>
    <n v="0"/>
    <s v="18831926"/>
    <b v="0"/>
    <s v="en"/>
    <m/>
    <s v=""/>
    <b v="0"/>
    <n v="0"/>
    <s v=""/>
    <s v="Twitter for Android"/>
    <b v="0"/>
    <s v="1569801663325544448"/>
    <s v="Tweet"/>
    <n v="0"/>
    <n v="0"/>
    <m/>
    <m/>
    <m/>
    <m/>
    <m/>
    <m/>
    <m/>
    <m/>
    <n v="1"/>
    <s v="4"/>
    <s v="4"/>
    <n v="2"/>
    <n v="7.6923076923076925"/>
    <n v="0"/>
    <n v="0"/>
    <n v="0"/>
    <n v="0"/>
    <n v="24"/>
    <n v="92.3076923076923"/>
    <n v="26"/>
  </r>
  <r>
    <s v="jabalmiza"/>
    <s v="sicnoticias"/>
    <m/>
    <m/>
    <m/>
    <m/>
    <m/>
    <m/>
    <m/>
    <m/>
    <s v="No"/>
    <n v="369"/>
    <m/>
    <m/>
    <s v="Replies to"/>
    <x v="252"/>
    <s v="@SICNoticias #ZelenskyWarCriminal_x000a_Sim_x000a_#StopNato_x000a_#StopNaziUkraine_x000a_#StandWithRussia"/>
    <m/>
    <m/>
    <s v="zelenskywarcriminal stopnato stopnaziukraine standwithrussia"/>
    <m/>
    <s v="https://pbs.twimg.com/profile_images/1550587016798212097/iNHMHieS_normal.jpg"/>
    <d v="2022-09-08T23:29:40.000"/>
    <d v="2022-09-08T00:00:00.000"/>
    <s v="23:29:40"/>
    <s v="https://twitter.com/jabalmiza/status/1568018763022475265"/>
    <m/>
    <m/>
    <s v="1568018763022475265"/>
    <s v="1567972574038224896"/>
    <b v="0"/>
    <n v="0"/>
    <s v="17163446"/>
    <b v="0"/>
    <s v="und"/>
    <m/>
    <s v=""/>
    <b v="0"/>
    <n v="0"/>
    <s v=""/>
    <s v="Twitter for Android"/>
    <b v="0"/>
    <s v="1567972574038224896"/>
    <s v="Tweet"/>
    <n v="0"/>
    <n v="0"/>
    <m/>
    <m/>
    <m/>
    <m/>
    <m/>
    <m/>
    <m/>
    <m/>
    <n v="3"/>
    <s v="4"/>
    <s v="4"/>
    <n v="0"/>
    <n v="0"/>
    <n v="0"/>
    <n v="0"/>
    <n v="0"/>
    <n v="0"/>
    <n v="6"/>
    <n v="100"/>
    <n v="6"/>
  </r>
  <r>
    <s v="jabalmiza"/>
    <s v="sicnoticias"/>
    <m/>
    <m/>
    <m/>
    <m/>
    <m/>
    <m/>
    <m/>
    <m/>
    <s v="No"/>
    <n v="370"/>
    <m/>
    <m/>
    <s v="Replies to"/>
    <x v="253"/>
    <s v="@SICNoticias Rússia tem o direito de se defender contra as investidas da NATO. a humanidade tem o direito de lutar contra o NEONAZISMO ucraniano _x000a_#ZelenskyyWarCriminal _x000a_#ZelenskyWarCriminal _x000a_#StopZelensky_x000a_#StopNato_x000a_#StopNaziUkraine_x000a_#StandWithRussia🇷🇺"/>
    <m/>
    <m/>
    <s v="zelenskyywarcriminal zelenskywarcriminal stopzelensky stopnato stopnaziukraine standwithrussia"/>
    <m/>
    <s v="https://pbs.twimg.com/profile_images/1550587016798212097/iNHMHieS_normal.jpg"/>
    <d v="2022-09-14T23:07:41.000"/>
    <d v="2022-09-14T00:00:00.000"/>
    <s v="23:07:41"/>
    <s v="https://twitter.com/jabalmiza/status/1570187559522664449"/>
    <m/>
    <m/>
    <s v="1570187559522664449"/>
    <s v="1570183387616366592"/>
    <b v="0"/>
    <n v="0"/>
    <s v="17163446"/>
    <b v="0"/>
    <s v="pt"/>
    <m/>
    <s v=""/>
    <b v="0"/>
    <n v="0"/>
    <s v=""/>
    <s v="Twitter for Android"/>
    <b v="0"/>
    <s v="1570183387616366592"/>
    <s v="Tweet"/>
    <n v="0"/>
    <n v="0"/>
    <m/>
    <m/>
    <m/>
    <m/>
    <m/>
    <m/>
    <m/>
    <m/>
    <n v="3"/>
    <s v="4"/>
    <s v="4"/>
    <n v="1"/>
    <n v="3.3333333333333335"/>
    <n v="0"/>
    <n v="0"/>
    <n v="0"/>
    <n v="0"/>
    <n v="29"/>
    <n v="96.66666666666667"/>
    <n v="30"/>
  </r>
  <r>
    <s v="jabalmiza"/>
    <s v="sicnoticias"/>
    <m/>
    <m/>
    <m/>
    <m/>
    <m/>
    <m/>
    <m/>
    <m/>
    <s v="No"/>
    <n v="371"/>
    <m/>
    <m/>
    <s v="Replies to"/>
    <x v="254"/>
    <s v="@SICNoticias Rússia tem o direito de se defender contra as investidas da NATO. _x000a_#ZelenskyyWarCriminal _x000a_#ZelenskyWarCriminal _x000a_#StopZelensky_x000a_#StopNato_x000a_#StopNaziUkraine_x000a_#StandWithRussia🇷🇺"/>
    <m/>
    <m/>
    <s v="zelenskyywarcriminal zelenskywarcriminal stopzelensky stopnato stopnaziukraine standwithrussia"/>
    <m/>
    <s v="https://pbs.twimg.com/profile_images/1550587016798212097/iNHMHieS_normal.jpg"/>
    <d v="2022-09-14T23:08:21.000"/>
    <d v="2022-09-14T00:00:00.000"/>
    <s v="23:08:21"/>
    <s v="https://twitter.com/jabalmiza/status/1570187728352051206"/>
    <m/>
    <m/>
    <s v="1570187728352051206"/>
    <s v="1570180877740830721"/>
    <b v="0"/>
    <n v="0"/>
    <s v="17163446"/>
    <b v="0"/>
    <s v="pt"/>
    <m/>
    <s v=""/>
    <b v="0"/>
    <n v="0"/>
    <s v=""/>
    <s v="Twitter for Android"/>
    <b v="0"/>
    <s v="1570180877740830721"/>
    <s v="Tweet"/>
    <n v="0"/>
    <n v="0"/>
    <m/>
    <m/>
    <m/>
    <m/>
    <m/>
    <m/>
    <m/>
    <m/>
    <n v="3"/>
    <s v="4"/>
    <s v="4"/>
    <n v="1"/>
    <n v="5.2631578947368425"/>
    <n v="0"/>
    <n v="0"/>
    <n v="0"/>
    <n v="0"/>
    <n v="18"/>
    <n v="94.73684210526316"/>
    <n v="19"/>
  </r>
  <r>
    <s v="jabalmiza"/>
    <s v="uolnoticias"/>
    <m/>
    <m/>
    <m/>
    <m/>
    <m/>
    <m/>
    <m/>
    <m/>
    <s v="No"/>
    <n v="372"/>
    <m/>
    <m/>
    <s v="Replies to"/>
    <x v="255"/>
    <s v="@UOLNoticias #ZelenskyyWarCriminal _x000a_#ZelenskyWarCriminal _x000a_#StopZelensky_x000a_#StopNaziUkraine_x000a_Yes...oui..._x000a_#StopNato_x000a_#StandWithRussia"/>
    <m/>
    <m/>
    <s v="zelenskyywarcriminal zelenskywarcriminal stopzelensky stopnaziukraine stopnato standwithrussia"/>
    <m/>
    <s v="https://pbs.twimg.com/profile_images/1550587016798212097/iNHMHieS_normal.jpg"/>
    <d v="2022-09-14T23:50:27.000"/>
    <d v="2022-09-14T00:00:00.000"/>
    <s v="23:50:27"/>
    <s v="https://twitter.com/jabalmiza/status/1570198321574318080"/>
    <m/>
    <m/>
    <s v="1570198321574318080"/>
    <s v="1570193448103477248"/>
    <b v="0"/>
    <n v="0"/>
    <s v="14594698"/>
    <b v="0"/>
    <s v="en"/>
    <m/>
    <s v=""/>
    <b v="0"/>
    <n v="0"/>
    <s v=""/>
    <s v="Twitter for Android"/>
    <b v="0"/>
    <s v="1570193448103477248"/>
    <s v="Tweet"/>
    <n v="0"/>
    <n v="0"/>
    <m/>
    <m/>
    <m/>
    <m/>
    <m/>
    <m/>
    <m/>
    <m/>
    <n v="1"/>
    <s v="4"/>
    <s v="4"/>
    <n v="0"/>
    <n v="0"/>
    <n v="0"/>
    <n v="0"/>
    <n v="0"/>
    <n v="0"/>
    <n v="9"/>
    <n v="100"/>
    <n v="9"/>
  </r>
  <r>
    <s v="jabalmiza"/>
    <s v="hoje_no"/>
    <m/>
    <m/>
    <m/>
    <m/>
    <m/>
    <m/>
    <m/>
    <m/>
    <s v="No"/>
    <n v="373"/>
    <m/>
    <m/>
    <s v="Replies to"/>
    <x v="256"/>
    <s v="@hoje_no A Rússia tem o direito de se defender contra as investidas da NATO. A humanidade tem o direito de lutar contra o NEONAZISMO ucraniano_x000a_#ZelenskyyWarCriminal _x000a_#ZelenskyWarCriminal _x000a_#StopNato_x000a_#StopNaziUkraine_x000a_#StandWithRussia _x000a_#StandWithRussia🇷🇺"/>
    <m/>
    <m/>
    <s v="zelenskyywarcriminal zelenskywarcriminal stopnato stopnaziukraine standwithrussia standwithrussia"/>
    <m/>
    <s v="https://pbs.twimg.com/profile_images/1550587016798212097/iNHMHieS_normal.jpg"/>
    <d v="2022-09-15T14:45:45.000"/>
    <d v="2022-09-15T00:00:00.000"/>
    <s v="14:45:45"/>
    <s v="https://twitter.com/jabalmiza/status/1570423631674589190"/>
    <m/>
    <m/>
    <s v="1570423631674589190"/>
    <s v="1570334066137858051"/>
    <b v="0"/>
    <n v="0"/>
    <s v="799915069186469888"/>
    <b v="0"/>
    <s v="pt"/>
    <m/>
    <s v=""/>
    <b v="0"/>
    <n v="0"/>
    <s v=""/>
    <s v="Twitter for Android"/>
    <b v="0"/>
    <s v="1570334066137858051"/>
    <s v="Tweet"/>
    <n v="0"/>
    <n v="0"/>
    <m/>
    <m/>
    <m/>
    <m/>
    <m/>
    <m/>
    <m/>
    <m/>
    <n v="1"/>
    <s v="4"/>
    <s v="4"/>
    <n v="1"/>
    <n v="3.225806451612903"/>
    <n v="0"/>
    <n v="0"/>
    <n v="0"/>
    <n v="0"/>
    <n v="30"/>
    <n v="96.7741935483871"/>
    <n v="31"/>
  </r>
  <r>
    <s v="_b0lil0d_"/>
    <s v="_b0lil0d_"/>
    <m/>
    <m/>
    <m/>
    <m/>
    <m/>
    <m/>
    <m/>
    <m/>
    <s v="No"/>
    <n v="374"/>
    <m/>
    <m/>
    <s v="Tweet"/>
    <x v="257"/>
    <s v="どこを見ている！キエフはここだ https://t.co/MH7lcSK7fm  #LIBEREAL #standwithrussia"/>
    <s v="https://www.restaurant-kiev.com"/>
    <s v="restaurant-kiev.com"/>
    <s v="libereal standwithrussia"/>
    <m/>
    <s v="https://pbs.twimg.com/profile_images/1480295098273644544/Ns_7wxQQ_normal.jpg"/>
    <d v="2022-09-07T16:10:37.000"/>
    <d v="2022-09-07T00:00:00.000"/>
    <s v="16:10:37"/>
    <s v="https://twitter.com/_b0lil0d_/status/1567545887836049408"/>
    <m/>
    <m/>
    <s v="1567545887836049408"/>
    <m/>
    <b v="0"/>
    <n v="0"/>
    <s v=""/>
    <b v="0"/>
    <s v="ja"/>
    <m/>
    <s v=""/>
    <b v="0"/>
    <n v="0"/>
    <s v=""/>
    <s v="Botbird tweets"/>
    <b v="0"/>
    <s v="1567545887836049408"/>
    <s v="Tweet"/>
    <n v="0"/>
    <n v="0"/>
    <m/>
    <m/>
    <m/>
    <m/>
    <m/>
    <m/>
    <m/>
    <m/>
    <n v="9"/>
    <s v="2"/>
    <s v="2"/>
    <n v="0"/>
    <n v="0"/>
    <n v="0"/>
    <n v="0"/>
    <n v="0"/>
    <n v="0"/>
    <n v="4"/>
    <n v="100"/>
    <n v="4"/>
  </r>
  <r>
    <s v="_b0lil0d_"/>
    <s v="_b0lil0d_"/>
    <m/>
    <m/>
    <m/>
    <m/>
    <m/>
    <m/>
    <m/>
    <m/>
    <s v="No"/>
    <n v="375"/>
    <m/>
    <m/>
    <s v="Tweet"/>
    <x v="258"/>
    <s v="どこを見ている！キエフはここだ https://t.co/MH7lcSK7fm  #LIBEREAL #standwithrussia"/>
    <s v="https://www.restaurant-kiev.com"/>
    <s v="restaurant-kiev.com"/>
    <s v="libereal standwithrussia"/>
    <m/>
    <s v="https://pbs.twimg.com/profile_images/1480295098273644544/Ns_7wxQQ_normal.jpg"/>
    <d v="2022-09-08T16:10:38.000"/>
    <d v="2022-09-08T00:00:00.000"/>
    <s v="16:10:38"/>
    <s v="https://twitter.com/_b0lil0d_/status/1567908279191232519"/>
    <m/>
    <m/>
    <s v="1567908279191232519"/>
    <m/>
    <b v="0"/>
    <n v="0"/>
    <s v=""/>
    <b v="0"/>
    <s v="ja"/>
    <m/>
    <s v=""/>
    <b v="0"/>
    <n v="0"/>
    <s v=""/>
    <s v="Botbird tweets"/>
    <b v="0"/>
    <s v="1567908279191232519"/>
    <s v="Tweet"/>
    <n v="0"/>
    <n v="0"/>
    <m/>
    <m/>
    <m/>
    <m/>
    <m/>
    <m/>
    <m/>
    <m/>
    <n v="9"/>
    <s v="2"/>
    <s v="2"/>
    <n v="0"/>
    <n v="0"/>
    <n v="0"/>
    <n v="0"/>
    <n v="0"/>
    <n v="0"/>
    <n v="4"/>
    <n v="100"/>
    <n v="4"/>
  </r>
  <r>
    <s v="_b0lil0d_"/>
    <s v="_b0lil0d_"/>
    <m/>
    <m/>
    <m/>
    <m/>
    <m/>
    <m/>
    <m/>
    <m/>
    <s v="No"/>
    <n v="376"/>
    <m/>
    <m/>
    <s v="Tweet"/>
    <x v="259"/>
    <s v="どこを見ている！キエフはここだ https://t.co/MH7lcSK7fm  #LIBEREAL #standwithrussia"/>
    <s v="https://www.restaurant-kiev.com"/>
    <s v="restaurant-kiev.com"/>
    <s v="libereal standwithrussia"/>
    <m/>
    <s v="https://pbs.twimg.com/profile_images/1480295098273644544/Ns_7wxQQ_normal.jpg"/>
    <d v="2022-09-09T16:10:38.000"/>
    <d v="2022-09-09T00:00:00.000"/>
    <s v="16:10:38"/>
    <s v="https://twitter.com/_b0lil0d_/status/1568270667639885824"/>
    <m/>
    <m/>
    <s v="1568270667639885824"/>
    <m/>
    <b v="0"/>
    <n v="0"/>
    <s v=""/>
    <b v="0"/>
    <s v="ja"/>
    <m/>
    <s v=""/>
    <b v="0"/>
    <n v="0"/>
    <s v=""/>
    <s v="Botbird tweets"/>
    <b v="0"/>
    <s v="1568270667639885824"/>
    <s v="Tweet"/>
    <n v="0"/>
    <n v="0"/>
    <m/>
    <m/>
    <m/>
    <m/>
    <m/>
    <m/>
    <m/>
    <m/>
    <n v="9"/>
    <s v="2"/>
    <s v="2"/>
    <n v="0"/>
    <n v="0"/>
    <n v="0"/>
    <n v="0"/>
    <n v="0"/>
    <n v="0"/>
    <n v="4"/>
    <n v="100"/>
    <n v="4"/>
  </r>
  <r>
    <s v="_b0lil0d_"/>
    <s v="_b0lil0d_"/>
    <m/>
    <m/>
    <m/>
    <m/>
    <m/>
    <m/>
    <m/>
    <m/>
    <s v="No"/>
    <n v="377"/>
    <m/>
    <m/>
    <s v="Tweet"/>
    <x v="260"/>
    <s v="どこを見ている！キエフはここだ https://t.co/MH7lcSK7fm  #LIBEREAL #standwithrussia"/>
    <s v="https://www.restaurant-kiev.com"/>
    <s v="restaurant-kiev.com"/>
    <s v="libereal standwithrussia"/>
    <m/>
    <s v="https://pbs.twimg.com/profile_images/1480295098273644544/Ns_7wxQQ_normal.jpg"/>
    <d v="2022-09-10T16:10:33.000"/>
    <d v="2022-09-10T00:00:00.000"/>
    <s v="16:10:33"/>
    <s v="https://twitter.com/_b0lil0d_/status/1568633032210354177"/>
    <m/>
    <m/>
    <s v="1568633032210354177"/>
    <m/>
    <b v="0"/>
    <n v="0"/>
    <s v=""/>
    <b v="0"/>
    <s v="ja"/>
    <m/>
    <s v=""/>
    <b v="0"/>
    <n v="0"/>
    <s v=""/>
    <s v="Botbird tweets"/>
    <b v="0"/>
    <s v="1568633032210354177"/>
    <s v="Tweet"/>
    <n v="0"/>
    <n v="0"/>
    <m/>
    <m/>
    <m/>
    <m/>
    <m/>
    <m/>
    <m/>
    <m/>
    <n v="9"/>
    <s v="2"/>
    <s v="2"/>
    <n v="0"/>
    <n v="0"/>
    <n v="0"/>
    <n v="0"/>
    <n v="0"/>
    <n v="0"/>
    <n v="4"/>
    <n v="100"/>
    <n v="4"/>
  </r>
  <r>
    <s v="_b0lil0d_"/>
    <s v="_b0lil0d_"/>
    <m/>
    <m/>
    <m/>
    <m/>
    <m/>
    <m/>
    <m/>
    <m/>
    <s v="No"/>
    <n v="378"/>
    <m/>
    <m/>
    <s v="Tweet"/>
    <x v="261"/>
    <s v="どこを見ている！キエフはここだ https://t.co/MH7lcSK7fm  #LIBEREAL #standwithrussia"/>
    <s v="https://www.restaurant-kiev.com"/>
    <s v="restaurant-kiev.com"/>
    <s v="libereal standwithrussia"/>
    <m/>
    <s v="https://pbs.twimg.com/profile_images/1480295098273644544/Ns_7wxQQ_normal.jpg"/>
    <d v="2022-09-11T16:10:28.000"/>
    <d v="2022-09-11T00:00:00.000"/>
    <s v="16:10:28"/>
    <s v="https://twitter.com/_b0lil0d_/status/1568995400010317824"/>
    <m/>
    <m/>
    <s v="1568995400010317824"/>
    <m/>
    <b v="0"/>
    <n v="0"/>
    <s v=""/>
    <b v="0"/>
    <s v="ja"/>
    <m/>
    <s v=""/>
    <b v="0"/>
    <n v="0"/>
    <s v=""/>
    <s v="Botbird tweets"/>
    <b v="0"/>
    <s v="1568995400010317824"/>
    <s v="Tweet"/>
    <n v="0"/>
    <n v="0"/>
    <m/>
    <m/>
    <m/>
    <m/>
    <m/>
    <m/>
    <m/>
    <m/>
    <n v="9"/>
    <s v="2"/>
    <s v="2"/>
    <n v="0"/>
    <n v="0"/>
    <n v="0"/>
    <n v="0"/>
    <n v="0"/>
    <n v="0"/>
    <n v="4"/>
    <n v="100"/>
    <n v="4"/>
  </r>
  <r>
    <s v="_b0lil0d_"/>
    <s v="_b0lil0d_"/>
    <m/>
    <m/>
    <m/>
    <m/>
    <m/>
    <m/>
    <m/>
    <m/>
    <s v="No"/>
    <n v="379"/>
    <m/>
    <m/>
    <s v="Tweet"/>
    <x v="262"/>
    <s v="どこを見ている！キエフはここだ https://t.co/MH7lcSK7fm  #LIBEREAL #standwithrussia"/>
    <s v="https://www.restaurant-kiev.com"/>
    <s v="restaurant-kiev.com"/>
    <s v="libereal standwithrussia"/>
    <m/>
    <s v="https://pbs.twimg.com/profile_images/1480295098273644544/Ns_7wxQQ_normal.jpg"/>
    <d v="2022-09-12T16:10:30.000"/>
    <d v="2022-09-12T00:00:00.000"/>
    <s v="16:10:30"/>
    <s v="https://twitter.com/_b0lil0d_/status/1569357795870351360"/>
    <m/>
    <m/>
    <s v="1569357795870351360"/>
    <m/>
    <b v="0"/>
    <n v="0"/>
    <s v=""/>
    <b v="0"/>
    <s v="ja"/>
    <m/>
    <s v=""/>
    <b v="0"/>
    <n v="0"/>
    <s v=""/>
    <s v="Botbird tweets"/>
    <b v="0"/>
    <s v="1569357795870351360"/>
    <s v="Tweet"/>
    <n v="0"/>
    <n v="0"/>
    <m/>
    <m/>
    <m/>
    <m/>
    <m/>
    <m/>
    <m/>
    <m/>
    <n v="9"/>
    <s v="2"/>
    <s v="2"/>
    <n v="0"/>
    <n v="0"/>
    <n v="0"/>
    <n v="0"/>
    <n v="0"/>
    <n v="0"/>
    <n v="4"/>
    <n v="100"/>
    <n v="4"/>
  </r>
  <r>
    <s v="_b0lil0d_"/>
    <s v="_b0lil0d_"/>
    <m/>
    <m/>
    <m/>
    <m/>
    <m/>
    <m/>
    <m/>
    <m/>
    <s v="No"/>
    <n v="380"/>
    <m/>
    <m/>
    <s v="Tweet"/>
    <x v="263"/>
    <s v="どこを見ている！キエフはここだ https://t.co/MH7lcSK7fm  #LIBEREAL #standwithrussia"/>
    <s v="https://www.restaurant-kiev.com"/>
    <s v="restaurant-kiev.com"/>
    <s v="libereal standwithrussia"/>
    <m/>
    <s v="https://pbs.twimg.com/profile_images/1480295098273644544/Ns_7wxQQ_normal.jpg"/>
    <d v="2022-09-13T16:10:33.000"/>
    <d v="2022-09-13T00:00:00.000"/>
    <s v="16:10:33"/>
    <s v="https://twitter.com/_b0lil0d_/status/1569720195320582144"/>
    <m/>
    <m/>
    <s v="1569720195320582144"/>
    <m/>
    <b v="0"/>
    <n v="0"/>
    <s v=""/>
    <b v="0"/>
    <s v="ja"/>
    <m/>
    <s v=""/>
    <b v="0"/>
    <n v="0"/>
    <s v=""/>
    <s v="Botbird tweets"/>
    <b v="0"/>
    <s v="1569720195320582144"/>
    <s v="Tweet"/>
    <n v="0"/>
    <n v="0"/>
    <m/>
    <m/>
    <m/>
    <m/>
    <m/>
    <m/>
    <m/>
    <m/>
    <n v="9"/>
    <s v="2"/>
    <s v="2"/>
    <n v="0"/>
    <n v="0"/>
    <n v="0"/>
    <n v="0"/>
    <n v="0"/>
    <n v="0"/>
    <n v="4"/>
    <n v="100"/>
    <n v="4"/>
  </r>
  <r>
    <s v="_b0lil0d_"/>
    <s v="_b0lil0d_"/>
    <m/>
    <m/>
    <m/>
    <m/>
    <m/>
    <m/>
    <m/>
    <m/>
    <s v="No"/>
    <n v="381"/>
    <m/>
    <m/>
    <s v="Tweet"/>
    <x v="264"/>
    <s v="どこを見ている！キエフはここだ https://t.co/MH7lcSKF4U  #LIBEREAL #standwithrussia"/>
    <s v="https://www.restaurant-kiev.com"/>
    <s v="restaurant-kiev.com"/>
    <s v="libereal standwithrussia"/>
    <m/>
    <s v="https://pbs.twimg.com/profile_images/1480295098273644544/Ns_7wxQQ_normal.jpg"/>
    <d v="2022-09-14T16:10:28.000"/>
    <d v="2022-09-14T00:00:00.000"/>
    <s v="16:10:28"/>
    <s v="https://twitter.com/_b0lil0d_/status/1570082564408487939"/>
    <m/>
    <m/>
    <s v="1570082564408487939"/>
    <m/>
    <b v="0"/>
    <n v="0"/>
    <s v=""/>
    <b v="0"/>
    <s v="ja"/>
    <m/>
    <s v=""/>
    <b v="0"/>
    <n v="0"/>
    <s v=""/>
    <s v="Botbird tweets"/>
    <b v="0"/>
    <s v="1570082564408487939"/>
    <s v="Tweet"/>
    <n v="0"/>
    <n v="0"/>
    <m/>
    <m/>
    <m/>
    <m/>
    <m/>
    <m/>
    <m/>
    <m/>
    <n v="9"/>
    <s v="2"/>
    <s v="2"/>
    <n v="0"/>
    <n v="0"/>
    <n v="0"/>
    <n v="0"/>
    <n v="0"/>
    <n v="0"/>
    <n v="4"/>
    <n v="100"/>
    <n v="4"/>
  </r>
  <r>
    <s v="_b0lil0d_"/>
    <s v="_b0lil0d_"/>
    <m/>
    <m/>
    <m/>
    <m/>
    <m/>
    <m/>
    <m/>
    <m/>
    <s v="No"/>
    <n v="382"/>
    <m/>
    <m/>
    <s v="Tweet"/>
    <x v="265"/>
    <s v="どこを見ている！キエフはここだ https://t.co/MH7lcSK7fm  #LIBEREAL #standwithrussia"/>
    <s v="https://www.restaurant-kiev.com"/>
    <s v="restaurant-kiev.com"/>
    <s v="libereal standwithrussia"/>
    <m/>
    <s v="https://pbs.twimg.com/profile_images/1480295098273644544/Ns_7wxQQ_normal.jpg"/>
    <d v="2022-09-15T16:10:37.000"/>
    <d v="2022-09-15T00:00:00.000"/>
    <s v="16:10:37"/>
    <s v="https://twitter.com/_b0lil0d_/status/1570444987980025858"/>
    <m/>
    <m/>
    <s v="1570444987980025858"/>
    <m/>
    <b v="0"/>
    <n v="0"/>
    <s v=""/>
    <b v="0"/>
    <s v="ja"/>
    <m/>
    <s v=""/>
    <b v="0"/>
    <n v="0"/>
    <s v=""/>
    <s v="Botbird tweets"/>
    <b v="0"/>
    <s v="1570444987980025858"/>
    <s v="Tweet"/>
    <n v="0"/>
    <n v="0"/>
    <m/>
    <m/>
    <m/>
    <m/>
    <m/>
    <m/>
    <m/>
    <m/>
    <n v="9"/>
    <s v="2"/>
    <s v="2"/>
    <n v="0"/>
    <n v="0"/>
    <n v="0"/>
    <n v="0"/>
    <n v="0"/>
    <n v="0"/>
    <n v="4"/>
    <n v="100"/>
    <n v="4"/>
  </r>
  <r>
    <s v="krollspellt"/>
    <s v="fredinmoldova"/>
    <m/>
    <m/>
    <m/>
    <m/>
    <m/>
    <m/>
    <m/>
    <m/>
    <s v="No"/>
    <n v="383"/>
    <m/>
    <m/>
    <s v="Replies to"/>
    <x v="266"/>
    <s v="@FredInMoldova Je ne parle pas du peuple mais de la junte criminelle au pouvoir, abruti._x000a_Va donc dans le Donbass discuter avec les russophones libérés de la vermine ukronazie par Poutine... _x000a_#StandWithRussia https://t.co/49d3d7jaFZ"/>
    <m/>
    <m/>
    <s v="standwithrussia"/>
    <s v="https://pbs.twimg.com/media/FcHzs4MXwAEOwI1.jpg"/>
    <s v="https://pbs.twimg.com/media/FcHzs4MXwAEOwI1.jpg"/>
    <d v="2022-09-08T09:08:53.000"/>
    <d v="2022-09-08T00:00:00.000"/>
    <s v="09:08:53"/>
    <s v="https://twitter.com/krollspellt/status/1567802140608942081"/>
    <m/>
    <m/>
    <s v="1567802140608942081"/>
    <s v="1567800187854233602"/>
    <b v="0"/>
    <n v="0"/>
    <s v="1510703137031659521"/>
    <b v="0"/>
    <s v="fr"/>
    <m/>
    <s v=""/>
    <b v="0"/>
    <n v="0"/>
    <s v=""/>
    <s v="Twitter Web App"/>
    <b v="0"/>
    <s v="1567800187854233602"/>
    <s v="Tweet"/>
    <n v="0"/>
    <n v="0"/>
    <m/>
    <m/>
    <m/>
    <m/>
    <m/>
    <m/>
    <m/>
    <m/>
    <n v="1"/>
    <s v="22"/>
    <s v="22"/>
    <n v="0"/>
    <n v="0"/>
    <n v="0"/>
    <n v="0"/>
    <n v="0"/>
    <n v="0"/>
    <n v="32"/>
    <n v="100"/>
    <n v="32"/>
  </r>
  <r>
    <s v="krollspellt"/>
    <s v="laurenceboone"/>
    <m/>
    <m/>
    <m/>
    <m/>
    <m/>
    <m/>
    <m/>
    <m/>
    <s v="No"/>
    <n v="384"/>
    <m/>
    <m/>
    <s v="Mentions"/>
    <x v="267"/>
    <s v="@franceinter @LaurenceBoone Il ne faut pas être naïfs : la macronie et l'UE utilisent tous les moyens possibles et imaginables pour faire passer leur propagande russophobe partout où elles peuvent._x000a_Mais on y résiste ! _x000a_#StandWithRussia"/>
    <m/>
    <m/>
    <s v="standwithrussia"/>
    <m/>
    <s v="https://pbs.twimg.com/profile_images/1548367315606970370/Wm0GhuZw_normal.jpg"/>
    <d v="2022-09-15T16:42:03.000"/>
    <d v="2022-09-15T00:00:00.000"/>
    <s v="16:42:03"/>
    <s v="https://twitter.com/krollspellt/status/1570452901260140545"/>
    <m/>
    <m/>
    <s v="1570452901260140545"/>
    <s v="1570299584013901825"/>
    <b v="0"/>
    <n v="0"/>
    <s v="34867057"/>
    <b v="0"/>
    <s v="fr"/>
    <m/>
    <s v=""/>
    <b v="0"/>
    <n v="0"/>
    <s v=""/>
    <s v="Twitter Web App"/>
    <b v="0"/>
    <s v="1570299584013901825"/>
    <s v="Tweet"/>
    <n v="0"/>
    <n v="0"/>
    <m/>
    <m/>
    <m/>
    <m/>
    <m/>
    <m/>
    <m/>
    <m/>
    <n v="1"/>
    <s v="22"/>
    <s v="22"/>
    <m/>
    <m/>
    <m/>
    <m/>
    <m/>
    <m/>
    <m/>
    <m/>
    <m/>
  </r>
  <r>
    <s v="godandtrump114"/>
    <s v="minniem96252794"/>
    <m/>
    <m/>
    <m/>
    <m/>
    <m/>
    <m/>
    <m/>
    <m/>
    <s v="No"/>
    <n v="386"/>
    <m/>
    <m/>
    <s v="Mentions"/>
    <x v="268"/>
    <s v="@ronin19217435 @MinnieM96252794 No war! All fake news designed to make Russia look bad! #StandWithRussia"/>
    <m/>
    <m/>
    <s v="standwithrussia"/>
    <m/>
    <s v="https://pbs.twimg.com/profile_images/1547329555953852418/RVexXU-0_normal.jpg"/>
    <d v="2022-09-15T17:11:34.000"/>
    <d v="2022-09-15T00:00:00.000"/>
    <s v="17:11:34"/>
    <s v="https://twitter.com/godandtrump114/status/1570460326319067138"/>
    <m/>
    <m/>
    <s v="1570460326319067138"/>
    <s v="1569812361489584130"/>
    <b v="0"/>
    <n v="0"/>
    <s v="1476323517046140931"/>
    <b v="0"/>
    <s v="en"/>
    <m/>
    <s v=""/>
    <b v="0"/>
    <n v="0"/>
    <s v=""/>
    <s v="Twitter for iPhone"/>
    <b v="0"/>
    <s v="1569812361489584130"/>
    <s v="Tweet"/>
    <n v="0"/>
    <n v="0"/>
    <m/>
    <m/>
    <m/>
    <m/>
    <m/>
    <m/>
    <m/>
    <m/>
    <n v="1"/>
    <s v="31"/>
    <s v="31"/>
    <m/>
    <m/>
    <m/>
    <m/>
    <m/>
    <m/>
    <m/>
    <m/>
    <m/>
  </r>
  <r>
    <s v="bobmozg"/>
    <s v="jacquesfrre2"/>
    <m/>
    <m/>
    <m/>
    <m/>
    <m/>
    <m/>
    <m/>
    <m/>
    <s v="No"/>
    <n v="388"/>
    <m/>
    <m/>
    <s v="Replies to"/>
    <x v="269"/>
    <s v="@JacquesFrre2 #StandWithRussia 🇷🇺"/>
    <m/>
    <m/>
    <s v="standwithrussia"/>
    <m/>
    <s v="https://pbs.twimg.com/profile_images/1560723548540489739/Cp800W5O_normal.jpg"/>
    <d v="2022-09-13T18:32:11.000"/>
    <d v="2022-09-13T00:00:00.000"/>
    <s v="18:32:11"/>
    <s v="https://twitter.com/bobmozg/status/1569755841724571648"/>
    <m/>
    <m/>
    <s v="1569755841724571648"/>
    <s v="1569755241242836993"/>
    <b v="0"/>
    <n v="3"/>
    <s v="1006081814849576960"/>
    <b v="0"/>
    <s v="und"/>
    <m/>
    <s v=""/>
    <b v="0"/>
    <n v="0"/>
    <s v=""/>
    <s v="Twitter for Android"/>
    <b v="0"/>
    <s v="1569755241242836993"/>
    <s v="Tweet"/>
    <n v="0"/>
    <n v="0"/>
    <m/>
    <m/>
    <m/>
    <m/>
    <m/>
    <m/>
    <m/>
    <m/>
    <n v="3"/>
    <s v="15"/>
    <s v="15"/>
    <n v="0"/>
    <n v="0"/>
    <n v="0"/>
    <n v="0"/>
    <n v="0"/>
    <n v="0"/>
    <n v="2"/>
    <n v="100"/>
    <n v="2"/>
  </r>
  <r>
    <s v="bobmozg"/>
    <s v="jacquesfrre2"/>
    <m/>
    <m/>
    <m/>
    <m/>
    <m/>
    <m/>
    <m/>
    <m/>
    <s v="No"/>
    <n v="389"/>
    <m/>
    <m/>
    <s v="Replies to"/>
    <x v="270"/>
    <s v="@JacquesFrre2 #StandWithRussia 🇷🇺"/>
    <m/>
    <m/>
    <s v="standwithrussia"/>
    <m/>
    <s v="https://pbs.twimg.com/profile_images/1560723548540489739/Cp800W5O_normal.jpg"/>
    <d v="2022-09-15T11:19:08.000"/>
    <d v="2022-09-15T00:00:00.000"/>
    <s v="11:19:08"/>
    <s v="https://twitter.com/bobmozg/status/1570371632971259905"/>
    <m/>
    <m/>
    <s v="1570371632971259905"/>
    <s v="1570370371060379662"/>
    <b v="0"/>
    <n v="3"/>
    <s v="1006081814849576960"/>
    <b v="0"/>
    <s v="und"/>
    <m/>
    <s v=""/>
    <b v="0"/>
    <n v="1"/>
    <s v=""/>
    <s v="Twitter Web App"/>
    <b v="0"/>
    <s v="1570370371060379662"/>
    <s v="Tweet"/>
    <n v="0"/>
    <n v="0"/>
    <m/>
    <m/>
    <m/>
    <m/>
    <m/>
    <m/>
    <m/>
    <m/>
    <n v="3"/>
    <s v="15"/>
    <s v="15"/>
    <n v="0"/>
    <n v="0"/>
    <n v="0"/>
    <n v="0"/>
    <n v="0"/>
    <n v="0"/>
    <n v="2"/>
    <n v="100"/>
    <n v="2"/>
  </r>
  <r>
    <s v="bobmozg"/>
    <s v="jacquesfrre2"/>
    <m/>
    <m/>
    <m/>
    <m/>
    <m/>
    <m/>
    <m/>
    <m/>
    <s v="No"/>
    <n v="390"/>
    <m/>
    <m/>
    <s v="Replies to"/>
    <x v="271"/>
    <s v="@JacquesFrre2 #StandWithRussia 🇷🇺"/>
    <m/>
    <m/>
    <s v="standwithrussia"/>
    <m/>
    <s v="https://pbs.twimg.com/profile_images/1560723548540489739/Cp800W5O_normal.jpg"/>
    <d v="2022-09-15T11:31:16.000"/>
    <d v="2022-09-15T00:00:00.000"/>
    <s v="11:31:16"/>
    <s v="https://twitter.com/bobmozg/status/1570374688911532034"/>
    <m/>
    <m/>
    <s v="1570374688911532034"/>
    <s v="1570373903880519681"/>
    <b v="0"/>
    <n v="2"/>
    <s v="1006081814849576960"/>
    <b v="0"/>
    <s v="und"/>
    <m/>
    <s v=""/>
    <b v="0"/>
    <n v="0"/>
    <s v=""/>
    <s v="Twitter Web App"/>
    <b v="0"/>
    <s v="1570373903880519681"/>
    <s v="Tweet"/>
    <n v="0"/>
    <n v="0"/>
    <m/>
    <m/>
    <m/>
    <m/>
    <m/>
    <m/>
    <m/>
    <m/>
    <n v="3"/>
    <s v="15"/>
    <s v="15"/>
    <n v="0"/>
    <n v="0"/>
    <n v="0"/>
    <n v="0"/>
    <n v="0"/>
    <n v="0"/>
    <n v="2"/>
    <n v="100"/>
    <n v="2"/>
  </r>
  <r>
    <s v="m_degage"/>
    <s v="bobmozg"/>
    <m/>
    <m/>
    <m/>
    <m/>
    <m/>
    <m/>
    <m/>
    <m/>
    <s v="No"/>
    <n v="391"/>
    <m/>
    <m/>
    <s v="Retweet"/>
    <x v="272"/>
    <s v="@JacquesFrre2 #StandWithRussia 🇷🇺"/>
    <m/>
    <m/>
    <s v="standwithrussia"/>
    <m/>
    <s v="https://pbs.twimg.com/profile_images/1491225511716139015/TUVUa4rD_normal.jpg"/>
    <d v="2022-09-15T17:48:05.000"/>
    <d v="2022-09-15T00:00:00.000"/>
    <s v="17:48:05"/>
    <s v="https://twitter.com/m_degage/status/1570469517146324994"/>
    <m/>
    <m/>
    <s v="1570469517146324994"/>
    <m/>
    <b v="0"/>
    <n v="0"/>
    <s v=""/>
    <b v="0"/>
    <s v="und"/>
    <m/>
    <s v=""/>
    <b v="0"/>
    <n v="1"/>
    <s v="1570371632971259905"/>
    <s v="Twitter Web App"/>
    <b v="0"/>
    <s v="1570371632971259905"/>
    <s v="Tweet"/>
    <n v="0"/>
    <n v="0"/>
    <m/>
    <m/>
    <m/>
    <m/>
    <m/>
    <m/>
    <m/>
    <m/>
    <n v="1"/>
    <s v="15"/>
    <s v="15"/>
    <m/>
    <m/>
    <m/>
    <m/>
    <m/>
    <m/>
    <m/>
    <m/>
    <m/>
  </r>
  <r>
    <s v="reinbow05061512"/>
    <s v="reinbow05061512"/>
    <m/>
    <m/>
    <m/>
    <m/>
    <m/>
    <m/>
    <m/>
    <m/>
    <s v="No"/>
    <n v="393"/>
    <m/>
    <m/>
    <s v="Tweet"/>
    <x v="273"/>
    <s v="https://t.co/kGuwbxc0d8 T.A.T.U - All the things she said ( live 2013 Russia) ＃ニセモノ #やらせ #フェイク #standwithrussia #ティプシー #1d #inizon"/>
    <s v="https://www.youtube.com/watch?v=V75pj41VFGk"/>
    <s v="youtube.com"/>
    <s v="ニセモノ やらせ フェイク standwithrussia ティプシー 1d inizon"/>
    <m/>
    <s v="https://abs.twimg.com/sticky/default_profile_images/default_profile_normal.png"/>
    <d v="2022-09-07T15:00:59.000"/>
    <d v="2022-09-07T00:00:00.000"/>
    <s v="15:00:59"/>
    <s v="https://twitter.com/reinbow05061512/status/1567528364138717184"/>
    <m/>
    <m/>
    <s v="1567528364138717184"/>
    <m/>
    <b v="0"/>
    <n v="0"/>
    <s v=""/>
    <b v="0"/>
    <s v="en"/>
    <m/>
    <s v=""/>
    <b v="0"/>
    <n v="0"/>
    <s v=""/>
    <s v="Botbird tweets"/>
    <b v="0"/>
    <s v="1567528364138717184"/>
    <s v="Tweet"/>
    <n v="0"/>
    <n v="0"/>
    <m/>
    <m/>
    <m/>
    <m/>
    <m/>
    <m/>
    <m/>
    <m/>
    <n v="43"/>
    <s v="2"/>
    <s v="2"/>
    <n v="0"/>
    <n v="0"/>
    <n v="0"/>
    <n v="0"/>
    <n v="0"/>
    <n v="0"/>
    <n v="19"/>
    <n v="100"/>
    <n v="19"/>
  </r>
  <r>
    <s v="reinbow05061512"/>
    <s v="reinbow05061512"/>
    <m/>
    <m/>
    <m/>
    <m/>
    <m/>
    <m/>
    <m/>
    <m/>
    <s v="No"/>
    <n v="394"/>
    <m/>
    <m/>
    <s v="Tweet"/>
    <x v="274"/>
    <s v="https://t.co/9KYSoYBV8q t.A.T.u. — «Show Me Love ＃ニセモノ #やらせ #フェイク #standwithrussia #ティプシー #1d #inizon"/>
    <s v="https://www.youtube.com/watch?v=ejG32fwnsV4&amp;feature=youtu.be"/>
    <s v="youtube.com"/>
    <s v="ニセモノ やらせ フェイク standwithrussia ティプシー 1d inizon"/>
    <m/>
    <s v="https://abs.twimg.com/sticky/default_profile_images/default_profile_normal.png"/>
    <d v="2022-09-07T15:01:07.000"/>
    <d v="2022-09-07T00:00:00.000"/>
    <s v="15:01:07"/>
    <s v="https://twitter.com/reinbow05061512/status/1567528397751914501"/>
    <m/>
    <m/>
    <s v="1567528397751914501"/>
    <m/>
    <b v="0"/>
    <n v="0"/>
    <s v=""/>
    <b v="0"/>
    <s v="en"/>
    <m/>
    <s v=""/>
    <b v="0"/>
    <n v="0"/>
    <s v=""/>
    <s v="Botbird tweets"/>
    <b v="0"/>
    <s v="1567528397751914501"/>
    <s v="Tweet"/>
    <n v="0"/>
    <n v="0"/>
    <m/>
    <m/>
    <m/>
    <m/>
    <m/>
    <m/>
    <m/>
    <m/>
    <n v="43"/>
    <s v="2"/>
    <s v="2"/>
    <n v="1"/>
    <n v="7.142857142857143"/>
    <n v="0"/>
    <n v="0"/>
    <n v="0"/>
    <n v="0"/>
    <n v="13"/>
    <n v="92.85714285714286"/>
    <n v="14"/>
  </r>
  <r>
    <s v="reinbow05061512"/>
    <s v="reinbow05061512"/>
    <m/>
    <m/>
    <m/>
    <m/>
    <m/>
    <m/>
    <m/>
    <m/>
    <s v="No"/>
    <n v="395"/>
    <m/>
    <m/>
    <s v="Tweet"/>
    <x v="275"/>
    <s v="https://t.co/BPqSYvvxSd #Tchaikovsky #LGBT #ロシア正教 #RussianOrthodox #ロシア #russia #セクマイさん #standwithrussia #allthethingshesaid #tatu #ティプシー #inizon #1d"/>
    <s v="https://www.youtube.com/watch?v=PMOHqsUyk7Y&amp;feature=youtu.be"/>
    <s v="youtube.com"/>
    <s v="tchaikovsky lgbt ロシア正教 russianorthodox ロシア russia セクマイさん standwithrussia allthethingshesaid tatu ティプシー inizon 1d"/>
    <m/>
    <s v="https://abs.twimg.com/sticky/default_profile_images/default_profile_normal.png"/>
    <d v="2022-09-07T18:30:28.000"/>
    <d v="2022-09-07T00:00:00.000"/>
    <s v="18:30:28"/>
    <s v="https://twitter.com/reinbow05061512/status/1567581082006036481"/>
    <m/>
    <m/>
    <s v="1567581082006036481"/>
    <m/>
    <b v="0"/>
    <n v="0"/>
    <s v=""/>
    <b v="0"/>
    <s v="und"/>
    <m/>
    <s v=""/>
    <b v="0"/>
    <n v="0"/>
    <s v=""/>
    <s v="Botbird tweets"/>
    <b v="0"/>
    <s v="1567581082006036481"/>
    <s v="Tweet"/>
    <n v="0"/>
    <n v="0"/>
    <m/>
    <m/>
    <m/>
    <m/>
    <m/>
    <m/>
    <m/>
    <m/>
    <n v="43"/>
    <s v="2"/>
    <s v="2"/>
    <n v="0"/>
    <n v="0"/>
    <n v="0"/>
    <n v="0"/>
    <n v="0"/>
    <n v="0"/>
    <n v="13"/>
    <n v="100"/>
    <n v="13"/>
  </r>
  <r>
    <s v="reinbow05061512"/>
    <s v="reinbow05061512"/>
    <m/>
    <m/>
    <m/>
    <m/>
    <m/>
    <m/>
    <m/>
    <m/>
    <s v="No"/>
    <n v="396"/>
    <m/>
    <m/>
    <s v="Tweet"/>
    <x v="276"/>
    <s v="https://t.co/QvrNxyPAAM #Tchaikovsky #LGBT #ロシア正教 #RussianOrthodox #ロシア #russia #allthethingshesaid #tatu #1d #セクマイさん #standwithrussia #ティプシー #inizon"/>
    <s v="https://ameblo.jp/historical-gay/entry-10222227037.html"/>
    <s v="ameblo.jp"/>
    <s v="tchaikovsky lgbt ロシア正教 russianorthodox ロシア russia allthethingshesaid tatu 1d セクマイさん standwithrussia ティプシー inizon"/>
    <m/>
    <s v="https://abs.twimg.com/sticky/default_profile_images/default_profile_normal.png"/>
    <d v="2022-09-07T23:01:27.000"/>
    <d v="2022-09-07T00:00:00.000"/>
    <s v="23:01:27"/>
    <s v="https://twitter.com/reinbow05061512/status/1567649274619469827"/>
    <m/>
    <m/>
    <s v="1567649274619469827"/>
    <m/>
    <b v="0"/>
    <n v="0"/>
    <s v=""/>
    <b v="0"/>
    <s v="und"/>
    <m/>
    <s v=""/>
    <b v="0"/>
    <n v="0"/>
    <s v=""/>
    <s v="Botbird tweets"/>
    <b v="0"/>
    <s v="1567649274619469827"/>
    <s v="Tweet"/>
    <n v="0"/>
    <n v="0"/>
    <m/>
    <m/>
    <m/>
    <m/>
    <m/>
    <m/>
    <m/>
    <m/>
    <n v="43"/>
    <s v="2"/>
    <s v="2"/>
    <n v="0"/>
    <n v="0"/>
    <n v="0"/>
    <n v="0"/>
    <n v="0"/>
    <n v="0"/>
    <n v="13"/>
    <n v="100"/>
    <n v="13"/>
  </r>
  <r>
    <s v="reinbow05061512"/>
    <s v="reinbow05061512"/>
    <m/>
    <m/>
    <m/>
    <m/>
    <m/>
    <m/>
    <m/>
    <m/>
    <s v="No"/>
    <n v="397"/>
    <m/>
    <m/>
    <s v="Tweet"/>
    <x v="276"/>
    <s v="https://t.co/cUUhyvX3Pw Special Forces' Fight  #Tchaikovsky #LGBT #ロシア正教 #RussianOrthodox #ロシア #russia #セクマイさん #standwithrussia #allthethingshesaid #tatu #1d #ティプシー #inizon"/>
    <s v="https://www.youtube.com/watch?v=uHIVevq290k&amp;feature=youtu.be"/>
    <s v="youtube.com"/>
    <s v="tchaikovsky lgbt ロシア正教 russianorthodox ロシア russia セクマイさん standwithrussia allthethingshesaid tatu 1d ティプシー inizon"/>
    <m/>
    <s v="https://abs.twimg.com/sticky/default_profile_images/default_profile_normal.png"/>
    <d v="2022-09-07T23:01:27.000"/>
    <d v="2022-09-07T00:00:00.000"/>
    <s v="23:01:27"/>
    <s v="https://twitter.com/reinbow05061512/status/1567649277203079168"/>
    <m/>
    <m/>
    <s v="1567649277203079168"/>
    <m/>
    <b v="0"/>
    <n v="0"/>
    <s v=""/>
    <b v="0"/>
    <s v="en"/>
    <m/>
    <s v=""/>
    <b v="0"/>
    <n v="0"/>
    <s v=""/>
    <s v="Botbird tweets"/>
    <b v="0"/>
    <s v="1567649277203079168"/>
    <s v="Tweet"/>
    <n v="0"/>
    <n v="0"/>
    <m/>
    <m/>
    <m/>
    <m/>
    <m/>
    <m/>
    <m/>
    <m/>
    <n v="43"/>
    <s v="2"/>
    <s v="2"/>
    <n v="0"/>
    <n v="0"/>
    <n v="0"/>
    <n v="0"/>
    <n v="0"/>
    <n v="0"/>
    <n v="16"/>
    <n v="100"/>
    <n v="16"/>
  </r>
  <r>
    <s v="reinbow05061512"/>
    <s v="reinbow05061512"/>
    <m/>
    <m/>
    <m/>
    <m/>
    <m/>
    <m/>
    <m/>
    <m/>
    <s v="No"/>
    <n v="398"/>
    <m/>
    <m/>
    <s v="Tweet"/>
    <x v="277"/>
    <s v="https://t.co/9KYSoYBV8q t.A.T.u. — «Show Me Love ＃ニセモノ #やらせ #フェイク #standwithrussia #ティプシー #1d #inizon"/>
    <s v="https://www.youtube.com/watch?v=ejG32fwnsV4&amp;feature=youtu.be"/>
    <s v="youtube.com"/>
    <s v="ニセモノ やらせ フェイク standwithrussia ティプシー 1d inizon"/>
    <m/>
    <s v="https://abs.twimg.com/sticky/default_profile_images/default_profile_normal.png"/>
    <d v="2022-09-08T15:00:57.000"/>
    <d v="2022-09-08T00:00:00.000"/>
    <s v="15:00:57"/>
    <s v="https://twitter.com/reinbow05061512/status/1567890741183057923"/>
    <m/>
    <m/>
    <s v="1567890741183057923"/>
    <m/>
    <b v="0"/>
    <n v="0"/>
    <s v=""/>
    <b v="0"/>
    <s v="en"/>
    <m/>
    <s v=""/>
    <b v="0"/>
    <n v="0"/>
    <s v=""/>
    <s v="Botbird tweets"/>
    <b v="0"/>
    <s v="1567890741183057923"/>
    <s v="Tweet"/>
    <n v="0"/>
    <n v="0"/>
    <m/>
    <m/>
    <m/>
    <m/>
    <m/>
    <m/>
    <m/>
    <m/>
    <n v="43"/>
    <s v="2"/>
    <s v="2"/>
    <n v="1"/>
    <n v="7.142857142857143"/>
    <n v="0"/>
    <n v="0"/>
    <n v="0"/>
    <n v="0"/>
    <n v="13"/>
    <n v="92.85714285714286"/>
    <n v="14"/>
  </r>
  <r>
    <s v="reinbow05061512"/>
    <s v="reinbow05061512"/>
    <m/>
    <m/>
    <m/>
    <m/>
    <m/>
    <m/>
    <m/>
    <m/>
    <s v="No"/>
    <n v="399"/>
    <m/>
    <m/>
    <s v="Tweet"/>
    <x v="278"/>
    <s v="https://t.co/kGuwbxc0d8 T.A.T.U - All the things she said ( live 2013 Russia) ＃ニセモノ #やらせ #フェイク #standwithrussia #ティプシー #1d #inizon"/>
    <s v="https://www.youtube.com/watch?v=V75pj41VFGk"/>
    <s v="youtube.com"/>
    <s v="ニセモノ やらせ フェイク standwithrussia ティプシー 1d inizon"/>
    <m/>
    <s v="https://abs.twimg.com/sticky/default_profile_images/default_profile_normal.png"/>
    <d v="2022-09-08T15:01:10.000"/>
    <d v="2022-09-08T00:00:00.000"/>
    <s v="15:01:10"/>
    <s v="https://twitter.com/reinbow05061512/status/1567890795218321408"/>
    <m/>
    <m/>
    <s v="1567890795218321408"/>
    <m/>
    <b v="0"/>
    <n v="0"/>
    <s v=""/>
    <b v="0"/>
    <s v="en"/>
    <m/>
    <s v=""/>
    <b v="0"/>
    <n v="0"/>
    <s v=""/>
    <s v="Botbird tweets"/>
    <b v="0"/>
    <s v="1567890795218321408"/>
    <s v="Tweet"/>
    <n v="0"/>
    <n v="0"/>
    <m/>
    <m/>
    <m/>
    <m/>
    <m/>
    <m/>
    <m/>
    <m/>
    <n v="43"/>
    <s v="2"/>
    <s v="2"/>
    <n v="0"/>
    <n v="0"/>
    <n v="0"/>
    <n v="0"/>
    <n v="0"/>
    <n v="0"/>
    <n v="19"/>
    <n v="100"/>
    <n v="19"/>
  </r>
  <r>
    <s v="reinbow05061512"/>
    <s v="reinbow05061512"/>
    <m/>
    <m/>
    <m/>
    <m/>
    <m/>
    <m/>
    <m/>
    <m/>
    <s v="No"/>
    <n v="400"/>
    <m/>
    <m/>
    <s v="Tweet"/>
    <x v="279"/>
    <s v="https://t.co/BPqSYvvxSd #Tchaikovsky #LGBT #ロシア正教 #RussianOrthodox #ロシア #russia #セクマイさん #standwithrussia #allthethingshesaid #tatu #ティプシー #inizon #1d"/>
    <s v="https://www.youtube.com/watch?v=PMOHqsUyk7Y&amp;feature=youtu.be"/>
    <s v="youtube.com"/>
    <s v="tchaikovsky lgbt ロシア正教 russianorthodox ロシア russia セクマイさん standwithrussia allthethingshesaid tatu ティプシー inizon 1d"/>
    <m/>
    <s v="https://abs.twimg.com/sticky/default_profile_images/default_profile_normal.png"/>
    <d v="2022-09-08T18:30:32.000"/>
    <d v="2022-09-08T00:00:00.000"/>
    <s v="18:30:32"/>
    <s v="https://twitter.com/reinbow05061512/status/1567943485277233157"/>
    <m/>
    <m/>
    <s v="1567943485277233157"/>
    <m/>
    <b v="0"/>
    <n v="0"/>
    <s v=""/>
    <b v="0"/>
    <s v="und"/>
    <m/>
    <s v=""/>
    <b v="0"/>
    <n v="0"/>
    <s v=""/>
    <s v="Botbird tweets"/>
    <b v="0"/>
    <s v="1567943485277233157"/>
    <s v="Tweet"/>
    <n v="0"/>
    <n v="0"/>
    <m/>
    <m/>
    <m/>
    <m/>
    <m/>
    <m/>
    <m/>
    <m/>
    <n v="43"/>
    <s v="2"/>
    <s v="2"/>
    <n v="0"/>
    <n v="0"/>
    <n v="0"/>
    <n v="0"/>
    <n v="0"/>
    <n v="0"/>
    <n v="13"/>
    <n v="100"/>
    <n v="13"/>
  </r>
  <r>
    <s v="reinbow05061512"/>
    <s v="reinbow05061512"/>
    <m/>
    <m/>
    <m/>
    <m/>
    <m/>
    <m/>
    <m/>
    <m/>
    <s v="No"/>
    <n v="401"/>
    <m/>
    <m/>
    <s v="Tweet"/>
    <x v="280"/>
    <s v="https://t.co/QvrNxyPAAM #Tchaikovsky #LGBT #ロシア正教 #RussianOrthodox #ロシア #russia #allthethingshesaid #tatu #1d #セクマイさん #standwithrussia #ティプシー #inizon"/>
    <s v="https://ameblo.jp/historical-gay/entry-10222227037.html"/>
    <s v="ameblo.jp"/>
    <s v="tchaikovsky lgbt ロシア正教 russianorthodox ロシア russia allthethingshesaid tatu 1d セクマイさん standwithrussia ティプシー inizon"/>
    <m/>
    <s v="https://abs.twimg.com/sticky/default_profile_images/default_profile_normal.png"/>
    <d v="2022-09-08T23:01:29.000"/>
    <d v="2022-09-08T00:00:00.000"/>
    <s v="23:01:29"/>
    <s v="https://twitter.com/reinbow05061512/status/1568011673813794816"/>
    <m/>
    <m/>
    <s v="1568011673813794816"/>
    <m/>
    <b v="0"/>
    <n v="0"/>
    <s v=""/>
    <b v="0"/>
    <s v="und"/>
    <m/>
    <s v=""/>
    <b v="0"/>
    <n v="0"/>
    <s v=""/>
    <s v="Botbird tweets"/>
    <b v="0"/>
    <s v="1568011673813794816"/>
    <s v="Tweet"/>
    <n v="0"/>
    <n v="0"/>
    <m/>
    <m/>
    <m/>
    <m/>
    <m/>
    <m/>
    <m/>
    <m/>
    <n v="43"/>
    <s v="2"/>
    <s v="2"/>
    <n v="0"/>
    <n v="0"/>
    <n v="0"/>
    <n v="0"/>
    <n v="0"/>
    <n v="0"/>
    <n v="13"/>
    <n v="100"/>
    <n v="13"/>
  </r>
  <r>
    <s v="reinbow05061512"/>
    <s v="reinbow05061512"/>
    <m/>
    <m/>
    <m/>
    <m/>
    <m/>
    <m/>
    <m/>
    <m/>
    <s v="No"/>
    <n v="402"/>
    <m/>
    <m/>
    <s v="Tweet"/>
    <x v="281"/>
    <s v="https://t.co/cUUhyvX3Pw Special Forces' Fight  #Tchaikovsky #LGBT #ロシア正教 #RussianOrthodox #ロシア #russia #セクマイさん #standwithrussia #allthethingshesaid #tatu #1d #ティプシー #inizon"/>
    <s v="https://www.youtube.com/watch?v=uHIVevq290k&amp;feature=youtu.be"/>
    <s v="youtube.com"/>
    <s v="tchaikovsky lgbt ロシア正教 russianorthodox ロシア russia セクマイさん standwithrussia allthethingshesaid tatu 1d ティプシー inizon"/>
    <m/>
    <s v="https://abs.twimg.com/sticky/default_profile_images/default_profile_normal.png"/>
    <d v="2022-09-08T23:01:34.000"/>
    <d v="2022-09-08T00:00:00.000"/>
    <s v="23:01:34"/>
    <s v="https://twitter.com/reinbow05061512/status/1568011691362844672"/>
    <m/>
    <m/>
    <s v="1568011691362844672"/>
    <m/>
    <b v="0"/>
    <n v="0"/>
    <s v=""/>
    <b v="0"/>
    <s v="en"/>
    <m/>
    <s v=""/>
    <b v="0"/>
    <n v="0"/>
    <s v=""/>
    <s v="Botbird tweets"/>
    <b v="0"/>
    <s v="1568011691362844672"/>
    <s v="Tweet"/>
    <n v="0"/>
    <n v="0"/>
    <m/>
    <m/>
    <m/>
    <m/>
    <m/>
    <m/>
    <m/>
    <m/>
    <n v="43"/>
    <s v="2"/>
    <s v="2"/>
    <n v="0"/>
    <n v="0"/>
    <n v="0"/>
    <n v="0"/>
    <n v="0"/>
    <n v="0"/>
    <n v="16"/>
    <n v="100"/>
    <n v="16"/>
  </r>
  <r>
    <s v="reinbow05061512"/>
    <s v="reinbow05061512"/>
    <m/>
    <m/>
    <m/>
    <m/>
    <m/>
    <m/>
    <m/>
    <m/>
    <s v="No"/>
    <n v="403"/>
    <m/>
    <m/>
    <s v="Tweet"/>
    <x v="282"/>
    <s v="https://t.co/kGuwbxcy2G T.A.T.U - All the things she said ( live 2013 Russia) ＃ニセモノ #やらせ #フェイク #standwithrussia #ティプシー #1d #inizon"/>
    <s v="https://www.youtube.com/watch?v=V75pj41VFGk"/>
    <s v="youtube.com"/>
    <s v="ニセモノ やらせ フェイク standwithrussia ティプシー 1d inizon"/>
    <m/>
    <s v="https://abs.twimg.com/sticky/default_profile_images/default_profile_normal.png"/>
    <d v="2022-09-09T15:01:14.000"/>
    <d v="2022-09-09T00:00:00.000"/>
    <s v="15:01:14"/>
    <s v="https://twitter.com/reinbow05061512/status/1568253201811652614"/>
    <m/>
    <m/>
    <s v="1568253201811652614"/>
    <m/>
    <b v="0"/>
    <n v="0"/>
    <s v=""/>
    <b v="0"/>
    <s v="en"/>
    <m/>
    <s v=""/>
    <b v="0"/>
    <n v="0"/>
    <s v=""/>
    <s v="Botbird tweets"/>
    <b v="0"/>
    <s v="1568253201811652614"/>
    <s v="Tweet"/>
    <n v="0"/>
    <n v="0"/>
    <m/>
    <m/>
    <m/>
    <m/>
    <m/>
    <m/>
    <m/>
    <m/>
    <n v="43"/>
    <s v="2"/>
    <s v="2"/>
    <n v="0"/>
    <n v="0"/>
    <n v="0"/>
    <n v="0"/>
    <n v="0"/>
    <n v="0"/>
    <n v="19"/>
    <n v="100"/>
    <n v="19"/>
  </r>
  <r>
    <s v="reinbow05061512"/>
    <s v="reinbow05061512"/>
    <m/>
    <m/>
    <m/>
    <m/>
    <m/>
    <m/>
    <m/>
    <m/>
    <s v="No"/>
    <n v="404"/>
    <m/>
    <m/>
    <s v="Tweet"/>
    <x v="283"/>
    <s v="https://t.co/9KYSoYBV8q t.A.T.u. — «Show Me Love ＃ニセモノ #やらせ #フェイク #standwithrussia #ティプシー #1d #inizon"/>
    <s v="https://www.youtube.com/watch?v=ejG32fwnsV4&amp;feature=youtu.be"/>
    <s v="youtube.com"/>
    <s v="ニセモノ やらせ フェイク standwithrussia ティプシー 1d inizon"/>
    <m/>
    <s v="https://abs.twimg.com/sticky/default_profile_images/default_profile_normal.png"/>
    <d v="2022-09-09T15:01:36.000"/>
    <d v="2022-09-09T00:00:00.000"/>
    <s v="15:01:36"/>
    <s v="https://twitter.com/reinbow05061512/status/1568253294442684416"/>
    <m/>
    <m/>
    <s v="1568253294442684416"/>
    <m/>
    <b v="0"/>
    <n v="0"/>
    <s v=""/>
    <b v="0"/>
    <s v="en"/>
    <m/>
    <s v=""/>
    <b v="0"/>
    <n v="0"/>
    <s v=""/>
    <s v="Botbird tweets"/>
    <b v="0"/>
    <s v="1568253294442684416"/>
    <s v="Tweet"/>
    <n v="0"/>
    <n v="0"/>
    <m/>
    <m/>
    <m/>
    <m/>
    <m/>
    <m/>
    <m/>
    <m/>
    <n v="43"/>
    <s v="2"/>
    <s v="2"/>
    <n v="1"/>
    <n v="7.142857142857143"/>
    <n v="0"/>
    <n v="0"/>
    <n v="0"/>
    <n v="0"/>
    <n v="13"/>
    <n v="92.85714285714286"/>
    <n v="14"/>
  </r>
  <r>
    <s v="reinbow05061512"/>
    <s v="reinbow05061512"/>
    <m/>
    <m/>
    <m/>
    <m/>
    <m/>
    <m/>
    <m/>
    <m/>
    <s v="No"/>
    <n v="405"/>
    <m/>
    <m/>
    <s v="Tweet"/>
    <x v="284"/>
    <s v="https://t.co/BPqSYvw5HL #Tchaikovsky #LGBT #ロシア正教 #RussianOrthodox #ロシア #russia #セクマイさん #standwithrussia #allthethingshesaid #tatu #ティプシー #inizon #1d"/>
    <s v="https://www.youtube.com/watch?v=PMOHqsUyk7Y&amp;feature=youtu.be"/>
    <s v="youtube.com"/>
    <s v="tchaikovsky lgbt ロシア正教 russianorthodox ロシア russia セクマイさん standwithrussia allthethingshesaid tatu ティプシー inizon 1d"/>
    <m/>
    <s v="https://abs.twimg.com/sticky/default_profile_images/default_profile_normal.png"/>
    <d v="2022-09-09T18:30:40.000"/>
    <d v="2022-09-09T00:00:00.000"/>
    <s v="18:30:40"/>
    <s v="https://twitter.com/reinbow05061512/status/1568305907741904896"/>
    <m/>
    <m/>
    <s v="1568305907741904896"/>
    <m/>
    <b v="0"/>
    <n v="0"/>
    <s v=""/>
    <b v="0"/>
    <s v="und"/>
    <m/>
    <s v=""/>
    <b v="0"/>
    <n v="0"/>
    <s v=""/>
    <s v="Botbird tweets"/>
    <b v="0"/>
    <s v="1568305907741904896"/>
    <s v="Tweet"/>
    <n v="0"/>
    <n v="0"/>
    <m/>
    <m/>
    <m/>
    <m/>
    <m/>
    <m/>
    <m/>
    <m/>
    <n v="43"/>
    <s v="2"/>
    <s v="2"/>
    <n v="0"/>
    <n v="0"/>
    <n v="0"/>
    <n v="0"/>
    <n v="0"/>
    <n v="0"/>
    <n v="13"/>
    <n v="100"/>
    <n v="13"/>
  </r>
  <r>
    <s v="reinbow05061512"/>
    <s v="reinbow05061512"/>
    <m/>
    <m/>
    <m/>
    <m/>
    <m/>
    <m/>
    <m/>
    <m/>
    <s v="No"/>
    <n v="406"/>
    <m/>
    <m/>
    <s v="Tweet"/>
    <x v="285"/>
    <s v="https://t.co/QvrNxyQ8qk #Tchaikovsky #LGBT #ロシア正教 #RussianOrthodox #ロシア #russia #allthethingshesaid #tatu #1d #セクマイさん #standwithrussia #ティプシー #inizon"/>
    <s v="https://ameblo.jp/historical-gay/entry-10222227037.html"/>
    <s v="ameblo.jp"/>
    <s v="tchaikovsky lgbt ロシア正教 russianorthodox ロシア russia allthethingshesaid tatu 1d セクマイさん standwithrussia ティプシー inizon"/>
    <m/>
    <s v="https://abs.twimg.com/sticky/default_profile_images/default_profile_normal.png"/>
    <d v="2022-09-09T23:01:04.000"/>
    <d v="2022-09-09T00:00:00.000"/>
    <s v="23:01:04"/>
    <s v="https://twitter.com/reinbow05061512/status/1568373954141900807"/>
    <m/>
    <m/>
    <s v="1568373954141900807"/>
    <m/>
    <b v="0"/>
    <n v="0"/>
    <s v=""/>
    <b v="0"/>
    <s v="und"/>
    <m/>
    <s v=""/>
    <b v="0"/>
    <n v="0"/>
    <s v=""/>
    <s v="Botbird tweets"/>
    <b v="0"/>
    <s v="1568373954141900807"/>
    <s v="Tweet"/>
    <n v="0"/>
    <n v="0"/>
    <m/>
    <m/>
    <m/>
    <m/>
    <m/>
    <m/>
    <m/>
    <m/>
    <n v="43"/>
    <s v="2"/>
    <s v="2"/>
    <n v="0"/>
    <n v="0"/>
    <n v="0"/>
    <n v="0"/>
    <n v="0"/>
    <n v="0"/>
    <n v="13"/>
    <n v="100"/>
    <n v="13"/>
  </r>
  <r>
    <s v="reinbow05061512"/>
    <s v="reinbow05061512"/>
    <m/>
    <m/>
    <m/>
    <m/>
    <m/>
    <m/>
    <m/>
    <m/>
    <s v="No"/>
    <n v="407"/>
    <m/>
    <m/>
    <s v="Tweet"/>
    <x v="286"/>
    <s v="https://t.co/cUUhyvX3Pw Special Forces' Fight  #Tchaikovsky #LGBT #ロシア正教 #RussianOrthodox #ロシア #russia #セクマイさん #standwithrussia #allthethingshesaid #tatu #1d #ティプシー #inizon"/>
    <s v="https://www.youtube.com/watch?v=uHIVevq290k&amp;feature=youtu.be"/>
    <s v="youtube.com"/>
    <s v="tchaikovsky lgbt ロシア正教 russianorthodox ロシア russia セクマイさん standwithrussia allthethingshesaid tatu 1d ティプシー inizon"/>
    <m/>
    <s v="https://abs.twimg.com/sticky/default_profile_images/default_profile_normal.png"/>
    <d v="2022-09-09T23:01:14.000"/>
    <d v="2022-09-09T00:00:00.000"/>
    <s v="23:01:14"/>
    <s v="https://twitter.com/reinbow05061512/status/1568373995170308098"/>
    <m/>
    <m/>
    <s v="1568373995170308098"/>
    <m/>
    <b v="0"/>
    <n v="0"/>
    <s v=""/>
    <b v="0"/>
    <s v="en"/>
    <m/>
    <s v=""/>
    <b v="0"/>
    <n v="0"/>
    <s v=""/>
    <s v="Botbird tweets"/>
    <b v="0"/>
    <s v="1568373995170308098"/>
    <s v="Tweet"/>
    <n v="0"/>
    <n v="0"/>
    <m/>
    <m/>
    <m/>
    <m/>
    <m/>
    <m/>
    <m/>
    <m/>
    <n v="43"/>
    <s v="2"/>
    <s v="2"/>
    <n v="0"/>
    <n v="0"/>
    <n v="0"/>
    <n v="0"/>
    <n v="0"/>
    <n v="0"/>
    <n v="16"/>
    <n v="100"/>
    <n v="16"/>
  </r>
  <r>
    <s v="reinbow05061512"/>
    <s v="reinbow05061512"/>
    <m/>
    <m/>
    <m/>
    <m/>
    <m/>
    <m/>
    <m/>
    <m/>
    <s v="No"/>
    <n v="408"/>
    <m/>
    <m/>
    <s v="Tweet"/>
    <x v="287"/>
    <s v="https://t.co/kGuwbxc0d8 T.A.T.U - All the things she said ( live 2013 Russia) ＃ニセモノ #やらせ #フェイク #standwithrussia #ティプシー #1d #inizon"/>
    <s v="https://www.youtube.com/watch?v=V75pj41VFGk"/>
    <s v="youtube.com"/>
    <s v="ニセモノ やらせ フェイク standwithrussia ティプシー 1d inizon"/>
    <m/>
    <s v="https://abs.twimg.com/sticky/default_profile_images/default_profile_normal.png"/>
    <d v="2022-09-10T15:00:48.000"/>
    <d v="2022-09-10T00:00:00.000"/>
    <s v="15:00:48"/>
    <s v="https://twitter.com/reinbow05061512/status/1568615478444130304"/>
    <m/>
    <m/>
    <s v="1568615478444130304"/>
    <m/>
    <b v="0"/>
    <n v="0"/>
    <s v=""/>
    <b v="0"/>
    <s v="en"/>
    <m/>
    <s v=""/>
    <b v="0"/>
    <n v="0"/>
    <s v=""/>
    <s v="Botbird tweets"/>
    <b v="0"/>
    <s v="1568615478444130304"/>
    <s v="Tweet"/>
    <n v="0"/>
    <n v="0"/>
    <m/>
    <m/>
    <m/>
    <m/>
    <m/>
    <m/>
    <m/>
    <m/>
    <n v="43"/>
    <s v="2"/>
    <s v="2"/>
    <n v="0"/>
    <n v="0"/>
    <n v="0"/>
    <n v="0"/>
    <n v="0"/>
    <n v="0"/>
    <n v="19"/>
    <n v="100"/>
    <n v="19"/>
  </r>
  <r>
    <s v="reinbow05061512"/>
    <s v="reinbow05061512"/>
    <m/>
    <m/>
    <m/>
    <m/>
    <m/>
    <m/>
    <m/>
    <m/>
    <s v="No"/>
    <n v="409"/>
    <m/>
    <m/>
    <s v="Tweet"/>
    <x v="288"/>
    <s v="https://t.co/9KYSoYCsXY t.A.T.u. — «Show Me Love ＃ニセモノ #やらせ #フェイク #standwithrussia #ティプシー #1d #inizon"/>
    <s v="https://www.youtube.com/watch?v=ejG32fwnsV4&amp;feature=youtu.be"/>
    <s v="youtube.com"/>
    <s v="ニセモノ やらせ フェイク standwithrussia ティプシー 1d inizon"/>
    <m/>
    <s v="https://abs.twimg.com/sticky/default_profile_images/default_profile_normal.png"/>
    <d v="2022-09-10T15:00:54.000"/>
    <d v="2022-09-10T00:00:00.000"/>
    <s v="15:00:54"/>
    <s v="https://twitter.com/reinbow05061512/status/1568615504612556800"/>
    <m/>
    <m/>
    <s v="1568615504612556800"/>
    <m/>
    <b v="0"/>
    <n v="0"/>
    <s v=""/>
    <b v="0"/>
    <s v="en"/>
    <m/>
    <s v=""/>
    <b v="0"/>
    <n v="0"/>
    <s v=""/>
    <s v="Botbird tweets"/>
    <b v="0"/>
    <s v="1568615504612556800"/>
    <s v="Tweet"/>
    <n v="0"/>
    <n v="0"/>
    <m/>
    <m/>
    <m/>
    <m/>
    <m/>
    <m/>
    <m/>
    <m/>
    <n v="43"/>
    <s v="2"/>
    <s v="2"/>
    <n v="1"/>
    <n v="7.142857142857143"/>
    <n v="0"/>
    <n v="0"/>
    <n v="0"/>
    <n v="0"/>
    <n v="13"/>
    <n v="92.85714285714286"/>
    <n v="14"/>
  </r>
  <r>
    <s v="reinbow05061512"/>
    <s v="reinbow05061512"/>
    <m/>
    <m/>
    <m/>
    <m/>
    <m/>
    <m/>
    <m/>
    <m/>
    <s v="No"/>
    <n v="410"/>
    <m/>
    <m/>
    <s v="Tweet"/>
    <x v="289"/>
    <s v="https://t.co/BPqSYvvxSd #Tchaikovsky #LGBT #ロシア正教 #RussianOrthodox #ロシア #russia #セクマイさん #standwithrussia #allthethingshesaid #tatu #ティプシー #inizon #1d"/>
    <s v="https://www.youtube.com/watch?v=PMOHqsUyk7Y&amp;feature=youtu.be"/>
    <s v="youtube.com"/>
    <s v="tchaikovsky lgbt ロシア正教 russianorthodox ロシア russia セクマイさん standwithrussia allthethingshesaid tatu ティプシー inizon 1d"/>
    <m/>
    <s v="https://abs.twimg.com/sticky/default_profile_images/default_profile_normal.png"/>
    <d v="2022-09-10T18:30:29.000"/>
    <d v="2022-09-10T00:00:00.000"/>
    <s v="18:30:29"/>
    <s v="https://twitter.com/reinbow05061512/status/1568668247997792257"/>
    <m/>
    <m/>
    <s v="1568668247997792257"/>
    <m/>
    <b v="0"/>
    <n v="0"/>
    <s v=""/>
    <b v="0"/>
    <s v="und"/>
    <m/>
    <s v=""/>
    <b v="0"/>
    <n v="0"/>
    <s v=""/>
    <s v="Botbird tweets"/>
    <b v="0"/>
    <s v="1568668247997792257"/>
    <s v="Tweet"/>
    <n v="0"/>
    <n v="0"/>
    <m/>
    <m/>
    <m/>
    <m/>
    <m/>
    <m/>
    <m/>
    <m/>
    <n v="43"/>
    <s v="2"/>
    <s v="2"/>
    <n v="0"/>
    <n v="0"/>
    <n v="0"/>
    <n v="0"/>
    <n v="0"/>
    <n v="0"/>
    <n v="13"/>
    <n v="100"/>
    <n v="13"/>
  </r>
  <r>
    <s v="reinbow05061512"/>
    <s v="reinbow05061512"/>
    <m/>
    <m/>
    <m/>
    <m/>
    <m/>
    <m/>
    <m/>
    <m/>
    <s v="No"/>
    <n v="411"/>
    <m/>
    <m/>
    <s v="Tweet"/>
    <x v="290"/>
    <s v="https://t.co/cUUhyvXBF4 Special Forces' Fight  #Tchaikovsky #LGBT #ロシア正教 #RussianOrthodox #ロシア #russia #セクマイさん #standwithrussia #allthethingshesaid #tatu #1d #ティプシー #inizon"/>
    <s v="https://www.youtube.com/watch?v=uHIVevq290k&amp;feature=youtu.be"/>
    <s v="youtube.com"/>
    <s v="tchaikovsky lgbt ロシア正教 russianorthodox ロシア russia セクマイさん standwithrussia allthethingshesaid tatu 1d ティプシー inizon"/>
    <m/>
    <s v="https://abs.twimg.com/sticky/default_profile_images/default_profile_normal.png"/>
    <d v="2022-09-10T23:00:55.000"/>
    <d v="2022-09-10T00:00:00.000"/>
    <s v="23:00:55"/>
    <s v="https://twitter.com/reinbow05061512/status/1568736306217517062"/>
    <m/>
    <m/>
    <s v="1568736306217517062"/>
    <m/>
    <b v="0"/>
    <n v="0"/>
    <s v=""/>
    <b v="0"/>
    <s v="en"/>
    <m/>
    <s v=""/>
    <b v="0"/>
    <n v="0"/>
    <s v=""/>
    <s v="Botbird tweets"/>
    <b v="0"/>
    <s v="1568736306217517062"/>
    <s v="Tweet"/>
    <n v="0"/>
    <n v="0"/>
    <m/>
    <m/>
    <m/>
    <m/>
    <m/>
    <m/>
    <m/>
    <m/>
    <n v="43"/>
    <s v="2"/>
    <s v="2"/>
    <n v="0"/>
    <n v="0"/>
    <n v="0"/>
    <n v="0"/>
    <n v="0"/>
    <n v="0"/>
    <n v="16"/>
    <n v="100"/>
    <n v="16"/>
  </r>
  <r>
    <s v="reinbow05061512"/>
    <s v="reinbow05061512"/>
    <m/>
    <m/>
    <m/>
    <m/>
    <m/>
    <m/>
    <m/>
    <m/>
    <s v="No"/>
    <n v="412"/>
    <m/>
    <m/>
    <s v="Tweet"/>
    <x v="291"/>
    <s v="https://t.co/QvrNxyQ8qk #Tchaikovsky #LGBT #ロシア正教 #RussianOrthodox #ロシア #russia #allthethingshesaid #tatu #1d #セクマイさん #standwithrussia #ティプシー #inizon"/>
    <s v="https://ameblo.jp/historical-gay/entry-10222227037.html"/>
    <s v="ameblo.jp"/>
    <s v="tchaikovsky lgbt ロシア正教 russianorthodox ロシア russia allthethingshesaid tatu 1d セクマイさん standwithrussia ティプシー inizon"/>
    <m/>
    <s v="https://abs.twimg.com/sticky/default_profile_images/default_profile_normal.png"/>
    <d v="2022-09-10T23:01:13.000"/>
    <d v="2022-09-10T00:00:00.000"/>
    <s v="23:01:13"/>
    <s v="https://twitter.com/reinbow05061512/status/1568736380494413824"/>
    <m/>
    <m/>
    <s v="1568736380494413824"/>
    <m/>
    <b v="0"/>
    <n v="0"/>
    <s v=""/>
    <b v="0"/>
    <s v="und"/>
    <m/>
    <s v=""/>
    <b v="0"/>
    <n v="0"/>
    <s v=""/>
    <s v="Botbird tweets"/>
    <b v="0"/>
    <s v="1568736380494413824"/>
    <s v="Tweet"/>
    <n v="0"/>
    <n v="0"/>
    <m/>
    <m/>
    <m/>
    <m/>
    <m/>
    <m/>
    <m/>
    <m/>
    <n v="43"/>
    <s v="2"/>
    <s v="2"/>
    <n v="0"/>
    <n v="0"/>
    <n v="0"/>
    <n v="0"/>
    <n v="0"/>
    <n v="0"/>
    <n v="13"/>
    <n v="100"/>
    <n v="13"/>
  </r>
  <r>
    <s v="reinbow05061512"/>
    <s v="reinbow05061512"/>
    <m/>
    <m/>
    <m/>
    <m/>
    <m/>
    <m/>
    <m/>
    <m/>
    <s v="No"/>
    <n v="413"/>
    <m/>
    <m/>
    <s v="Tweet"/>
    <x v="292"/>
    <s v="https://t.co/9KYSoYBV8q t.A.T.u. — «Show Me Love ＃ニセモノ #やらせ #フェイク #standwithrussia #ティプシー #1d #inizon"/>
    <s v="https://www.youtube.com/watch?v=ejG32fwnsV4&amp;feature=youtu.be"/>
    <s v="youtube.com"/>
    <s v="ニセモノ やらせ フェイク standwithrussia ティプシー 1d inizon"/>
    <m/>
    <s v="https://abs.twimg.com/sticky/default_profile_images/default_profile_normal.png"/>
    <d v="2022-09-11T15:01:09.000"/>
    <d v="2022-09-11T00:00:00.000"/>
    <s v="15:01:09"/>
    <s v="https://twitter.com/reinbow05061512/status/1568977956734734338"/>
    <m/>
    <m/>
    <s v="1568977956734734338"/>
    <m/>
    <b v="0"/>
    <n v="0"/>
    <s v=""/>
    <b v="0"/>
    <s v="en"/>
    <m/>
    <s v=""/>
    <b v="0"/>
    <n v="0"/>
    <s v=""/>
    <s v="Botbird tweets"/>
    <b v="0"/>
    <s v="1568977956734734338"/>
    <s v="Tweet"/>
    <n v="0"/>
    <n v="0"/>
    <m/>
    <m/>
    <m/>
    <m/>
    <m/>
    <m/>
    <m/>
    <m/>
    <n v="43"/>
    <s v="2"/>
    <s v="2"/>
    <n v="1"/>
    <n v="7.142857142857143"/>
    <n v="0"/>
    <n v="0"/>
    <n v="0"/>
    <n v="0"/>
    <n v="13"/>
    <n v="92.85714285714286"/>
    <n v="14"/>
  </r>
  <r>
    <s v="reinbow05061512"/>
    <s v="reinbow05061512"/>
    <m/>
    <m/>
    <m/>
    <m/>
    <m/>
    <m/>
    <m/>
    <m/>
    <s v="No"/>
    <n v="414"/>
    <m/>
    <m/>
    <s v="Tweet"/>
    <x v="293"/>
    <s v="https://t.co/kGuwbxc0d8 T.A.T.U - All the things she said ( live 2013 Russia) ＃ニセモノ #やらせ #フェイク #standwithrussia #ティプシー #1d #inizon"/>
    <s v="https://www.youtube.com/watch?v=V75pj41VFGk"/>
    <s v="youtube.com"/>
    <s v="ニセモノ やらせ フェイク standwithrussia ティプシー 1d inizon"/>
    <m/>
    <s v="https://abs.twimg.com/sticky/default_profile_images/default_profile_normal.png"/>
    <d v="2022-09-11T15:01:13.000"/>
    <d v="2022-09-11T00:00:00.000"/>
    <s v="15:01:13"/>
    <s v="https://twitter.com/reinbow05061512/status/1568977973826523136"/>
    <m/>
    <m/>
    <s v="1568977973826523136"/>
    <m/>
    <b v="0"/>
    <n v="0"/>
    <s v=""/>
    <b v="0"/>
    <s v="en"/>
    <m/>
    <s v=""/>
    <b v="0"/>
    <n v="0"/>
    <s v=""/>
    <s v="Botbird tweets"/>
    <b v="0"/>
    <s v="1568977973826523136"/>
    <s v="Tweet"/>
    <n v="0"/>
    <n v="0"/>
    <m/>
    <m/>
    <m/>
    <m/>
    <m/>
    <m/>
    <m/>
    <m/>
    <n v="43"/>
    <s v="2"/>
    <s v="2"/>
    <n v="0"/>
    <n v="0"/>
    <n v="0"/>
    <n v="0"/>
    <n v="0"/>
    <n v="0"/>
    <n v="19"/>
    <n v="100"/>
    <n v="19"/>
  </r>
  <r>
    <s v="reinbow05061512"/>
    <s v="reinbow05061512"/>
    <m/>
    <m/>
    <m/>
    <m/>
    <m/>
    <m/>
    <m/>
    <m/>
    <s v="No"/>
    <n v="415"/>
    <m/>
    <m/>
    <s v="Tweet"/>
    <x v="294"/>
    <s v="https://t.co/BPqSYvvxSd #Tchaikovsky #LGBT #ロシア正教 #RussianOrthodox #ロシア #russia #セクマイさん #standwithrussia #allthethingshesaid #tatu #ティプシー #inizon #1d"/>
    <s v="https://www.youtube.com/watch?v=PMOHqsUyk7Y&amp;feature=youtu.be"/>
    <s v="youtube.com"/>
    <s v="tchaikovsky lgbt ロシア正教 russianorthodox ロシア russia セクマイさん standwithrussia allthethingshesaid tatu ティプシー inizon 1d"/>
    <m/>
    <s v="https://abs.twimg.com/sticky/default_profile_images/default_profile_normal.png"/>
    <d v="2022-09-11T18:30:37.000"/>
    <d v="2022-09-11T00:00:00.000"/>
    <s v="18:30:37"/>
    <s v="https://twitter.com/reinbow05061512/status/1569030670688608256"/>
    <m/>
    <m/>
    <s v="1569030670688608256"/>
    <m/>
    <b v="0"/>
    <n v="0"/>
    <s v=""/>
    <b v="0"/>
    <s v="und"/>
    <m/>
    <s v=""/>
    <b v="0"/>
    <n v="0"/>
    <s v=""/>
    <s v="Botbird tweets"/>
    <b v="0"/>
    <s v="1569030670688608256"/>
    <s v="Tweet"/>
    <n v="0"/>
    <n v="0"/>
    <m/>
    <m/>
    <m/>
    <m/>
    <m/>
    <m/>
    <m/>
    <m/>
    <n v="43"/>
    <s v="2"/>
    <s v="2"/>
    <n v="0"/>
    <n v="0"/>
    <n v="0"/>
    <n v="0"/>
    <n v="0"/>
    <n v="0"/>
    <n v="13"/>
    <n v="100"/>
    <n v="13"/>
  </r>
  <r>
    <s v="reinbow05061512"/>
    <s v="reinbow05061512"/>
    <m/>
    <m/>
    <m/>
    <m/>
    <m/>
    <m/>
    <m/>
    <m/>
    <s v="No"/>
    <n v="416"/>
    <m/>
    <m/>
    <s v="Tweet"/>
    <x v="295"/>
    <s v="https://t.co/cUUhyvX3Pw Special Forces' Fight  #Tchaikovsky #LGBT #ロシア正教 #RussianOrthodox #ロシア #russia #セクマイさん #standwithrussia #allthethingshesaid #tatu #1d #ティプシー #inizon"/>
    <s v="https://www.youtube.com/watch?v=uHIVevq290k&amp;feature=youtu.be"/>
    <s v="youtube.com"/>
    <s v="tchaikovsky lgbt ロシア正教 russianorthodox ロシア russia セクマイさん standwithrussia allthethingshesaid tatu 1d ティプシー inizon"/>
    <m/>
    <s v="https://abs.twimg.com/sticky/default_profile_images/default_profile_normal.png"/>
    <d v="2022-09-11T23:00:31.000"/>
    <d v="2022-09-11T00:00:00.000"/>
    <s v="23:00:31"/>
    <s v="https://twitter.com/reinbow05061512/status/1569098591280500738"/>
    <m/>
    <m/>
    <s v="1569098591280500738"/>
    <m/>
    <b v="0"/>
    <n v="0"/>
    <s v=""/>
    <b v="0"/>
    <s v="en"/>
    <m/>
    <s v=""/>
    <b v="0"/>
    <n v="0"/>
    <s v=""/>
    <s v="Botbird tweets"/>
    <b v="0"/>
    <s v="1569098591280500738"/>
    <s v="Tweet"/>
    <n v="0"/>
    <n v="0"/>
    <m/>
    <m/>
    <m/>
    <m/>
    <m/>
    <m/>
    <m/>
    <m/>
    <n v="43"/>
    <s v="2"/>
    <s v="2"/>
    <n v="0"/>
    <n v="0"/>
    <n v="0"/>
    <n v="0"/>
    <n v="0"/>
    <n v="0"/>
    <n v="16"/>
    <n v="100"/>
    <n v="16"/>
  </r>
  <r>
    <s v="reinbow05061512"/>
    <s v="reinbow05061512"/>
    <m/>
    <m/>
    <m/>
    <m/>
    <m/>
    <m/>
    <m/>
    <m/>
    <s v="No"/>
    <n v="417"/>
    <m/>
    <m/>
    <s v="Tweet"/>
    <x v="296"/>
    <s v="https://t.co/QvrNxyPAAM #Tchaikovsky #LGBT #ロシア正教 #RussianOrthodox #ロシア #russia #allthethingshesaid #tatu #1d #セクマイさん #standwithrussia #ティプシー #inizon"/>
    <s v="https://ameblo.jp/historical-gay/entry-10222227037.html"/>
    <s v="ameblo.jp"/>
    <s v="tchaikovsky lgbt ロシア正教 russianorthodox ロシア russia allthethingshesaid tatu 1d セクマイさん standwithrussia ティプシー inizon"/>
    <m/>
    <s v="https://abs.twimg.com/sticky/default_profile_images/default_profile_normal.png"/>
    <d v="2022-09-11T23:00:36.000"/>
    <d v="2022-09-11T00:00:00.000"/>
    <s v="23:00:36"/>
    <s v="https://twitter.com/reinbow05061512/status/1569098613040488448"/>
    <m/>
    <m/>
    <s v="1569098613040488448"/>
    <m/>
    <b v="0"/>
    <n v="0"/>
    <s v=""/>
    <b v="0"/>
    <s v="und"/>
    <m/>
    <s v=""/>
    <b v="0"/>
    <n v="0"/>
    <s v=""/>
    <s v="Botbird tweets"/>
    <b v="0"/>
    <s v="1569098613040488448"/>
    <s v="Tweet"/>
    <n v="0"/>
    <n v="0"/>
    <m/>
    <m/>
    <m/>
    <m/>
    <m/>
    <m/>
    <m/>
    <m/>
    <n v="43"/>
    <s v="2"/>
    <s v="2"/>
    <n v="0"/>
    <n v="0"/>
    <n v="0"/>
    <n v="0"/>
    <n v="0"/>
    <n v="0"/>
    <n v="13"/>
    <n v="100"/>
    <n v="13"/>
  </r>
  <r>
    <s v="reinbow05061512"/>
    <s v="reinbow05061512"/>
    <m/>
    <m/>
    <m/>
    <m/>
    <m/>
    <m/>
    <m/>
    <m/>
    <s v="No"/>
    <n v="418"/>
    <m/>
    <m/>
    <s v="Tweet"/>
    <x v="297"/>
    <s v="https://t.co/9KYSoYBV8q t.A.T.u. — «Show Me Love ＃ニセモノ #やらせ #フェイク #standwithrussia #ティプシー #1d #inizon"/>
    <s v="https://www.youtube.com/watch?v=ejG32fwnsV4&amp;feature=youtu.be"/>
    <s v="youtube.com"/>
    <s v="ニセモノ やらせ フェイク standwithrussia ティプシー 1d inizon"/>
    <m/>
    <s v="https://abs.twimg.com/sticky/default_profile_images/default_profile_normal.png"/>
    <d v="2022-09-12T15:00:37.000"/>
    <d v="2022-09-12T00:00:00.000"/>
    <s v="15:00:37"/>
    <s v="https://twitter.com/reinbow05061512/status/1569340209707339776"/>
    <m/>
    <m/>
    <s v="1569340209707339776"/>
    <m/>
    <b v="0"/>
    <n v="0"/>
    <s v=""/>
    <b v="0"/>
    <s v="en"/>
    <m/>
    <s v=""/>
    <b v="0"/>
    <n v="0"/>
    <s v=""/>
    <s v="Botbird tweets"/>
    <b v="0"/>
    <s v="1569340209707339776"/>
    <s v="Tweet"/>
    <n v="0"/>
    <n v="0"/>
    <m/>
    <m/>
    <m/>
    <m/>
    <m/>
    <m/>
    <m/>
    <m/>
    <n v="43"/>
    <s v="2"/>
    <s v="2"/>
    <n v="1"/>
    <n v="7.142857142857143"/>
    <n v="0"/>
    <n v="0"/>
    <n v="0"/>
    <n v="0"/>
    <n v="13"/>
    <n v="92.85714285714286"/>
    <n v="14"/>
  </r>
  <r>
    <s v="reinbow05061512"/>
    <s v="reinbow05061512"/>
    <m/>
    <m/>
    <m/>
    <m/>
    <m/>
    <m/>
    <m/>
    <m/>
    <s v="No"/>
    <n v="419"/>
    <m/>
    <m/>
    <s v="Tweet"/>
    <x v="298"/>
    <s v="https://t.co/kGuwbxc0d8 T.A.T.U - All the things she said ( live 2013 Russia) ＃ニセモノ #やらせ #フェイク #standwithrussia #ティプシー #1d #inizon"/>
    <s v="https://www.youtube.com/watch?v=V75pj41VFGk"/>
    <s v="youtube.com"/>
    <s v="ニセモノ やらせ フェイク standwithrussia ティプシー 1d inizon"/>
    <m/>
    <s v="https://abs.twimg.com/sticky/default_profile_images/default_profile_normal.png"/>
    <d v="2022-09-12T15:00:54.000"/>
    <d v="2022-09-12T00:00:00.000"/>
    <s v="15:00:54"/>
    <s v="https://twitter.com/reinbow05061512/status/1569340279680892937"/>
    <m/>
    <m/>
    <s v="1569340279680892937"/>
    <m/>
    <b v="0"/>
    <n v="0"/>
    <s v=""/>
    <b v="0"/>
    <s v="en"/>
    <m/>
    <s v=""/>
    <b v="0"/>
    <n v="0"/>
    <s v=""/>
    <s v="Botbird tweets"/>
    <b v="0"/>
    <s v="1569340279680892937"/>
    <s v="Tweet"/>
    <n v="0"/>
    <n v="0"/>
    <m/>
    <m/>
    <m/>
    <m/>
    <m/>
    <m/>
    <m/>
    <m/>
    <n v="43"/>
    <s v="2"/>
    <s v="2"/>
    <n v="0"/>
    <n v="0"/>
    <n v="0"/>
    <n v="0"/>
    <n v="0"/>
    <n v="0"/>
    <n v="19"/>
    <n v="100"/>
    <n v="19"/>
  </r>
  <r>
    <s v="reinbow05061512"/>
    <s v="reinbow05061512"/>
    <m/>
    <m/>
    <m/>
    <m/>
    <m/>
    <m/>
    <m/>
    <m/>
    <s v="No"/>
    <n v="420"/>
    <m/>
    <m/>
    <s v="Tweet"/>
    <x v="299"/>
    <s v="https://t.co/BPqSYvvxSd #Tchaikovsky #LGBT #ロシア正教 #RussianOrthodox #ロシア #russia #セクマイさん #standwithrussia #allthethingshesaid #tatu #ティプシー #inizon #1d"/>
    <s v="https://www.youtube.com/watch?v=PMOHqsUyk7Y&amp;feature=youtu.be"/>
    <s v="youtube.com"/>
    <s v="tchaikovsky lgbt ロシア正教 russianorthodox ロシア russia セクマイさん standwithrussia allthethingshesaid tatu ティプシー inizon 1d"/>
    <m/>
    <s v="https://abs.twimg.com/sticky/default_profile_images/default_profile_normal.png"/>
    <d v="2022-09-12T18:30:33.000"/>
    <d v="2022-09-12T00:00:00.000"/>
    <s v="18:30:33"/>
    <s v="https://twitter.com/reinbow05061512/status/1569393040501997568"/>
    <m/>
    <m/>
    <s v="1569393040501997568"/>
    <m/>
    <b v="0"/>
    <n v="0"/>
    <s v=""/>
    <b v="0"/>
    <s v="und"/>
    <m/>
    <s v=""/>
    <b v="0"/>
    <n v="0"/>
    <s v=""/>
    <s v="Botbird tweets"/>
    <b v="0"/>
    <s v="1569393040501997568"/>
    <s v="Tweet"/>
    <n v="0"/>
    <n v="0"/>
    <m/>
    <m/>
    <m/>
    <m/>
    <m/>
    <m/>
    <m/>
    <m/>
    <n v="43"/>
    <s v="2"/>
    <s v="2"/>
    <n v="0"/>
    <n v="0"/>
    <n v="0"/>
    <n v="0"/>
    <n v="0"/>
    <n v="0"/>
    <n v="13"/>
    <n v="100"/>
    <n v="13"/>
  </r>
  <r>
    <s v="reinbow05061512"/>
    <s v="reinbow05061512"/>
    <m/>
    <m/>
    <m/>
    <m/>
    <m/>
    <m/>
    <m/>
    <m/>
    <s v="No"/>
    <n v="421"/>
    <m/>
    <m/>
    <s v="Tweet"/>
    <x v="300"/>
    <s v="https://t.co/cUUhyvX3Pw Special Forces' Fight  #Tchaikovsky #LGBT #ロシア正教 #RussianOrthodox #ロシア #russia #セクマイさん #standwithrussia #allthethingshesaid #tatu #1d #ティプシー #inizon"/>
    <s v="https://www.youtube.com/watch?v=uHIVevq290k&amp;feature=youtu.be"/>
    <s v="youtube.com"/>
    <s v="tchaikovsky lgbt ロシア正教 russianorthodox ロシア russia セクマイさん standwithrussia allthethingshesaid tatu 1d ティプシー inizon"/>
    <m/>
    <s v="https://abs.twimg.com/sticky/default_profile_images/default_profile_normal.png"/>
    <d v="2022-09-12T23:00:57.000"/>
    <d v="2022-09-12T00:00:00.000"/>
    <s v="23:00:57"/>
    <s v="https://twitter.com/reinbow05061512/status/1569461089775001603"/>
    <m/>
    <m/>
    <s v="1569461089775001603"/>
    <m/>
    <b v="0"/>
    <n v="0"/>
    <s v=""/>
    <b v="0"/>
    <s v="en"/>
    <m/>
    <s v=""/>
    <b v="0"/>
    <n v="0"/>
    <s v=""/>
    <s v="Botbird tweets"/>
    <b v="0"/>
    <s v="1569461089775001603"/>
    <s v="Tweet"/>
    <n v="0"/>
    <n v="0"/>
    <m/>
    <m/>
    <m/>
    <m/>
    <m/>
    <m/>
    <m/>
    <m/>
    <n v="43"/>
    <s v="2"/>
    <s v="2"/>
    <n v="0"/>
    <n v="0"/>
    <n v="0"/>
    <n v="0"/>
    <n v="0"/>
    <n v="0"/>
    <n v="16"/>
    <n v="100"/>
    <n v="16"/>
  </r>
  <r>
    <s v="reinbow05061512"/>
    <s v="reinbow05061512"/>
    <m/>
    <m/>
    <m/>
    <m/>
    <m/>
    <m/>
    <m/>
    <m/>
    <s v="No"/>
    <n v="422"/>
    <m/>
    <m/>
    <s v="Tweet"/>
    <x v="301"/>
    <s v="https://t.co/QvrNxyPAAM #Tchaikovsky #LGBT #ロシア正教 #RussianOrthodox #ロシア #russia #allthethingshesaid #tatu #1d #セクマイさん #standwithrussia #ティプシー #inizon"/>
    <s v="https://ameblo.jp/historical-gay/entry-10222227037.html"/>
    <s v="ameblo.jp"/>
    <s v="tchaikovsky lgbt ロシア正教 russianorthodox ロシア russia allthethingshesaid tatu 1d セクマイさん standwithrussia ティプシー inizon"/>
    <m/>
    <s v="https://abs.twimg.com/sticky/default_profile_images/default_profile_normal.png"/>
    <d v="2022-09-12T23:01:05.000"/>
    <d v="2022-09-12T00:00:00.000"/>
    <s v="23:01:05"/>
    <s v="https://twitter.com/reinbow05061512/status/1569461124160000000"/>
    <m/>
    <m/>
    <s v="1569461124160000000"/>
    <m/>
    <b v="0"/>
    <n v="0"/>
    <s v=""/>
    <b v="0"/>
    <s v="und"/>
    <m/>
    <s v=""/>
    <b v="0"/>
    <n v="0"/>
    <s v=""/>
    <s v="Botbird tweets"/>
    <b v="0"/>
    <s v="1569461124160000000"/>
    <s v="Tweet"/>
    <n v="0"/>
    <n v="0"/>
    <m/>
    <m/>
    <m/>
    <m/>
    <m/>
    <m/>
    <m/>
    <m/>
    <n v="43"/>
    <s v="2"/>
    <s v="2"/>
    <n v="0"/>
    <n v="0"/>
    <n v="0"/>
    <n v="0"/>
    <n v="0"/>
    <n v="0"/>
    <n v="13"/>
    <n v="100"/>
    <n v="13"/>
  </r>
  <r>
    <s v="reinbow05061512"/>
    <s v="reinbow05061512"/>
    <m/>
    <m/>
    <m/>
    <m/>
    <m/>
    <m/>
    <m/>
    <m/>
    <s v="No"/>
    <n v="423"/>
    <m/>
    <m/>
    <s v="Tweet"/>
    <x v="302"/>
    <s v="https://t.co/kGuwbxcy2G T.A.T.U - All the things she said ( live 2013 Russia) ＃ニセモノ #やらせ #フェイク #standwithrussia #ティプシー #1d #inizon"/>
    <s v="https://www.youtube.com/watch?v=V75pj41VFGk"/>
    <s v="youtube.com"/>
    <s v="ニセモノ やらせ フェイク standwithrussia ティプシー 1d inizon"/>
    <m/>
    <s v="https://abs.twimg.com/sticky/default_profile_images/default_profile_normal.png"/>
    <d v="2022-09-13T15:01:06.000"/>
    <d v="2022-09-13T00:00:00.000"/>
    <s v="15:01:06"/>
    <s v="https://twitter.com/reinbow05061512/status/1569702720818548736"/>
    <m/>
    <m/>
    <s v="1569702720818548736"/>
    <m/>
    <b v="0"/>
    <n v="0"/>
    <s v=""/>
    <b v="0"/>
    <s v="en"/>
    <m/>
    <s v=""/>
    <b v="0"/>
    <n v="0"/>
    <s v=""/>
    <s v="Botbird tweets"/>
    <b v="0"/>
    <s v="1569702720818548736"/>
    <s v="Tweet"/>
    <n v="0"/>
    <n v="0"/>
    <m/>
    <m/>
    <m/>
    <m/>
    <m/>
    <m/>
    <m/>
    <m/>
    <n v="43"/>
    <s v="2"/>
    <s v="2"/>
    <n v="0"/>
    <n v="0"/>
    <n v="0"/>
    <n v="0"/>
    <n v="0"/>
    <n v="0"/>
    <n v="19"/>
    <n v="100"/>
    <n v="19"/>
  </r>
  <r>
    <s v="reinbow05061512"/>
    <s v="reinbow05061512"/>
    <m/>
    <m/>
    <m/>
    <m/>
    <m/>
    <m/>
    <m/>
    <m/>
    <s v="No"/>
    <n v="424"/>
    <m/>
    <m/>
    <s v="Tweet"/>
    <x v="303"/>
    <s v="https://t.co/9KYSoYBV8q t.A.T.u. — «Show Me Love ＃ニセモノ #やらせ #フェイク #standwithrussia #ティプシー #1d #inizon"/>
    <s v="https://www.youtube.com/watch?v=ejG32fwnsV4&amp;feature=youtu.be"/>
    <s v="youtube.com"/>
    <s v="ニセモノ やらせ フェイク standwithrussia ティプシー 1d inizon"/>
    <m/>
    <s v="https://abs.twimg.com/sticky/default_profile_images/default_profile_normal.png"/>
    <d v="2022-09-13T15:01:37.000"/>
    <d v="2022-09-13T00:00:00.000"/>
    <s v="15:01:37"/>
    <s v="https://twitter.com/reinbow05061512/status/1569702848337788928"/>
    <m/>
    <m/>
    <s v="1569702848337788928"/>
    <m/>
    <b v="0"/>
    <n v="0"/>
    <s v=""/>
    <b v="0"/>
    <s v="en"/>
    <m/>
    <s v=""/>
    <b v="0"/>
    <n v="0"/>
    <s v=""/>
    <s v="Botbird tweets"/>
    <b v="0"/>
    <s v="1569702848337788928"/>
    <s v="Tweet"/>
    <n v="0"/>
    <n v="0"/>
    <m/>
    <m/>
    <m/>
    <m/>
    <m/>
    <m/>
    <m/>
    <m/>
    <n v="43"/>
    <s v="2"/>
    <s v="2"/>
    <n v="1"/>
    <n v="7.142857142857143"/>
    <n v="0"/>
    <n v="0"/>
    <n v="0"/>
    <n v="0"/>
    <n v="13"/>
    <n v="92.85714285714286"/>
    <n v="14"/>
  </r>
  <r>
    <s v="reinbow05061512"/>
    <s v="reinbow05061512"/>
    <m/>
    <m/>
    <m/>
    <m/>
    <m/>
    <m/>
    <m/>
    <m/>
    <s v="No"/>
    <n v="425"/>
    <m/>
    <m/>
    <s v="Tweet"/>
    <x v="304"/>
    <s v="https://t.co/BPqSYvvxSd #Tchaikovsky #LGBT #ロシア正教 #RussianOrthodox #ロシア #russia #セクマイさん #standwithrussia #allthethingshesaid #tatu #ティプシー #inizon #1d"/>
    <s v="https://www.youtube.com/watch?v=PMOHqsUyk7Y&amp;feature=youtu.be"/>
    <s v="youtube.com"/>
    <s v="tchaikovsky lgbt ロシア正教 russianorthodox ロシア russia セクマイさん standwithrussia allthethingshesaid tatu ティプシー inizon 1d"/>
    <m/>
    <s v="https://abs.twimg.com/sticky/default_profile_images/default_profile_normal.png"/>
    <d v="2022-09-13T18:30:36.000"/>
    <d v="2022-09-13T00:00:00.000"/>
    <s v="18:30:36"/>
    <s v="https://twitter.com/reinbow05061512/status/1569755442212896773"/>
    <m/>
    <m/>
    <s v="1569755442212896773"/>
    <m/>
    <b v="0"/>
    <n v="0"/>
    <s v=""/>
    <b v="0"/>
    <s v="und"/>
    <m/>
    <s v=""/>
    <b v="0"/>
    <n v="0"/>
    <s v=""/>
    <s v="Botbird tweets"/>
    <b v="0"/>
    <s v="1569755442212896773"/>
    <s v="Tweet"/>
    <n v="0"/>
    <n v="0"/>
    <m/>
    <m/>
    <m/>
    <m/>
    <m/>
    <m/>
    <m/>
    <m/>
    <n v="43"/>
    <s v="2"/>
    <s v="2"/>
    <n v="0"/>
    <n v="0"/>
    <n v="0"/>
    <n v="0"/>
    <n v="0"/>
    <n v="0"/>
    <n v="13"/>
    <n v="100"/>
    <n v="13"/>
  </r>
  <r>
    <s v="reinbow05061512"/>
    <s v="reinbow05061512"/>
    <m/>
    <m/>
    <m/>
    <m/>
    <m/>
    <m/>
    <m/>
    <m/>
    <s v="No"/>
    <n v="426"/>
    <m/>
    <m/>
    <s v="Tweet"/>
    <x v="305"/>
    <s v="https://t.co/cUUhyvX3Pw Special Forces' Fight  #Tchaikovsky #LGBT #ロシア正教 #RussianOrthodox #ロシア #russia #セクマイさん #standwithrussia #allthethingshesaid #tatu #1d #ティプシー #inizon"/>
    <s v="https://www.youtube.com/watch?v=uHIVevq290k&amp;feature=youtu.be"/>
    <s v="youtube.com"/>
    <s v="tchaikovsky lgbt ロシア正教 russianorthodox ロシア russia セクマイさん standwithrussia allthethingshesaid tatu 1d ティプシー inizon"/>
    <m/>
    <s v="https://abs.twimg.com/sticky/default_profile_images/default_profile_normal.png"/>
    <d v="2022-09-13T23:01:03.000"/>
    <d v="2022-09-13T00:00:00.000"/>
    <s v="23:01:03"/>
    <s v="https://twitter.com/reinbow05061512/status/1569823503263612928"/>
    <m/>
    <m/>
    <s v="1569823503263612928"/>
    <m/>
    <b v="0"/>
    <n v="0"/>
    <s v=""/>
    <b v="0"/>
    <s v="en"/>
    <m/>
    <s v=""/>
    <b v="0"/>
    <n v="0"/>
    <s v=""/>
    <s v="Botbird tweets"/>
    <b v="0"/>
    <s v="1569823503263612928"/>
    <s v="Tweet"/>
    <n v="0"/>
    <n v="0"/>
    <m/>
    <m/>
    <m/>
    <m/>
    <m/>
    <m/>
    <m/>
    <m/>
    <n v="43"/>
    <s v="2"/>
    <s v="2"/>
    <n v="0"/>
    <n v="0"/>
    <n v="0"/>
    <n v="0"/>
    <n v="0"/>
    <n v="0"/>
    <n v="16"/>
    <n v="100"/>
    <n v="16"/>
  </r>
  <r>
    <s v="reinbow05061512"/>
    <s v="reinbow05061512"/>
    <m/>
    <m/>
    <m/>
    <m/>
    <m/>
    <m/>
    <m/>
    <m/>
    <s v="No"/>
    <n v="427"/>
    <m/>
    <m/>
    <s v="Tweet"/>
    <x v="306"/>
    <s v="https://t.co/QvrNxyPAAM #Tchaikovsky #LGBT #ロシア正教 #RussianOrthodox #ロシア #russia #allthethingshesaid #tatu #1d #セクマイさん #standwithrussia #ティプシー #inizon"/>
    <s v="https://ameblo.jp/historical-gay/entry-10222227037.html"/>
    <s v="ameblo.jp"/>
    <s v="tchaikovsky lgbt ロシア正教 russianorthodox ロシア russia allthethingshesaid tatu 1d セクマイさん standwithrussia ティプシー inizon"/>
    <m/>
    <s v="https://abs.twimg.com/sticky/default_profile_images/default_profile_normal.png"/>
    <d v="2022-09-13T23:01:14.000"/>
    <d v="2022-09-13T00:00:00.000"/>
    <s v="23:01:14"/>
    <s v="https://twitter.com/reinbow05061512/status/1569823547521900545"/>
    <m/>
    <m/>
    <s v="1569823547521900545"/>
    <m/>
    <b v="0"/>
    <n v="0"/>
    <s v=""/>
    <b v="0"/>
    <s v="und"/>
    <m/>
    <s v=""/>
    <b v="0"/>
    <n v="0"/>
    <s v=""/>
    <s v="Botbird tweets"/>
    <b v="0"/>
    <s v="1569823547521900545"/>
    <s v="Tweet"/>
    <n v="0"/>
    <n v="0"/>
    <m/>
    <m/>
    <m/>
    <m/>
    <m/>
    <m/>
    <m/>
    <m/>
    <n v="43"/>
    <s v="2"/>
    <s v="2"/>
    <n v="0"/>
    <n v="0"/>
    <n v="0"/>
    <n v="0"/>
    <n v="0"/>
    <n v="0"/>
    <n v="13"/>
    <n v="100"/>
    <n v="13"/>
  </r>
  <r>
    <s v="reinbow05061512"/>
    <s v="reinbow05061512"/>
    <m/>
    <m/>
    <m/>
    <m/>
    <m/>
    <m/>
    <m/>
    <m/>
    <s v="No"/>
    <n v="428"/>
    <m/>
    <m/>
    <s v="Tweet"/>
    <x v="307"/>
    <s v="https://t.co/kGuwbxc0d8 T.A.T.U - All the things she said ( live 2013 Russia) ＃ニセモノ #やらせ #フェイク #standwithrussia #ティプシー #1d #inizon"/>
    <s v="https://www.youtube.com/watch?v=V75pj41VFGk"/>
    <s v="youtube.com"/>
    <s v="ニセモノ やらせ フェイク standwithrussia ティプシー 1d inizon"/>
    <m/>
    <s v="https://abs.twimg.com/sticky/default_profile_images/default_profile_normal.png"/>
    <d v="2022-09-14T15:00:45.000"/>
    <d v="2022-09-14T00:00:00.000"/>
    <s v="15:00:45"/>
    <s v="https://twitter.com/reinbow05061512/status/1570065019953364993"/>
    <m/>
    <m/>
    <s v="1570065019953364993"/>
    <m/>
    <b v="0"/>
    <n v="0"/>
    <s v=""/>
    <b v="0"/>
    <s v="en"/>
    <m/>
    <s v=""/>
    <b v="0"/>
    <n v="0"/>
    <s v=""/>
    <s v="Botbird tweets"/>
    <b v="0"/>
    <s v="1570065019953364993"/>
    <s v="Tweet"/>
    <n v="0"/>
    <n v="0"/>
    <m/>
    <m/>
    <m/>
    <m/>
    <m/>
    <m/>
    <m/>
    <m/>
    <n v="43"/>
    <s v="2"/>
    <s v="2"/>
    <n v="0"/>
    <n v="0"/>
    <n v="0"/>
    <n v="0"/>
    <n v="0"/>
    <n v="0"/>
    <n v="19"/>
    <n v="100"/>
    <n v="19"/>
  </r>
  <r>
    <s v="reinbow05061512"/>
    <s v="reinbow05061512"/>
    <m/>
    <m/>
    <m/>
    <m/>
    <m/>
    <m/>
    <m/>
    <m/>
    <s v="No"/>
    <n v="429"/>
    <m/>
    <m/>
    <s v="Tweet"/>
    <x v="308"/>
    <s v="https://t.co/9KYSoYBV8q t.A.T.u. — «Show Me Love ＃ニセモノ #やらせ #フェイク #standwithrussia #ティプシー #1d #inizon"/>
    <s v="https://www.youtube.com/watch?v=ejG32fwnsV4&amp;feature=youtu.be"/>
    <s v="youtube.com"/>
    <s v="ニセモノ やらせ フェイク standwithrussia ティプシー 1d inizon"/>
    <m/>
    <s v="https://abs.twimg.com/sticky/default_profile_images/default_profile_normal.png"/>
    <d v="2022-09-14T15:01:08.000"/>
    <d v="2022-09-14T00:00:00.000"/>
    <s v="15:01:08"/>
    <s v="https://twitter.com/reinbow05061512/status/1570065113054330883"/>
    <m/>
    <m/>
    <s v="1570065113054330883"/>
    <m/>
    <b v="0"/>
    <n v="0"/>
    <s v=""/>
    <b v="0"/>
    <s v="en"/>
    <m/>
    <s v=""/>
    <b v="0"/>
    <n v="0"/>
    <s v=""/>
    <s v="Botbird tweets"/>
    <b v="0"/>
    <s v="1570065113054330883"/>
    <s v="Tweet"/>
    <n v="0"/>
    <n v="0"/>
    <m/>
    <m/>
    <m/>
    <m/>
    <m/>
    <m/>
    <m/>
    <m/>
    <n v="43"/>
    <s v="2"/>
    <s v="2"/>
    <n v="1"/>
    <n v="7.142857142857143"/>
    <n v="0"/>
    <n v="0"/>
    <n v="0"/>
    <n v="0"/>
    <n v="13"/>
    <n v="92.85714285714286"/>
    <n v="14"/>
  </r>
  <r>
    <s v="reinbow05061512"/>
    <s v="reinbow05061512"/>
    <m/>
    <m/>
    <m/>
    <m/>
    <m/>
    <m/>
    <m/>
    <m/>
    <s v="No"/>
    <n v="430"/>
    <m/>
    <m/>
    <s v="Tweet"/>
    <x v="309"/>
    <s v="https://t.co/BPqSYvw5HL #Tchaikovsky #LGBT #ロシア正教 #RussianOrthodox #ロシア #russia #セクマイさん #standwithrussia #allthethingshesaid #tatu #ティプシー #inizon #1d"/>
    <s v="https://www.youtube.com/watch?v=PMOHqsUyk7Y&amp;feature=youtu.be"/>
    <s v="youtube.com"/>
    <s v="tchaikovsky lgbt ロシア正教 russianorthodox ロシア russia セクマイさん standwithrussia allthethingshesaid tatu ティプシー inizon 1d"/>
    <m/>
    <s v="https://abs.twimg.com/sticky/default_profile_images/default_profile_normal.png"/>
    <d v="2022-09-14T18:30:40.000"/>
    <d v="2022-09-14T00:00:00.000"/>
    <s v="18:30:40"/>
    <s v="https://twitter.com/reinbow05061512/status/1570117847795531777"/>
    <m/>
    <m/>
    <s v="1570117847795531777"/>
    <m/>
    <b v="0"/>
    <n v="0"/>
    <s v=""/>
    <b v="0"/>
    <s v="und"/>
    <m/>
    <s v=""/>
    <b v="0"/>
    <n v="0"/>
    <s v=""/>
    <s v="Botbird tweets"/>
    <b v="0"/>
    <s v="1570117847795531777"/>
    <s v="Tweet"/>
    <n v="0"/>
    <n v="0"/>
    <m/>
    <m/>
    <m/>
    <m/>
    <m/>
    <m/>
    <m/>
    <m/>
    <n v="43"/>
    <s v="2"/>
    <s v="2"/>
    <n v="0"/>
    <n v="0"/>
    <n v="0"/>
    <n v="0"/>
    <n v="0"/>
    <n v="0"/>
    <n v="13"/>
    <n v="100"/>
    <n v="13"/>
  </r>
  <r>
    <s v="reinbow05061512"/>
    <s v="reinbow05061512"/>
    <m/>
    <m/>
    <m/>
    <m/>
    <m/>
    <m/>
    <m/>
    <m/>
    <s v="No"/>
    <n v="431"/>
    <m/>
    <m/>
    <s v="Tweet"/>
    <x v="310"/>
    <s v="https://t.co/cUUhyvXBF4 Special Forces' Fight  #Tchaikovsky #LGBT #ロシア正教 #RussianOrthodox #ロシア #russia #セクマイさん #standwithrussia #allthethingshesaid #tatu #1d #ティプシー #inizon"/>
    <s v="https://www.youtube.com/watch?v=uHIVevq290k&amp;feature=youtu.be"/>
    <s v="youtube.com"/>
    <s v="tchaikovsky lgbt ロシア正教 russianorthodox ロシア russia セクマイさん standwithrussia allthethingshesaid tatu 1d ティプシー inizon"/>
    <m/>
    <s v="https://abs.twimg.com/sticky/default_profile_images/default_profile_normal.png"/>
    <d v="2022-09-14T23:00:58.000"/>
    <d v="2022-09-14T00:00:00.000"/>
    <s v="23:00:58"/>
    <s v="https://twitter.com/reinbow05061512/status/1570185869952450563"/>
    <m/>
    <m/>
    <s v="1570185869952450563"/>
    <m/>
    <b v="0"/>
    <n v="0"/>
    <s v=""/>
    <b v="0"/>
    <s v="en"/>
    <m/>
    <s v=""/>
    <b v="0"/>
    <n v="0"/>
    <s v=""/>
    <s v="Botbird tweets"/>
    <b v="0"/>
    <s v="1570185869952450563"/>
    <s v="Tweet"/>
    <n v="0"/>
    <n v="0"/>
    <m/>
    <m/>
    <m/>
    <m/>
    <m/>
    <m/>
    <m/>
    <m/>
    <n v="43"/>
    <s v="2"/>
    <s v="2"/>
    <n v="0"/>
    <n v="0"/>
    <n v="0"/>
    <n v="0"/>
    <n v="0"/>
    <n v="0"/>
    <n v="16"/>
    <n v="100"/>
    <n v="16"/>
  </r>
  <r>
    <s v="reinbow05061512"/>
    <s v="reinbow05061512"/>
    <m/>
    <m/>
    <m/>
    <m/>
    <m/>
    <m/>
    <m/>
    <m/>
    <s v="No"/>
    <n v="432"/>
    <m/>
    <m/>
    <s v="Tweet"/>
    <x v="311"/>
    <s v="https://t.co/QvrNxyPAAM #Tchaikovsky #LGBT #ロシア正教 #RussianOrthodox #ロシア #russia #allthethingshesaid #tatu #1d #セクマイさん #standwithrussia #ティプシー #inizon"/>
    <s v="https://ameblo.jp/historical-gay/entry-10222227037.html"/>
    <s v="ameblo.jp"/>
    <s v="tchaikovsky lgbt ロシア正教 russianorthodox ロシア russia allthethingshesaid tatu 1d セクマイさん standwithrussia ティプシー inizon"/>
    <m/>
    <s v="https://abs.twimg.com/sticky/default_profile_images/default_profile_normal.png"/>
    <d v="2022-09-14T23:01:11.000"/>
    <d v="2022-09-14T00:00:00.000"/>
    <s v="23:01:11"/>
    <s v="https://twitter.com/reinbow05061512/status/1570185922284494849"/>
    <m/>
    <m/>
    <s v="1570185922284494849"/>
    <m/>
    <b v="0"/>
    <n v="0"/>
    <s v=""/>
    <b v="0"/>
    <s v="und"/>
    <m/>
    <s v=""/>
    <b v="0"/>
    <n v="0"/>
    <s v=""/>
    <s v="Botbird tweets"/>
    <b v="0"/>
    <s v="1570185922284494849"/>
    <s v="Tweet"/>
    <n v="0"/>
    <n v="0"/>
    <m/>
    <m/>
    <m/>
    <m/>
    <m/>
    <m/>
    <m/>
    <m/>
    <n v="43"/>
    <s v="2"/>
    <s v="2"/>
    <n v="0"/>
    <n v="0"/>
    <n v="0"/>
    <n v="0"/>
    <n v="0"/>
    <n v="0"/>
    <n v="13"/>
    <n v="100"/>
    <n v="13"/>
  </r>
  <r>
    <s v="reinbow05061512"/>
    <s v="reinbow05061512"/>
    <m/>
    <m/>
    <m/>
    <m/>
    <m/>
    <m/>
    <m/>
    <m/>
    <s v="No"/>
    <n v="433"/>
    <m/>
    <m/>
    <s v="Tweet"/>
    <x v="312"/>
    <s v="https://t.co/9KYSoYBV8q t.A.T.u. — «Show Me Love ＃ニセモノ #やらせ #フェイク #standwithrussia #ティプシー #1d #inizon"/>
    <s v="https://www.youtube.com/watch?v=ejG32fwnsV4&amp;feature=youtu.be"/>
    <s v="youtube.com"/>
    <s v="ニセモノ やらせ フェイク standwithrussia ティプシー 1d inizon"/>
    <m/>
    <s v="https://abs.twimg.com/sticky/default_profile_images/default_profile_normal.png"/>
    <d v="2022-09-15T15:01:12.000"/>
    <d v="2022-09-15T00:00:00.000"/>
    <s v="15:01:12"/>
    <s v="https://twitter.com/reinbow05061512/status/1570427521077755904"/>
    <m/>
    <m/>
    <s v="1570427521077755904"/>
    <m/>
    <b v="0"/>
    <n v="0"/>
    <s v=""/>
    <b v="0"/>
    <s v="en"/>
    <m/>
    <s v=""/>
    <b v="0"/>
    <n v="0"/>
    <s v=""/>
    <s v="Botbird tweets"/>
    <b v="0"/>
    <s v="1570427521077755904"/>
    <s v="Tweet"/>
    <n v="0"/>
    <n v="0"/>
    <m/>
    <m/>
    <m/>
    <m/>
    <m/>
    <m/>
    <m/>
    <m/>
    <n v="43"/>
    <s v="2"/>
    <s v="2"/>
    <n v="1"/>
    <n v="7.142857142857143"/>
    <n v="0"/>
    <n v="0"/>
    <n v="0"/>
    <n v="0"/>
    <n v="13"/>
    <n v="92.85714285714286"/>
    <n v="14"/>
  </r>
  <r>
    <s v="reinbow05061512"/>
    <s v="reinbow05061512"/>
    <m/>
    <m/>
    <m/>
    <m/>
    <m/>
    <m/>
    <m/>
    <m/>
    <s v="No"/>
    <n v="434"/>
    <m/>
    <m/>
    <s v="Tweet"/>
    <x v="313"/>
    <s v="https://t.co/kGuwbxcy2G T.A.T.U - All the things she said ( live 2013 Russia) ＃ニセモノ #やらせ #フェイク #standwithrussia #ティプシー #1d #inizon"/>
    <s v="https://www.youtube.com/watch?v=V75pj41VFGk"/>
    <s v="youtube.com"/>
    <s v="ニセモノ やらせ フェイク standwithrussia ティプシー 1d inizon"/>
    <m/>
    <s v="https://abs.twimg.com/sticky/default_profile_images/default_profile_normal.png"/>
    <d v="2022-09-15T15:01:32.000"/>
    <d v="2022-09-15T00:00:00.000"/>
    <s v="15:01:32"/>
    <s v="https://twitter.com/reinbow05061512/status/1570427605245112320"/>
    <m/>
    <m/>
    <s v="1570427605245112320"/>
    <m/>
    <b v="0"/>
    <n v="0"/>
    <s v=""/>
    <b v="0"/>
    <s v="en"/>
    <m/>
    <s v=""/>
    <b v="0"/>
    <n v="0"/>
    <s v=""/>
    <s v="Botbird tweets"/>
    <b v="0"/>
    <s v="1570427605245112320"/>
    <s v="Tweet"/>
    <n v="0"/>
    <n v="0"/>
    <m/>
    <m/>
    <m/>
    <m/>
    <m/>
    <m/>
    <m/>
    <m/>
    <n v="43"/>
    <s v="2"/>
    <s v="2"/>
    <n v="0"/>
    <n v="0"/>
    <n v="0"/>
    <n v="0"/>
    <n v="0"/>
    <n v="0"/>
    <n v="19"/>
    <n v="100"/>
    <n v="19"/>
  </r>
  <r>
    <s v="reinbow05061512"/>
    <s v="reinbow05061512"/>
    <m/>
    <m/>
    <m/>
    <m/>
    <m/>
    <m/>
    <m/>
    <m/>
    <s v="No"/>
    <n v="435"/>
    <m/>
    <m/>
    <s v="Tweet"/>
    <x v="314"/>
    <s v="https://t.co/BPqSYvvxSd #Tchaikovsky #LGBT #ロシア正教 #RussianOrthodox #ロシア #russia #セクマイさん #standwithrussia #allthethingshesaid #tatu #ティプシー #inizon #1d"/>
    <s v="https://www.youtube.com/watch?v=PMOHqsUyk7Y&amp;feature=youtu.be"/>
    <s v="youtube.com"/>
    <s v="tchaikovsky lgbt ロシア正教 russianorthodox ロシア russia セクマイさん standwithrussia allthethingshesaid tatu ティプシー inizon 1d"/>
    <m/>
    <s v="https://abs.twimg.com/sticky/default_profile_images/default_profile_normal.png"/>
    <d v="2022-09-15T18:30:38.000"/>
    <d v="2022-09-15T00:00:00.000"/>
    <s v="18:30:38"/>
    <s v="https://twitter.com/reinbow05061512/status/1570480224789209091"/>
    <m/>
    <m/>
    <s v="1570480224789209091"/>
    <m/>
    <b v="0"/>
    <n v="0"/>
    <s v=""/>
    <b v="0"/>
    <s v="und"/>
    <m/>
    <s v=""/>
    <b v="0"/>
    <n v="0"/>
    <s v=""/>
    <s v="Botbird tweets"/>
    <b v="0"/>
    <s v="1570480224789209091"/>
    <s v="Tweet"/>
    <n v="0"/>
    <n v="0"/>
    <m/>
    <m/>
    <m/>
    <m/>
    <m/>
    <m/>
    <m/>
    <m/>
    <n v="43"/>
    <s v="2"/>
    <s v="2"/>
    <n v="0"/>
    <n v="0"/>
    <n v="0"/>
    <n v="0"/>
    <n v="0"/>
    <n v="0"/>
    <n v="13"/>
    <n v="100"/>
    <n v="13"/>
  </r>
  <r>
    <s v="34berkut"/>
    <s v="mike_zoev"/>
    <m/>
    <m/>
    <m/>
    <m/>
    <m/>
    <m/>
    <m/>
    <m/>
    <s v="No"/>
    <n v="436"/>
    <m/>
    <m/>
    <s v="Retweet"/>
    <x v="315"/>
    <s v="🇷🇺🤝🇸🇰 Большинство словаков хотят военной победы России над Украиной, — Euractiv публикует результаты опроса._x000a_#StandWithRussia https://t.co/jvnIxX0I7N"/>
    <m/>
    <m/>
    <s v="standwithrussia"/>
    <s v="https://pbs.twimg.com/media/FcsKLa1WAAAi_cQ.jpg"/>
    <s v="https://pbs.twimg.com/media/FcsKLa1WAAAi_cQ.jpg"/>
    <d v="2022-09-15T19:06:30.000"/>
    <d v="2022-09-15T00:00:00.000"/>
    <s v="19:06:30"/>
    <s v="https://twitter.com/34berkut/status/1570489251934109696"/>
    <m/>
    <m/>
    <s v="1570489251934109696"/>
    <m/>
    <b v="0"/>
    <n v="0"/>
    <s v=""/>
    <b v="0"/>
    <s v="ru"/>
    <m/>
    <s v=""/>
    <b v="0"/>
    <n v="3"/>
    <s v="1570360092079566848"/>
    <s v="Twitter Web App"/>
    <b v="0"/>
    <s v="1570360092079566848"/>
    <s v="Tweet"/>
    <n v="0"/>
    <n v="0"/>
    <m/>
    <m/>
    <m/>
    <m/>
    <m/>
    <m/>
    <m/>
    <m/>
    <n v="1"/>
    <s v="20"/>
    <s v="20"/>
    <n v="0"/>
    <n v="0"/>
    <n v="0"/>
    <n v="0"/>
    <n v="0"/>
    <n v="0"/>
    <n v="13"/>
    <n v="100"/>
    <n v="13"/>
  </r>
  <r>
    <s v="valer2valerie"/>
    <s v="robertmenardfr"/>
    <m/>
    <m/>
    <m/>
    <m/>
    <m/>
    <m/>
    <m/>
    <m/>
    <s v="No"/>
    <n v="437"/>
    <m/>
    <m/>
    <s v="Replies to"/>
    <x v="316"/>
    <s v="@RobertMenardFR Vous êtes vraiment limité . Votre QI et votre petitesse ressortent de votre tweet. Jaloux ? Vous ne lui arrivez pas à la cheville. Ça fait mal n’est ce pas ? 🤬🤮🤬#Zemmouravaitraison #Reconquete #lareconquetecontinue #standwithRussia #JeVoteReconquete"/>
    <m/>
    <m/>
    <s v="zemmouravaitraison reconquete lareconquetecontinue standwithrussia jevotereconquete"/>
    <m/>
    <s v="https://pbs.twimg.com/profile_images/1470318334973554689/eMXqrQAK_normal.jpg"/>
    <d v="2022-09-07T17:05:57.000"/>
    <d v="2022-09-07T00:00:00.000"/>
    <s v="17:05:57"/>
    <s v="https://twitter.com/valer2valerie/status/1567559813030182913"/>
    <m/>
    <m/>
    <s v="1567559813030182913"/>
    <s v="1566704619459321856"/>
    <b v="0"/>
    <n v="1"/>
    <s v="1132342340"/>
    <b v="0"/>
    <s v="fr"/>
    <m/>
    <s v=""/>
    <b v="0"/>
    <n v="0"/>
    <s v=""/>
    <s v="Twitter for iPhone"/>
    <b v="0"/>
    <s v="1566704619459321856"/>
    <s v="Tweet"/>
    <n v="0"/>
    <n v="0"/>
    <m/>
    <m/>
    <m/>
    <m/>
    <m/>
    <m/>
    <m/>
    <m/>
    <n v="1"/>
    <s v="21"/>
    <s v="21"/>
    <n v="0"/>
    <n v="0"/>
    <n v="0"/>
    <n v="0"/>
    <n v="0"/>
    <n v="0"/>
    <n v="35"/>
    <n v="100"/>
    <n v="35"/>
  </r>
  <r>
    <s v="valer2valerie"/>
    <s v="vladpoutine_fr"/>
    <m/>
    <m/>
    <m/>
    <m/>
    <m/>
    <m/>
    <m/>
    <m/>
    <s v="No"/>
    <n v="438"/>
    <m/>
    <m/>
    <s v="Mentions"/>
    <x v="317"/>
    <s v="@CNEWS Moi je soutiendrais @vladpoutine_fr le temps qui faudra !#LA HONTE #Macronlevatenguerre #MacronNousPrendPourDesCons #StandWithRussia #soutienlaRussie"/>
    <m/>
    <m/>
    <s v="la macronlevatenguerre macronnousprendpourdescons standwithrussia soutienlarussie"/>
    <m/>
    <s v="https://pbs.twimg.com/profile_images/1470318334973554689/eMXqrQAK_normal.jpg"/>
    <d v="2022-09-15T19:18:47.000"/>
    <d v="2022-09-15T00:00:00.000"/>
    <s v="19:18:47"/>
    <s v="https://twitter.com/valer2valerie/status/1570492341353607172"/>
    <m/>
    <m/>
    <s v="1570492341353607172"/>
    <s v="1570411365252169734"/>
    <b v="0"/>
    <n v="0"/>
    <s v="18396319"/>
    <b v="0"/>
    <s v="fr"/>
    <m/>
    <s v=""/>
    <b v="0"/>
    <n v="0"/>
    <s v=""/>
    <s v="Twitter for iPhone"/>
    <b v="0"/>
    <s v="1570411365252169734"/>
    <s v="Tweet"/>
    <n v="0"/>
    <n v="0"/>
    <m/>
    <m/>
    <m/>
    <m/>
    <m/>
    <m/>
    <m/>
    <m/>
    <n v="1"/>
    <s v="21"/>
    <s v="21"/>
    <m/>
    <m/>
    <m/>
    <m/>
    <m/>
    <m/>
    <m/>
    <m/>
    <m/>
  </r>
  <r>
    <s v="mike_zoev"/>
    <s v="mike_zoev"/>
    <m/>
    <m/>
    <m/>
    <m/>
    <m/>
    <m/>
    <m/>
    <m/>
    <s v="No"/>
    <n v="440"/>
    <m/>
    <m/>
    <s v="Tweet"/>
    <x v="318"/>
    <s v="🇷🇺🤝🇸🇰 Большинство словаков хотят военной победы России над Украиной, — Euractiv публикует результаты опроса._x000a_#StandWithRussia https://t.co/jvnIxX0I7N"/>
    <m/>
    <m/>
    <s v="standwithrussia"/>
    <s v="https://pbs.twimg.com/media/FcsKLa1WAAAi_cQ.jpg"/>
    <s v="https://pbs.twimg.com/media/FcsKLa1WAAAi_cQ.jpg"/>
    <d v="2022-09-15T10:33:16.000"/>
    <d v="2022-09-15T00:00:00.000"/>
    <s v="10:33:16"/>
    <s v="https://twitter.com/mike_zoev/status/1570360092079566848"/>
    <m/>
    <m/>
    <s v="1570360092079566848"/>
    <m/>
    <b v="0"/>
    <n v="5"/>
    <s v=""/>
    <b v="0"/>
    <s v="ru"/>
    <m/>
    <s v=""/>
    <b v="0"/>
    <n v="3"/>
    <s v=""/>
    <s v="Twitter for iPhone"/>
    <b v="0"/>
    <s v="1570360092079566848"/>
    <s v="Tweet"/>
    <n v="0"/>
    <n v="0"/>
    <m/>
    <m/>
    <m/>
    <m/>
    <m/>
    <m/>
    <m/>
    <m/>
    <n v="1"/>
    <s v="20"/>
    <s v="20"/>
    <n v="0"/>
    <n v="0"/>
    <n v="0"/>
    <n v="0"/>
    <n v="0"/>
    <n v="0"/>
    <n v="13"/>
    <n v="100"/>
    <n v="13"/>
  </r>
  <r>
    <s v="mnogomama4170"/>
    <s v="mike_zoev"/>
    <m/>
    <m/>
    <m/>
    <m/>
    <m/>
    <m/>
    <m/>
    <m/>
    <s v="No"/>
    <n v="441"/>
    <m/>
    <m/>
    <s v="Retweet"/>
    <x v="319"/>
    <s v="🇷🇺🤝🇸🇰 Большинство словаков хотят военной победы России над Украиной, — Euractiv публикует результаты опроса._x000a_#StandWithRussia https://t.co/jvnIxX0I7N"/>
    <m/>
    <m/>
    <s v="standwithrussia"/>
    <s v="https://pbs.twimg.com/media/FcsKLa1WAAAi_cQ.jpg"/>
    <s v="https://pbs.twimg.com/media/FcsKLa1WAAAi_cQ.jpg"/>
    <d v="2022-09-15T19:20:35.000"/>
    <d v="2022-09-15T00:00:00.000"/>
    <s v="19:20:35"/>
    <s v="https://twitter.com/mnogomama4170/status/1570492795873533953"/>
    <m/>
    <m/>
    <s v="1570492795873533953"/>
    <m/>
    <b v="0"/>
    <n v="0"/>
    <s v=""/>
    <b v="0"/>
    <s v="ru"/>
    <m/>
    <s v=""/>
    <b v="0"/>
    <n v="3"/>
    <s v="1570360092079566848"/>
    <s v="Twitter for Android"/>
    <b v="0"/>
    <s v="1570360092079566848"/>
    <s v="Tweet"/>
    <n v="0"/>
    <n v="0"/>
    <m/>
    <m/>
    <m/>
    <m/>
    <m/>
    <m/>
    <m/>
    <m/>
    <n v="1"/>
    <s v="20"/>
    <s v="20"/>
    <n v="0"/>
    <n v="0"/>
    <n v="0"/>
    <n v="0"/>
    <n v="0"/>
    <n v="0"/>
    <n v="13"/>
    <n v="100"/>
    <n v="13"/>
  </r>
  <r>
    <s v="saresistentzia"/>
    <s v="spencerguard"/>
    <m/>
    <m/>
    <m/>
    <m/>
    <m/>
    <m/>
    <m/>
    <m/>
    <s v="No"/>
    <n v="442"/>
    <m/>
    <m/>
    <s v="Replies to"/>
    <x v="320"/>
    <s v="@SpencerGuard God beware this corrupt racist regime is winning and become a power in Central Europe._x000a_Pls. support Russia to get rid of this Nazi scum in the heart of Europe._x000a__x000a_#ZelenskyWarCriminal #SanctionUkraine #StandWithRussia"/>
    <m/>
    <m/>
    <s v="zelenskywarcriminal sanctionukraine standwithrussia"/>
    <m/>
    <s v="https://pbs.twimg.com/profile_images/1522304931037913088/v16u8wKz_normal.jpg"/>
    <d v="2022-09-11T10:00:27.000"/>
    <d v="2022-09-11T00:00:00.000"/>
    <s v="10:00:27"/>
    <s v="https://twitter.com/saresistentzia/status/1568902281789046784"/>
    <m/>
    <m/>
    <s v="1568902281789046784"/>
    <s v="1568623034856251398"/>
    <b v="0"/>
    <n v="0"/>
    <s v="792054557501038592"/>
    <b v="0"/>
    <s v="en"/>
    <m/>
    <s v=""/>
    <b v="0"/>
    <n v="0"/>
    <s v=""/>
    <s v="Twitter for iPhone"/>
    <b v="0"/>
    <s v="1568623034856251398"/>
    <s v="Tweet"/>
    <n v="0"/>
    <n v="0"/>
    <m/>
    <m/>
    <m/>
    <m/>
    <m/>
    <m/>
    <m/>
    <m/>
    <n v="1"/>
    <s v="1"/>
    <s v="1"/>
    <n v="2"/>
    <n v="5.882352941176471"/>
    <n v="4"/>
    <n v="11.764705882352942"/>
    <n v="0"/>
    <n v="0"/>
    <n v="28"/>
    <n v="82.3529411764706"/>
    <n v="34"/>
  </r>
  <r>
    <s v="saresistentzia"/>
    <s v="jowadephul"/>
    <m/>
    <m/>
    <m/>
    <m/>
    <m/>
    <m/>
    <m/>
    <m/>
    <s v="No"/>
    <n v="443"/>
    <m/>
    <m/>
    <s v="Replies to"/>
    <x v="321"/>
    <s v="@JoWadephul @Bundeskanzler .@Bundeskanzler wann hören Sie endlich die Signale??? Wir müssen jetzt endlich die Unterstützung für diese korrupten Rassisten in diesem Stellvertreterkrieg einstellen!_x000a_#StandWithRussia"/>
    <m/>
    <m/>
    <s v="standwithrussia"/>
    <m/>
    <s v="https://pbs.twimg.com/profile_images/1522304931037913088/v16u8wKz_normal.jpg"/>
    <d v="2022-09-11T15:40:46.000"/>
    <d v="2022-09-11T00:00:00.000"/>
    <s v="15:40:46"/>
    <s v="https://twitter.com/saresistentzia/status/1568987926331117570"/>
    <m/>
    <m/>
    <s v="1568987926331117570"/>
    <s v="1568646036859813888"/>
    <b v="0"/>
    <n v="1"/>
    <s v="389682667"/>
    <b v="0"/>
    <s v="de"/>
    <m/>
    <s v=""/>
    <b v="0"/>
    <n v="0"/>
    <s v=""/>
    <s v="Twitter for iPhone"/>
    <b v="0"/>
    <s v="1568646036859813888"/>
    <s v="Tweet"/>
    <n v="0"/>
    <n v="0"/>
    <m/>
    <m/>
    <m/>
    <m/>
    <m/>
    <m/>
    <m/>
    <m/>
    <n v="1"/>
    <s v="1"/>
    <s v="1"/>
    <n v="0"/>
    <n v="0"/>
    <n v="2"/>
    <n v="8.333333333333334"/>
    <n v="0"/>
    <n v="0"/>
    <n v="22"/>
    <n v="91.66666666666667"/>
    <n v="24"/>
  </r>
  <r>
    <s v="saresistentzia"/>
    <s v="christopherjm"/>
    <m/>
    <m/>
    <m/>
    <m/>
    <m/>
    <m/>
    <m/>
    <m/>
    <s v="No"/>
    <n v="444"/>
    <m/>
    <m/>
    <s v="Replies to"/>
    <x v="322"/>
    <s v="@ChristopherJM This will not happen another time._x000a__x000a_Ukraine must be defeated as a corrupt racist Nazi-Regime can‘t be allowed as military power in the heart of Europe._x000a_#StandWithRussia #SanctionUkraine #ZelenskyWarCriminal"/>
    <m/>
    <m/>
    <s v="standwithrussia sanctionukraine zelenskywarcriminal"/>
    <m/>
    <s v="https://pbs.twimg.com/profile_images/1522304931037913088/v16u8wKz_normal.jpg"/>
    <d v="2022-09-12T10:11:52.000"/>
    <d v="2022-09-12T00:00:00.000"/>
    <s v="10:11:52"/>
    <s v="https://twitter.com/saresistentzia/status/1569267541087772672"/>
    <m/>
    <m/>
    <s v="1569267541087772672"/>
    <s v="1568995670794850304"/>
    <b v="0"/>
    <n v="0"/>
    <s v="16827148"/>
    <b v="0"/>
    <s v="en"/>
    <m/>
    <s v=""/>
    <b v="0"/>
    <n v="0"/>
    <s v=""/>
    <s v="Twitter for iPhone"/>
    <b v="0"/>
    <s v="1568995670794850304"/>
    <s v="Tweet"/>
    <n v="0"/>
    <n v="0"/>
    <m/>
    <m/>
    <m/>
    <m/>
    <m/>
    <m/>
    <m/>
    <m/>
    <n v="1"/>
    <s v="1"/>
    <s v="1"/>
    <n v="1"/>
    <n v="3.125"/>
    <n v="2"/>
    <n v="6.25"/>
    <n v="0"/>
    <n v="0"/>
    <n v="29"/>
    <n v="90.625"/>
    <n v="32"/>
  </r>
  <r>
    <s v="saresistentzia"/>
    <s v="daserste"/>
    <m/>
    <m/>
    <m/>
    <m/>
    <m/>
    <m/>
    <m/>
    <m/>
    <s v="No"/>
    <n v="445"/>
    <m/>
    <m/>
    <s v="Mentions"/>
    <x v="323"/>
    <s v="@maischberger @MelnykAndrij @CarloMasala1 @DasErste Keine Waffen an korrupte Rassisten. Es kann nicht sein, dass Deutschland nach 77 Jahren wieder Nazi unterstützt!_x000a__x000a_#SanctionUkraine #ZelenskyWarCriminal #StandWithRussia"/>
    <m/>
    <m/>
    <s v="sanctionukraine zelenskywarcriminal standwithrussia"/>
    <m/>
    <s v="https://pbs.twimg.com/profile_images/1522304931037913088/v16u8wKz_normal.jpg"/>
    <d v="2022-09-13T20:03:02.000"/>
    <d v="2022-09-13T00:00:00.000"/>
    <s v="20:03:02"/>
    <s v="https://twitter.com/saresistentzia/status/1569778703055339530"/>
    <m/>
    <m/>
    <s v="1569778703055339530"/>
    <s v="1569597763268009985"/>
    <b v="0"/>
    <n v="0"/>
    <s v="1860407786"/>
    <b v="0"/>
    <s v="de"/>
    <m/>
    <s v=""/>
    <b v="0"/>
    <n v="0"/>
    <s v=""/>
    <s v="Twitter for iPhone"/>
    <b v="0"/>
    <s v="1569597763268009985"/>
    <s v="Tweet"/>
    <n v="0"/>
    <n v="0"/>
    <m/>
    <m/>
    <m/>
    <m/>
    <m/>
    <m/>
    <m/>
    <m/>
    <n v="1"/>
    <s v="1"/>
    <s v="1"/>
    <m/>
    <m/>
    <m/>
    <m/>
    <m/>
    <m/>
    <m/>
    <m/>
    <m/>
  </r>
  <r>
    <s v="saresistentzia"/>
    <s v="_friedrichmerz"/>
    <m/>
    <m/>
    <m/>
    <m/>
    <m/>
    <m/>
    <m/>
    <m/>
    <s v="No"/>
    <n v="449"/>
    <m/>
    <m/>
    <s v="Replies to"/>
    <x v="324"/>
    <s v="@_FriedrichMerz Kriegstreiber_x000a_Kriegsgewinnler_x000a_Kriegsverbrecher_x000a__x000a_#CDUverbieten #ZelenskyWarCriminal #SanctionUkraine #StandWithRussia"/>
    <m/>
    <m/>
    <s v="cduverbieten zelenskywarcriminal sanctionukraine standwithrussia"/>
    <m/>
    <s v="https://pbs.twimg.com/profile_images/1522304931037913088/v16u8wKz_normal.jpg"/>
    <d v="2022-09-14T05:45:57.000"/>
    <d v="2022-09-14T00:00:00.000"/>
    <s v="05:45:57"/>
    <s v="https://twitter.com/saresistentzia/status/1569925396845436929"/>
    <m/>
    <m/>
    <s v="1569925396845436929"/>
    <s v="1568220133453086720"/>
    <b v="0"/>
    <n v="0"/>
    <s v="1059395748289232896"/>
    <b v="0"/>
    <s v="de"/>
    <m/>
    <s v=""/>
    <b v="0"/>
    <n v="0"/>
    <s v=""/>
    <s v="Twitter for iPhone"/>
    <b v="0"/>
    <s v="1568220133453086720"/>
    <s v="Tweet"/>
    <n v="0"/>
    <n v="0"/>
    <m/>
    <m/>
    <m/>
    <m/>
    <m/>
    <m/>
    <m/>
    <m/>
    <n v="1"/>
    <s v="1"/>
    <s v="1"/>
    <n v="0"/>
    <n v="0"/>
    <n v="0"/>
    <n v="0"/>
    <n v="0"/>
    <n v="0"/>
    <n v="8"/>
    <n v="100"/>
    <n v="8"/>
  </r>
  <r>
    <s v="saresistentzia"/>
    <s v="welt"/>
    <m/>
    <m/>
    <m/>
    <m/>
    <m/>
    <m/>
    <m/>
    <m/>
    <s v="No"/>
    <n v="450"/>
    <m/>
    <m/>
    <s v="Replies to"/>
    <x v="325"/>
    <s v="@welt Sagt die demokratisch nicht legitimierte Dame, die sich erst kürzlich knapp 2.500 EUR Gehaltserhöhung, im Monat wohlgemerkt, genehmigt hat._x000a__x000a_Die EU muss untergehen, damit Europa noch eine Chance hat!_x000a__x000a_#DissolveEU #HaltDieFresseSpringerPresse #StandWithRussia #SanctionUkraine #EU"/>
    <m/>
    <m/>
    <s v="dissolveeu haltdiefressespringerpresse standwithrussia sanctionukraine eu"/>
    <m/>
    <s v="https://pbs.twimg.com/profile_images/1522304931037913088/v16u8wKz_normal.jpg"/>
    <d v="2022-09-14T06:25:18.000"/>
    <d v="2022-09-14T00:00:00.000"/>
    <s v="06:25:18"/>
    <s v="https://twitter.com/saresistentzia/status/1569935300507336704"/>
    <m/>
    <m/>
    <s v="1569935300507336704"/>
    <s v="1569907198242836483"/>
    <b v="0"/>
    <n v="0"/>
    <s v="8720562"/>
    <b v="0"/>
    <s v="de"/>
    <m/>
    <s v=""/>
    <b v="0"/>
    <n v="0"/>
    <s v=""/>
    <s v="Twitter for iPhone"/>
    <b v="0"/>
    <s v="1569907198242836483"/>
    <s v="Tweet"/>
    <n v="0"/>
    <n v="0"/>
    <m/>
    <m/>
    <m/>
    <m/>
    <m/>
    <m/>
    <m/>
    <m/>
    <n v="1"/>
    <s v="1"/>
    <s v="1"/>
    <n v="0"/>
    <n v="0"/>
    <n v="3"/>
    <n v="8.333333333333334"/>
    <n v="0"/>
    <n v="0"/>
    <n v="33"/>
    <n v="91.66666666666667"/>
    <n v="36"/>
  </r>
  <r>
    <s v="saresistentzia"/>
    <s v="stagerbn"/>
    <m/>
    <m/>
    <m/>
    <m/>
    <m/>
    <m/>
    <m/>
    <m/>
    <s v="No"/>
    <n v="451"/>
    <m/>
    <m/>
    <s v="Replies to"/>
    <x v="326"/>
    <s v="@stagerbn @Bundeskanzler Wer Waffenlieferungen an diese korrupten Rassisten in diesem Stellvertreterkrieg fordert und unterstützt macht sich gemein mit Kriegsverbrechern in Kiew und Washington._x000a_#ZelenskyWarCriminal #SanctionUkraine #StandWithRussia #DissolveNATO"/>
    <m/>
    <m/>
    <s v="zelenskywarcriminal sanctionukraine standwithrussia dissolvenato"/>
    <m/>
    <s v="https://pbs.twimg.com/profile_images/1522304931037913088/v16u8wKz_normal.jpg"/>
    <d v="2022-09-14T09:15:59.000"/>
    <d v="2022-09-14T00:00:00.000"/>
    <s v="09:15:59"/>
    <s v="https://twitter.com/saresistentzia/status/1569978253468745730"/>
    <m/>
    <m/>
    <s v="1569978253468745730"/>
    <s v="1569905911518400514"/>
    <b v="0"/>
    <n v="3"/>
    <s v="72265312"/>
    <b v="0"/>
    <s v="de"/>
    <m/>
    <s v=""/>
    <b v="0"/>
    <n v="0"/>
    <s v=""/>
    <s v="Twitter for iPhone"/>
    <b v="0"/>
    <s v="1569905911518400514"/>
    <s v="Tweet"/>
    <n v="0"/>
    <n v="0"/>
    <m/>
    <m/>
    <m/>
    <m/>
    <m/>
    <m/>
    <m/>
    <m/>
    <n v="1"/>
    <s v="1"/>
    <s v="1"/>
    <n v="0"/>
    <n v="0"/>
    <n v="0"/>
    <n v="0"/>
    <n v="0"/>
    <n v="0"/>
    <n v="27"/>
    <n v="100"/>
    <n v="27"/>
  </r>
  <r>
    <s v="saresistentzia"/>
    <s v="focusonline"/>
    <m/>
    <m/>
    <m/>
    <m/>
    <m/>
    <m/>
    <m/>
    <m/>
    <s v="No"/>
    <n v="452"/>
    <m/>
    <m/>
    <s v="Replies to"/>
    <x v="327"/>
    <s v="@focusonline Nazi müssen fallen!_x000a_Es darf unter keinen Umständen passieren, dass sich ein rassistisches Regime als militärische Größe im Herzen Europas etabliert._x000a_#StandWithRussia #ZelenskyWarCriminal"/>
    <m/>
    <m/>
    <s v="standwithrussia zelenskywarcriminal"/>
    <m/>
    <s v="https://pbs.twimg.com/profile_images/1522304931037913088/v16u8wKz_normal.jpg"/>
    <d v="2022-09-14T16:30:00.000"/>
    <d v="2022-09-14T00:00:00.000"/>
    <s v="16:30:00"/>
    <s v="https://twitter.com/saresistentzia/status/1570087477381152768"/>
    <m/>
    <m/>
    <s v="1570087477381152768"/>
    <s v="1570080770374467585"/>
    <b v="0"/>
    <n v="4"/>
    <s v="5494392"/>
    <b v="0"/>
    <s v="de"/>
    <m/>
    <s v=""/>
    <b v="0"/>
    <n v="0"/>
    <s v=""/>
    <s v="Twitter for iPhone"/>
    <b v="0"/>
    <s v="1570080770374467585"/>
    <s v="Tweet"/>
    <n v="0"/>
    <n v="0"/>
    <m/>
    <m/>
    <m/>
    <m/>
    <m/>
    <m/>
    <m/>
    <m/>
    <n v="1"/>
    <s v="1"/>
    <s v="1"/>
    <n v="0"/>
    <n v="0"/>
    <n v="1"/>
    <n v="4.166666666666667"/>
    <n v="0"/>
    <n v="0"/>
    <n v="23"/>
    <n v="95.83333333333333"/>
    <n v="24"/>
  </r>
  <r>
    <s v="saresistentzia"/>
    <s v="zelenskaua"/>
    <m/>
    <m/>
    <m/>
    <m/>
    <m/>
    <m/>
    <m/>
    <m/>
    <s v="No"/>
    <n v="453"/>
    <m/>
    <m/>
    <s v="Mentions"/>
    <x v="328"/>
    <s v="@vonderleyen @ZelenskaUA Mrs. Corruption and Mrs. Warcrime. _x000a_What a pair of disgust._x000a__x000a_#DissolveEU #ZelenskyWarCriminal #SanctionUkraine #StandWithRussia"/>
    <m/>
    <m/>
    <s v="dissolveeu zelenskywarcriminal sanctionukraine standwithrussia"/>
    <m/>
    <s v="https://pbs.twimg.com/profile_images/1522304931037913088/v16u8wKz_normal.jpg"/>
    <d v="2022-09-14T17:23:40.000"/>
    <d v="2022-09-14T00:00:00.000"/>
    <s v="17:23:40"/>
    <s v="https://twitter.com/saresistentzia/status/1570100983266426882"/>
    <m/>
    <m/>
    <s v="1570100983266426882"/>
    <s v="1569738345428975622"/>
    <b v="0"/>
    <n v="0"/>
    <s v="1146329871418843136"/>
    <b v="0"/>
    <s v="en"/>
    <m/>
    <s v=""/>
    <b v="0"/>
    <n v="0"/>
    <s v=""/>
    <s v="Twitter for iPhone"/>
    <b v="0"/>
    <s v="1569738345428975622"/>
    <s v="Tweet"/>
    <n v="0"/>
    <n v="0"/>
    <m/>
    <m/>
    <m/>
    <m/>
    <m/>
    <m/>
    <m/>
    <m/>
    <n v="1"/>
    <s v="1"/>
    <s v="1"/>
    <m/>
    <m/>
    <m/>
    <m/>
    <m/>
    <m/>
    <m/>
    <m/>
    <m/>
  </r>
  <r>
    <s v="saresistentzia"/>
    <s v="miro_spd"/>
    <m/>
    <m/>
    <m/>
    <m/>
    <m/>
    <m/>
    <m/>
    <m/>
    <s v="No"/>
    <n v="454"/>
    <m/>
    <m/>
    <s v="Replies to"/>
    <x v="329"/>
    <s v="@MiRo_SPD @tagesschau Keine Unterstützung der korrupten Rassisten in diesem Stellvertreterkrieg, wer Waffen an diese Nazi liefert, begeht Kriegsverbrechen._x000a__x000a_#ZelenskyWarCriminal #SanctionUkraine #DissolveEU #StandWithRussia"/>
    <m/>
    <m/>
    <s v="zelenskywarcriminal sanctionukraine dissolveeu standwithrussia"/>
    <m/>
    <s v="https://pbs.twimg.com/profile_images/1522304931037913088/v16u8wKz_normal.jpg"/>
    <d v="2022-09-15T05:45:20.000"/>
    <d v="2022-09-15T00:00:00.000"/>
    <s v="05:45:20"/>
    <s v="https://twitter.com/saresistentzia/status/1570287633003347975"/>
    <m/>
    <m/>
    <s v="1570287633003347975"/>
    <s v="1570044179467624448"/>
    <b v="0"/>
    <n v="1"/>
    <s v="1114675538"/>
    <b v="0"/>
    <s v="de"/>
    <m/>
    <s v=""/>
    <b v="0"/>
    <n v="0"/>
    <s v=""/>
    <s v="Twitter for iPhone"/>
    <b v="0"/>
    <s v="1570044179467624448"/>
    <s v="Tweet"/>
    <n v="0"/>
    <n v="0"/>
    <m/>
    <m/>
    <m/>
    <m/>
    <m/>
    <m/>
    <m/>
    <m/>
    <n v="1"/>
    <s v="1"/>
    <s v="1"/>
    <m/>
    <m/>
    <m/>
    <m/>
    <m/>
    <m/>
    <m/>
    <m/>
    <m/>
  </r>
  <r>
    <s v="saresistentzia"/>
    <s v="bundeskanzler"/>
    <m/>
    <m/>
    <m/>
    <m/>
    <m/>
    <m/>
    <m/>
    <m/>
    <s v="No"/>
    <n v="457"/>
    <m/>
    <m/>
    <s v="Mentions"/>
    <x v="330"/>
    <s v="@denistrubetskoy @Bundeskanzler Es liegt nicht in deutschem oder europäischem Interesse, ein korruptes rassistisches Nazi-Regime als militärische Größe in Zentraleuropa zu etablieren._x000a__x000a_Keine Waffen an Kiew in diesem Stellvertreterkrieg._x000a__x000a_#ZelenskyWarCriminal #DissolveEU #SanctionUkraine #StandWithRussia"/>
    <m/>
    <m/>
    <s v="zelenskywarcriminal dissolveeu sanctionukraine standwithrussia"/>
    <m/>
    <s v="https://pbs.twimg.com/profile_images/1522304931037913088/v16u8wKz_normal.jpg"/>
    <d v="2022-09-15T06:00:35.000"/>
    <d v="2022-09-15T00:00:00.000"/>
    <s v="06:00:35"/>
    <s v="https://twitter.com/saresistentzia/status/1570291470782824448"/>
    <m/>
    <m/>
    <s v="1570291470782824448"/>
    <s v="1570117846721519618"/>
    <b v="0"/>
    <n v="2"/>
    <s v="45793157"/>
    <b v="0"/>
    <s v="de"/>
    <m/>
    <s v=""/>
    <b v="0"/>
    <n v="1"/>
    <s v=""/>
    <s v="Twitter for iPhone"/>
    <b v="0"/>
    <s v="1570117846721519618"/>
    <s v="Tweet"/>
    <n v="0"/>
    <n v="0"/>
    <m/>
    <m/>
    <m/>
    <m/>
    <m/>
    <m/>
    <m/>
    <m/>
    <n v="3"/>
    <s v="1"/>
    <s v="1"/>
    <m/>
    <m/>
    <m/>
    <m/>
    <m/>
    <m/>
    <m/>
    <m/>
    <m/>
  </r>
  <r>
    <s v="saresistentzia"/>
    <s v="denys_shmyhal"/>
    <m/>
    <m/>
    <m/>
    <m/>
    <m/>
    <m/>
    <m/>
    <m/>
    <s v="No"/>
    <n v="459"/>
    <m/>
    <m/>
    <s v="Mentions"/>
    <x v="331"/>
    <s v="@smartdecoro @vonderleyen @ZelenskyyUa @Denys_Shmyhal Under all circumstances it must be prevented that this corrupt racist Nazi regime is established as a military force in the heart of Europe._x000a__x000a_#DissolveEU #ArrestVdL #SanctionUkraine #StandWithRussia"/>
    <m/>
    <m/>
    <s v="dissolveeu arrestvdl sanctionukraine standwithrussia"/>
    <m/>
    <s v="https://pbs.twimg.com/profile_images/1522304931037913088/v16u8wKz_normal.jpg"/>
    <d v="2022-09-15T16:08:22.000"/>
    <d v="2022-09-15T00:00:00.000"/>
    <s v="16:08:22"/>
    <s v="https://twitter.com/saresistentzia/status/1570444422625599488"/>
    <m/>
    <m/>
    <s v="1570444422625599488"/>
    <s v="1570302924328210432"/>
    <b v="0"/>
    <n v="0"/>
    <s v="79695689"/>
    <b v="0"/>
    <s v="en"/>
    <m/>
    <s v=""/>
    <b v="0"/>
    <n v="0"/>
    <s v=""/>
    <s v="Twitter for iPhone"/>
    <b v="0"/>
    <s v="1570302924328210432"/>
    <s v="Tweet"/>
    <n v="0"/>
    <n v="0"/>
    <m/>
    <m/>
    <m/>
    <m/>
    <m/>
    <m/>
    <m/>
    <m/>
    <n v="1"/>
    <s v="1"/>
    <s v="1"/>
    <m/>
    <m/>
    <m/>
    <m/>
    <m/>
    <m/>
    <m/>
    <m/>
    <m/>
  </r>
  <r>
    <s v="saresistentzia"/>
    <s v="zelenskyyua"/>
    <m/>
    <m/>
    <m/>
    <m/>
    <m/>
    <m/>
    <m/>
    <m/>
    <s v="No"/>
    <n v="462"/>
    <m/>
    <m/>
    <s v="Mentions"/>
    <x v="332"/>
    <s v="@vonderleyen @ZelenskyyUa Die Bandera Obergroupie bekommt eine kleine Aufmerksamkeit als Dank für die Abermillionen europäischer Steuergelder, die ohne demokratische Legitimierung diesen korrupten Rassisten in den Rachen geworfen werden. _x000a_#ArrestVdL #SanctionUkraine #StandWithRussia #DissolveEU"/>
    <m/>
    <m/>
    <s v="arrestvdl sanctionukraine standwithrussia dissolveeu"/>
    <m/>
    <s v="https://pbs.twimg.com/profile_images/1522304931037913088/v16u8wKz_normal.jpg"/>
    <d v="2022-09-15T17:23:52.000"/>
    <d v="2022-09-15T00:00:00.000"/>
    <s v="17:23:52"/>
    <s v="https://twitter.com/saresistentzia/status/1570463421757358082"/>
    <m/>
    <m/>
    <s v="1570463421757358082"/>
    <s v="1570349657821249536"/>
    <b v="0"/>
    <n v="0"/>
    <s v="1146329871418843136"/>
    <b v="0"/>
    <s v="de"/>
    <m/>
    <s v=""/>
    <b v="0"/>
    <n v="0"/>
    <s v=""/>
    <s v="Twitter for iPhone"/>
    <b v="0"/>
    <s v="1570349657821249536"/>
    <s v="Tweet"/>
    <n v="0"/>
    <n v="0"/>
    <m/>
    <m/>
    <m/>
    <m/>
    <m/>
    <m/>
    <m/>
    <m/>
    <n v="2"/>
    <s v="1"/>
    <s v="3"/>
    <m/>
    <m/>
    <m/>
    <m/>
    <m/>
    <m/>
    <m/>
    <m/>
    <m/>
  </r>
  <r>
    <s v="saresistentzia"/>
    <s v="tagesschau"/>
    <m/>
    <m/>
    <m/>
    <m/>
    <m/>
    <m/>
    <m/>
    <m/>
    <s v="No"/>
    <n v="466"/>
    <m/>
    <m/>
    <s v="Replies to"/>
    <x v="333"/>
    <s v="@tagesschau Keine Waffen an ein korruptes rassistisches Regime._x000a_#SanctionUkraine #ZelenskyWarCriminal #StandWithRussia"/>
    <m/>
    <m/>
    <s v="sanctionukraine zelenskywarcriminal standwithrussia"/>
    <m/>
    <s v="https://pbs.twimg.com/profile_images/1522304931037913088/v16u8wKz_normal.jpg"/>
    <d v="2022-09-13T06:15:56.000"/>
    <d v="2022-09-13T00:00:00.000"/>
    <s v="06:15:56"/>
    <s v="https://twitter.com/saresistentzia/status/1569570558387388416"/>
    <m/>
    <m/>
    <s v="1569570558387388416"/>
    <s v="1569547289965858816"/>
    <b v="0"/>
    <n v="0"/>
    <s v="5734902"/>
    <b v="0"/>
    <s v="de"/>
    <m/>
    <s v=""/>
    <b v="0"/>
    <n v="0"/>
    <s v=""/>
    <s v="Twitter for iPhone"/>
    <b v="0"/>
    <s v="1569547289965858816"/>
    <s v="Tweet"/>
    <n v="0"/>
    <n v="0"/>
    <m/>
    <m/>
    <m/>
    <m/>
    <m/>
    <m/>
    <m/>
    <m/>
    <n v="4"/>
    <s v="1"/>
    <s v="1"/>
    <n v="0"/>
    <n v="0"/>
    <n v="0"/>
    <n v="0"/>
    <n v="0"/>
    <n v="0"/>
    <n v="11"/>
    <n v="100"/>
    <n v="11"/>
  </r>
  <r>
    <s v="saresistentzia"/>
    <s v="tagesschau"/>
    <m/>
    <m/>
    <m/>
    <m/>
    <m/>
    <m/>
    <m/>
    <m/>
    <s v="No"/>
    <n v="467"/>
    <m/>
    <m/>
    <s v="Replies to"/>
    <x v="334"/>
    <s v="@tagesschau Wer Waffenlieferungen an dieses korrupte rassistische Nazi-Regime in diesem Stellvertreterkrieg fordert und unterstützt, macht sich gemein mit den Kriegsverbrechern in Kiew und Washington._x000a__x000a_#ZelenskyWarCriminal #SanctionUkraine #DissolveNATO #DissolveEU #StandWithRussia"/>
    <m/>
    <m/>
    <s v="zelenskywarcriminal sanctionukraine dissolvenato dissolveeu standwithrussia"/>
    <m/>
    <s v="https://pbs.twimg.com/profile_images/1522304931037913088/v16u8wKz_normal.jpg"/>
    <d v="2022-09-14T16:15:41.000"/>
    <d v="2022-09-14T00:00:00.000"/>
    <s v="16:15:41"/>
    <s v="https://twitter.com/saresistentzia/status/1570083874553712640"/>
    <m/>
    <m/>
    <s v="1570083874553712640"/>
    <s v="1570082647162130433"/>
    <b v="0"/>
    <n v="6"/>
    <s v="5734902"/>
    <b v="0"/>
    <s v="de"/>
    <m/>
    <s v=""/>
    <b v="0"/>
    <n v="0"/>
    <s v=""/>
    <s v="Twitter for iPhone"/>
    <b v="0"/>
    <s v="1570082647162130433"/>
    <s v="Tweet"/>
    <n v="0"/>
    <n v="0"/>
    <m/>
    <m/>
    <m/>
    <m/>
    <m/>
    <m/>
    <m/>
    <m/>
    <n v="4"/>
    <s v="1"/>
    <s v="1"/>
    <n v="0"/>
    <n v="0"/>
    <n v="0"/>
    <n v="0"/>
    <n v="0"/>
    <n v="0"/>
    <n v="30"/>
    <n v="100"/>
    <n v="30"/>
  </r>
  <r>
    <s v="saresistentzia"/>
    <s v="tagesschau"/>
    <m/>
    <m/>
    <m/>
    <m/>
    <m/>
    <m/>
    <m/>
    <m/>
    <s v="No"/>
    <n v="469"/>
    <m/>
    <m/>
    <s v="Replies to"/>
    <x v="335"/>
    <s v="@tagesschau Es kann doch nicht im Interesse Europas oder gar Deutschlands sein, ein Nazi-Regime als militärische Größe im Herzen Europas zu etablieren. _x000a_Solch Dystopie darf nicht zu unserer Realität werden._x000a__x000a_#ArrestVdL #SanctionUkraine #ZelenskyWarCriminal #StandWithRussia"/>
    <m/>
    <m/>
    <s v="arrestvdl sanctionukraine zelenskywarcriminal standwithrussia"/>
    <m/>
    <s v="https://pbs.twimg.com/profile_images/1522304931037913088/v16u8wKz_normal.jpg"/>
    <d v="2022-09-15T19:23:12.000"/>
    <d v="2022-09-15T00:00:00.000"/>
    <s v="19:23:12"/>
    <s v="https://twitter.com/saresistentzia/status/1570493452902895616"/>
    <m/>
    <m/>
    <s v="1570493452902895616"/>
    <s v="1570487773920120834"/>
    <b v="0"/>
    <n v="1"/>
    <s v="5734902"/>
    <b v="0"/>
    <s v="de"/>
    <m/>
    <s v=""/>
    <b v="0"/>
    <n v="0"/>
    <s v=""/>
    <s v="Twitter for iPhone"/>
    <b v="0"/>
    <s v="1570487773920120834"/>
    <s v="Tweet"/>
    <n v="0"/>
    <n v="0"/>
    <m/>
    <m/>
    <m/>
    <m/>
    <m/>
    <m/>
    <m/>
    <m/>
    <n v="4"/>
    <s v="1"/>
    <s v="1"/>
    <n v="0"/>
    <n v="0"/>
    <n v="0"/>
    <n v="0"/>
    <n v="0"/>
    <n v="0"/>
    <n v="35"/>
    <n v="100"/>
    <n v="35"/>
  </r>
  <r>
    <s v="saresistentzia"/>
    <s v="saresistentzia"/>
    <m/>
    <m/>
    <m/>
    <m/>
    <m/>
    <m/>
    <m/>
    <m/>
    <s v="No"/>
    <n v="470"/>
    <m/>
    <m/>
    <s v="Tweet"/>
    <x v="336"/>
    <s v="NATO sponsored Ukrainian rocket hits Kindergarten in Donbass _x000a_(not the first one since 2014)._x000a__x000a_#ZelenskyWarCriminal #SanctionUkraine #DissolveNATO_x000a_#StandWithRussia_x000a_ https://t.co/ltcxXZnNBU"/>
    <m/>
    <m/>
    <s v="zelenskywarcriminal sanctionukraine dissolvenato standwithrussia"/>
    <s v="https://pbs.twimg.com/ext_tw_video_thumb/1569990463913852929/pu/img/jtvBzzGtZsaI9lVF.jpg"/>
    <s v="https://pbs.twimg.com/ext_tw_video_thumb/1569990463913852929/pu/img/jtvBzzGtZsaI9lVF.jpg"/>
    <d v="2022-09-14T12:58:31.000"/>
    <d v="2022-09-14T00:00:00.000"/>
    <s v="12:58:31"/>
    <s v="https://twitter.com/saresistentzia/status/1570034256658984966"/>
    <m/>
    <m/>
    <s v="1570034256658984966"/>
    <m/>
    <b v="0"/>
    <n v="1"/>
    <s v=""/>
    <b v="0"/>
    <s v="en"/>
    <m/>
    <s v=""/>
    <b v="0"/>
    <n v="1"/>
    <s v=""/>
    <s v="Twitter for iPhone"/>
    <b v="0"/>
    <s v="1570034256658984966"/>
    <s v="Tweet"/>
    <n v="0"/>
    <n v="0"/>
    <m/>
    <m/>
    <m/>
    <m/>
    <m/>
    <m/>
    <m/>
    <m/>
    <n v="1"/>
    <s v="1"/>
    <s v="1"/>
    <n v="0"/>
    <n v="0"/>
    <n v="0"/>
    <n v="0"/>
    <n v="0"/>
    <n v="0"/>
    <n v="18"/>
    <n v="100"/>
    <n v="18"/>
  </r>
  <r>
    <s v="seekingreader"/>
    <s v="seekingreader"/>
    <m/>
    <m/>
    <m/>
    <m/>
    <m/>
    <m/>
    <m/>
    <m/>
    <s v="No"/>
    <n v="471"/>
    <m/>
    <m/>
    <s v="Tweet"/>
    <x v="337"/>
    <s v="Und wann es in #Europa so richtig kalt wird und ihr und eure Kinder und älteren friert dann denkt daran für wem ihr das macht #Ukraine ist euch sicher dankbar. #supportrussia #StandWithRussia https://t.co/ydqIm895Y5"/>
    <m/>
    <m/>
    <s v="europa ukraine supportrussia standwithrussia"/>
    <s v="https://pbs.twimg.com/media/FcuF81lWQAAbFzL.jpg"/>
    <s v="https://pbs.twimg.com/media/FcuF81lWQAAbFzL.jpg"/>
    <d v="2022-09-15T19:34:02.000"/>
    <d v="2022-09-15T00:00:00.000"/>
    <s v="19:34:02"/>
    <s v="https://twitter.com/seekingreader/status/1570496179234033666"/>
    <m/>
    <m/>
    <s v="1570496179234033666"/>
    <m/>
    <b v="0"/>
    <n v="0"/>
    <s v=""/>
    <b v="0"/>
    <s v="de"/>
    <m/>
    <s v=""/>
    <b v="0"/>
    <n v="0"/>
    <s v=""/>
    <s v="Twitter for iPhone"/>
    <b v="0"/>
    <s v="1570496179234033666"/>
    <s v="Tweet"/>
    <n v="0"/>
    <n v="0"/>
    <m/>
    <m/>
    <m/>
    <m/>
    <m/>
    <m/>
    <m/>
    <m/>
    <n v="1"/>
    <s v="2"/>
    <s v="2"/>
    <n v="0"/>
    <n v="0"/>
    <n v="0"/>
    <n v="0"/>
    <n v="0"/>
    <n v="0"/>
    <n v="32"/>
    <n v="100"/>
    <n v="3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47"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22">
    <i>
      <x v="1"/>
    </i>
    <i r="1">
      <x v="2"/>
    </i>
    <i r="2">
      <x v="59"/>
    </i>
    <i r="1">
      <x v="3"/>
    </i>
    <i r="2">
      <x v="65"/>
    </i>
    <i r="1">
      <x v="5"/>
    </i>
    <i r="2">
      <x v="124"/>
    </i>
    <i r="2">
      <x v="125"/>
    </i>
    <i r="1">
      <x v="9"/>
    </i>
    <i r="2">
      <x v="246"/>
    </i>
    <i r="2">
      <x v="248"/>
    </i>
    <i r="2">
      <x v="249"/>
    </i>
    <i r="2">
      <x v="251"/>
    </i>
    <i r="2">
      <x v="252"/>
    </i>
    <i r="2">
      <x v="253"/>
    </i>
    <i r="2">
      <x v="254"/>
    </i>
    <i r="2">
      <x v="255"/>
    </i>
    <i r="2">
      <x v="256"/>
    </i>
    <i r="2">
      <x v="257"/>
    </i>
    <i r="2">
      <x v="258"/>
    </i>
    <i r="2">
      <x v="259"/>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N471" totalsRowShown="0" headerRowDxfId="501" dataDxfId="465">
  <autoFilter ref="A2:BN471"/>
  <tableColumns count="66">
    <tableColumn id="1" name="Vertex 1" dataDxfId="450"/>
    <tableColumn id="2" name="Vertex 2" dataDxfId="448"/>
    <tableColumn id="3" name="Color" dataDxfId="449"/>
    <tableColumn id="4" name="Width" dataDxfId="474"/>
    <tableColumn id="11" name="Style" dataDxfId="473"/>
    <tableColumn id="5" name="Opacity" dataDxfId="472"/>
    <tableColumn id="6" name="Visibility" dataDxfId="471"/>
    <tableColumn id="10" name="Label" dataDxfId="470"/>
    <tableColumn id="12" name="Label Text Color" dataDxfId="469"/>
    <tableColumn id="13" name="Label Font Size" dataDxfId="468"/>
    <tableColumn id="14" name="Reciprocated?" dataDxfId="354"/>
    <tableColumn id="7" name="ID" dataDxfId="467"/>
    <tableColumn id="9" name="Dynamic Filter" dataDxfId="466"/>
    <tableColumn id="8" name="Add Your Own Columns Here" dataDxfId="447"/>
    <tableColumn id="15" name="Relationship" dataDxfId="446"/>
    <tableColumn id="16" name="Relationship Date (UTC)" dataDxfId="445"/>
    <tableColumn id="17" name="Tweet" dataDxfId="444"/>
    <tableColumn id="18" name="URLs in Tweet" dataDxfId="443"/>
    <tableColumn id="19" name="Domains in Tweet" dataDxfId="442"/>
    <tableColumn id="20" name="Hashtags in Tweet" dataDxfId="441"/>
    <tableColumn id="21" name="Media in Tweet" dataDxfId="440"/>
    <tableColumn id="22" name="Tweet Image File" dataDxfId="439"/>
    <tableColumn id="23" name="Tweet Date (UTC)" dataDxfId="438"/>
    <tableColumn id="24" name="Date" dataDxfId="437"/>
    <tableColumn id="25" name="Time" dataDxfId="436"/>
    <tableColumn id="26" name="Twitter Page for Tweet" dataDxfId="435"/>
    <tableColumn id="27" name="Latitude" dataDxfId="434"/>
    <tableColumn id="28" name="Longitude" dataDxfId="433"/>
    <tableColumn id="29" name="Imported ID" dataDxfId="432"/>
    <tableColumn id="30" name="In-Reply-To Tweet ID" dataDxfId="431"/>
    <tableColumn id="31" name="Favorited" dataDxfId="430"/>
    <tableColumn id="32" name="Favorite Count" dataDxfId="429"/>
    <tableColumn id="33" name="In-Reply-To User ID" dataDxfId="428"/>
    <tableColumn id="34" name="Is Quote Status" dataDxfId="427"/>
    <tableColumn id="35" name="Language" dataDxfId="426"/>
    <tableColumn id="36" name="Possibly Sensitive" dataDxfId="425"/>
    <tableColumn id="37" name="Quoted Status ID" dataDxfId="424"/>
    <tableColumn id="38" name="Retweeted" dataDxfId="423"/>
    <tableColumn id="39" name="Retweet Count" dataDxfId="422"/>
    <tableColumn id="40" name="Retweet ID" dataDxfId="421"/>
    <tableColumn id="41" name="Source" dataDxfId="420"/>
    <tableColumn id="42" name="Truncated" dataDxfId="419"/>
    <tableColumn id="43" name="Unified Twitter ID" dataDxfId="418"/>
    <tableColumn id="44" name="Imported Tweet Type" dataDxfId="417"/>
    <tableColumn id="45" name="Added By Extended Analysis" dataDxfId="416"/>
    <tableColumn id="46" name="Corrected By Extended Analysis" dataDxfId="415"/>
    <tableColumn id="47" name="Place Bounding Box" dataDxfId="414"/>
    <tableColumn id="48" name="Place Country" dataDxfId="413"/>
    <tableColumn id="49" name="Place Country Code" dataDxfId="412"/>
    <tableColumn id="50" name="Place Full Name" dataDxfId="411"/>
    <tableColumn id="51" name="Place ID" dataDxfId="410"/>
    <tableColumn id="52" name="Place Name" dataDxfId="409"/>
    <tableColumn id="53" name="Place Type" dataDxfId="408"/>
    <tableColumn id="54" name="Place URL" dataDxfId="407"/>
    <tableColumn id="55" name="Edge Weight"/>
    <tableColumn id="56" name="Vertex 1 Group" dataDxfId="369">
      <calculatedColumnFormula>REPLACE(INDEX(GroupVertices[Group], MATCH(Edges[[#This Row],[Vertex 1]],GroupVertices[Vertex],0)),1,1,"")</calculatedColumnFormula>
    </tableColumn>
    <tableColumn id="57" name="Vertex 2 Group" dataDxfId="330">
      <calculatedColumnFormula>REPLACE(INDEX(GroupVertices[Group], MATCH(Edges[[#This Row],[Vertex 2]],GroupVertices[Vertex],0)),1,1,"")</calculatedColumnFormula>
    </tableColumn>
    <tableColumn id="58" name="Sentiment List #1: List1 Word Count" dataDxfId="329"/>
    <tableColumn id="59" name="Sentiment List #1: List1 Word Percentage (%)" dataDxfId="328"/>
    <tableColumn id="60" name="Sentiment List #2: List2 Word Count" dataDxfId="327"/>
    <tableColumn id="61" name="Sentiment List #2: List2 Word Percentage (%)" dataDxfId="326"/>
    <tableColumn id="62" name="Sentiment List #3: List3 Word Count" dataDxfId="325"/>
    <tableColumn id="63" name="Sentiment List #3: List3 Word Percentage (%)" dataDxfId="324"/>
    <tableColumn id="64" name="Non-categorized Word Count" dataDxfId="323"/>
    <tableColumn id="65" name="Non-categorized Word Percentage (%)" dataDxfId="322"/>
    <tableColumn id="66" name="Edge Content Word Count" dataDxfId="32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41" totalsRowShown="0" headerRowDxfId="353" dataDxfId="352">
  <autoFilter ref="A1:G1441"/>
  <tableColumns count="7">
    <tableColumn id="1" name="Word" dataDxfId="351"/>
    <tableColumn id="2" name="Count" dataDxfId="350"/>
    <tableColumn id="3" name="Salience" dataDxfId="349"/>
    <tableColumn id="4" name="Group" dataDxfId="348"/>
    <tableColumn id="5" name="Word on Sentiment List #1: List1" dataDxfId="347"/>
    <tableColumn id="6" name="Word on Sentiment List #2: List2" dataDxfId="346"/>
    <tableColumn id="7" name="Word on Sentiment List #3: List3" dataDxfId="34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35" totalsRowShown="0" headerRowDxfId="344" dataDxfId="343">
  <autoFilter ref="A1:L1435"/>
  <tableColumns count="12">
    <tableColumn id="1" name="Word 1" dataDxfId="342"/>
    <tableColumn id="2" name="Word 2" dataDxfId="341"/>
    <tableColumn id="3" name="Count" dataDxfId="340"/>
    <tableColumn id="4" name="Salience" dataDxfId="339"/>
    <tableColumn id="5" name="Mutual Information" dataDxfId="338"/>
    <tableColumn id="6" name="Group" dataDxfId="337"/>
    <tableColumn id="7" name="Word1 on Sentiment List #1: List1" dataDxfId="336"/>
    <tableColumn id="8" name="Word1 on Sentiment List #2: List2" dataDxfId="335"/>
    <tableColumn id="9" name="Word1 on Sentiment List #3: List3" dataDxfId="334"/>
    <tableColumn id="10" name="Word2 on Sentiment List #1: List1" dataDxfId="333"/>
    <tableColumn id="11" name="Word2 on Sentiment List #2: List2" dataDxfId="332"/>
    <tableColumn id="12" name="Word2 on Sentiment List #3: List3" dataDxfId="331"/>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71" totalsRowShown="0" headerRowDxfId="302" dataDxfId="301">
  <autoFilter ref="A2:C7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6.xml><?xml version="1.0" encoding="utf-8"?>
<table xmlns="http://schemas.openxmlformats.org/spreadsheetml/2006/main" id="24" name="Edges25" displayName="Edges25" ref="A2:BN341" totalsRowShown="0" headerRowDxfId="66" dataDxfId="65">
  <autoFilter ref="A2:BN34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MATCH(Edges25[[#This Row],[Vertex 1]],GroupVertices[Vertex],0)),1,1,"")</calculatedColumnFormula>
    </tableColumn>
    <tableColumn id="57" name="Vertex 2 Group" dataDxfId="9">
      <calculatedColumnFormula>REPLACE(INDEX(GroupVertices[Group], MATCH(Edges25[[#This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7.xml><?xml version="1.0" encoding="utf-8"?>
<table xmlns="http://schemas.openxmlformats.org/spreadsheetml/2006/main" id="16"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18.xml><?xml version="1.0" encoding="utf-8"?>
<table xmlns="http://schemas.openxmlformats.org/spreadsheetml/2006/main" id="17"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19.xml><?xml version="1.0" encoding="utf-8"?>
<table xmlns="http://schemas.openxmlformats.org/spreadsheetml/2006/main" id="18"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30" totalsRowShown="0" headerRowDxfId="500" dataDxfId="451">
  <autoFilter ref="A2:BT330"/>
  <tableColumns count="72">
    <tableColumn id="1" name="Vertex" dataDxfId="464"/>
    <tableColumn id="2" name="Color" dataDxfId="463"/>
    <tableColumn id="5" name="Shape" dataDxfId="462"/>
    <tableColumn id="6" name="Size" dataDxfId="461"/>
    <tableColumn id="4" name="Opacity" dataDxfId="386"/>
    <tableColumn id="7" name="Image File" dataDxfId="384"/>
    <tableColumn id="3" name="Visibility" dataDxfId="385"/>
    <tableColumn id="10" name="Label" dataDxfId="460"/>
    <tableColumn id="16" name="Label Fill Color" dataDxfId="459"/>
    <tableColumn id="9" name="Label Position" dataDxfId="380"/>
    <tableColumn id="8" name="Tooltip" dataDxfId="378"/>
    <tableColumn id="18" name="Layout Order" dataDxfId="379"/>
    <tableColumn id="13" name="X" dataDxfId="458"/>
    <tableColumn id="14" name="Y" dataDxfId="457"/>
    <tableColumn id="12" name="Locked?" dataDxfId="456"/>
    <tableColumn id="19" name="Polar R" dataDxfId="455"/>
    <tableColumn id="20" name="Polar Angle" dataDxfId="454"/>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53"/>
    <tableColumn id="28" name="Dynamic Filter" dataDxfId="452"/>
    <tableColumn id="17" name="Add Your Own Columns Here" dataDxfId="406"/>
    <tableColumn id="30" name="Name" dataDxfId="405"/>
    <tableColumn id="31" name="User ID" dataDxfId="404"/>
    <tableColumn id="32" name="Followed" dataDxfId="403"/>
    <tableColumn id="33" name="Followers" dataDxfId="402"/>
    <tableColumn id="34" name="Tweets" dataDxfId="401"/>
    <tableColumn id="35" name="Favorites" dataDxfId="400"/>
    <tableColumn id="36" name="Time Zone UTC Offset (Seconds)" dataDxfId="399"/>
    <tableColumn id="37" name="Description" dataDxfId="398"/>
    <tableColumn id="38" name="Location" dataDxfId="397"/>
    <tableColumn id="39" name="Web" dataDxfId="396"/>
    <tableColumn id="40" name="Time Zone" dataDxfId="395"/>
    <tableColumn id="41" name="Joined Twitter Date (UTC)" dataDxfId="394"/>
    <tableColumn id="42" name="Profile Banner Url" dataDxfId="393"/>
    <tableColumn id="43" name="Default Profile" dataDxfId="392"/>
    <tableColumn id="44" name="Default Profile Image" dataDxfId="391"/>
    <tableColumn id="45" name="Geo Enabled" dataDxfId="390"/>
    <tableColumn id="46" name="Language" dataDxfId="389"/>
    <tableColumn id="47" name="Listed Count" dataDxfId="388"/>
    <tableColumn id="48" name="Profile Background Image Url" dataDxfId="387"/>
    <tableColumn id="49" name="Verified" dataDxfId="383"/>
    <tableColumn id="50" name="Custom Menu Item Text" dataDxfId="382"/>
    <tableColumn id="51" name="Custom Menu Item Action" dataDxfId="381"/>
    <tableColumn id="52" name="Tweeted Search Term?" dataDxfId="370"/>
    <tableColumn id="53" name="Vertex Group" dataDxfId="320">
      <calculatedColumnFormula>REPLACE(INDEX(GroupVertices[Group], MATCH(Vertices[[#This Row],[Vertex]],GroupVertices[Vertex],0)),1,1,"")</calculatedColumnFormula>
    </tableColumn>
    <tableColumn id="54" name="Sentiment List #1: List1 Word Count" dataDxfId="319"/>
    <tableColumn id="55" name="Sentiment List #1: List1 Word Percentage (%)" dataDxfId="318"/>
    <tableColumn id="56" name="Sentiment List #2: List2 Word Count" dataDxfId="317"/>
    <tableColumn id="57" name="Sentiment List #2: List2 Word Percentage (%)" dataDxfId="316"/>
    <tableColumn id="58" name="Sentiment List #3: List3 Word Count" dataDxfId="315"/>
    <tableColumn id="59" name="Sentiment List #3: List3 Word Percentage (%)" dataDxfId="314"/>
    <tableColumn id="60" name="Non-categorized Word Count" dataDxfId="313"/>
    <tableColumn id="61" name="Non-categorized Word Percentage (%)" dataDxfId="312"/>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1.xml><?xml version="1.0" encoding="utf-8"?>
<table xmlns="http://schemas.openxmlformats.org/spreadsheetml/2006/main" id="20"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6" displayName="NetworkTopItems_6" ref="A65:V75" totalsRowShown="0" headerRowDxfId="153" dataDxfId="152">
  <autoFilter ref="A65: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3.xml><?xml version="1.0" encoding="utf-8"?>
<table xmlns="http://schemas.openxmlformats.org/spreadsheetml/2006/main" id="22"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4.xml><?xml version="1.0" encoding="utf-8"?>
<table xmlns="http://schemas.openxmlformats.org/spreadsheetml/2006/main" id="23"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1" totalsRowShown="0" headerRowDxfId="499">
  <autoFilter ref="A2:AO61"/>
  <tableColumns count="41">
    <tableColumn id="1" name="Group" dataDxfId="377"/>
    <tableColumn id="2" name="Vertex Color" dataDxfId="376"/>
    <tableColumn id="3" name="Vertex Shape" dataDxfId="374"/>
    <tableColumn id="22" name="Visibility" dataDxfId="375"/>
    <tableColumn id="4" name="Collapsed?"/>
    <tableColumn id="18" name="Label" dataDxfId="498"/>
    <tableColumn id="20" name="Collapsed X"/>
    <tableColumn id="21" name="Collapsed Y"/>
    <tableColumn id="6" name="ID" dataDxfId="497"/>
    <tableColumn id="19" name="Collapsed Properties" dataDxfId="368"/>
    <tableColumn id="5" name="Vertices" dataDxfId="367"/>
    <tableColumn id="7" name="Unique Edges" dataDxfId="366"/>
    <tableColumn id="8" name="Edges With Duplicates" dataDxfId="365"/>
    <tableColumn id="9" name="Total Edges" dataDxfId="364"/>
    <tableColumn id="10" name="Self-Loops" dataDxfId="363"/>
    <tableColumn id="24" name="Reciprocated Vertex Pair Ratio" dataDxfId="362"/>
    <tableColumn id="25" name="Reciprocated Edge Ratio" dataDxfId="361"/>
    <tableColumn id="11" name="Connected Components" dataDxfId="360"/>
    <tableColumn id="12" name="Single-Vertex Connected Components" dataDxfId="359"/>
    <tableColumn id="13" name="Maximum Vertices in a Connected Component" dataDxfId="358"/>
    <tableColumn id="14" name="Maximum Edges in a Connected Component" dataDxfId="357"/>
    <tableColumn id="15" name="Maximum Geodesic Distance (Diameter)" dataDxfId="356"/>
    <tableColumn id="16" name="Average Geodesic Distance" dataDxfId="355"/>
    <tableColumn id="17" name="Graph Density" dataDxfId="311"/>
    <tableColumn id="23" name="Sentiment List #1: List1 Word Count" dataDxfId="310"/>
    <tableColumn id="26" name="Sentiment List #1: List1 Word Percentage (%)" dataDxfId="309"/>
    <tableColumn id="27" name="Sentiment List #2: List2 Word Count" dataDxfId="308"/>
    <tableColumn id="28" name="Sentiment List #2: List2 Word Percentage (%)" dataDxfId="307"/>
    <tableColumn id="29" name="Sentiment List #3: List3 Word Count" dataDxfId="306"/>
    <tableColumn id="30" name="Sentiment List #3: List3 Word Percentage (%)" dataDxfId="305"/>
    <tableColumn id="31" name="Non-categorized Word Count" dataDxfId="304"/>
    <tableColumn id="32" name="Non-categorized Word Percentage (%)" dataDxfId="30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9" totalsRowShown="0" headerRowDxfId="496" dataDxfId="495">
  <autoFilter ref="A1:C329"/>
  <tableColumns count="3">
    <tableColumn id="1" name="Group" dataDxfId="373"/>
    <tableColumn id="2" name="Vertex" dataDxfId="372"/>
    <tableColumn id="3" name="Vertex ID" dataDxfId="37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94"/>
    <tableColumn id="2" name="Degree Frequency" dataDxfId="493">
      <calculatedColumnFormula>COUNTIF(Vertices[Degree], "&gt;= " &amp; D2) - COUNTIF(Vertices[Degree], "&gt;=" &amp; D3)</calculatedColumnFormula>
    </tableColumn>
    <tableColumn id="3" name="In-Degree Bin" dataDxfId="492"/>
    <tableColumn id="4" name="In-Degree Frequency" dataDxfId="491">
      <calculatedColumnFormula>COUNTIF(Vertices[In-Degree], "&gt;= " &amp; F2) - COUNTIF(Vertices[In-Degree], "&gt;=" &amp; F3)</calculatedColumnFormula>
    </tableColumn>
    <tableColumn id="5" name="Out-Degree Bin" dataDxfId="490"/>
    <tableColumn id="6" name="Out-Degree Frequency" dataDxfId="489">
      <calculatedColumnFormula>COUNTIF(Vertices[Out-Degree], "&gt;= " &amp; H2) - COUNTIF(Vertices[Out-Degree], "&gt;=" &amp; H3)</calculatedColumnFormula>
    </tableColumn>
    <tableColumn id="7" name="Betweenness Centrality Bin" dataDxfId="488"/>
    <tableColumn id="8" name="Betweenness Centrality Frequency" dataDxfId="487">
      <calculatedColumnFormula>COUNTIF(Vertices[Betweenness Centrality], "&gt;= " &amp; J2) - COUNTIF(Vertices[Betweenness Centrality], "&gt;=" &amp; J3)</calculatedColumnFormula>
    </tableColumn>
    <tableColumn id="9" name="Closeness Centrality Bin" dataDxfId="486"/>
    <tableColumn id="10" name="Closeness Centrality Frequency" dataDxfId="485">
      <calculatedColumnFormula>COUNTIF(Vertices[Closeness Centrality], "&gt;= " &amp; L2) - COUNTIF(Vertices[Closeness Centrality], "&gt;=" &amp; L3)</calculatedColumnFormula>
    </tableColumn>
    <tableColumn id="11" name="Eigenvector Centrality Bin" dataDxfId="484"/>
    <tableColumn id="12" name="Eigenvector Centrality Frequency" dataDxfId="483">
      <calculatedColumnFormula>COUNTIF(Vertices[Eigenvector Centrality], "&gt;= " &amp; N2) - COUNTIF(Vertices[Eigenvector Centrality], "&gt;=" &amp; N3)</calculatedColumnFormula>
    </tableColumn>
    <tableColumn id="18" name="PageRank Bin" dataDxfId="482"/>
    <tableColumn id="17" name="PageRank Frequency" dataDxfId="481">
      <calculatedColumnFormula>COUNTIF(Vertices[Eigenvector Centrality], "&gt;= " &amp; P2) - COUNTIF(Vertices[Eigenvector Centrality], "&gt;=" &amp; P3)</calculatedColumnFormula>
    </tableColumn>
    <tableColumn id="13" name="Clustering Coefficient Bin" dataDxfId="480"/>
    <tableColumn id="14" name="Clustering Coefficient Frequency" dataDxfId="479">
      <calculatedColumnFormula>COUNTIF(Vertices[Clustering Coefficient], "&gt;= " &amp; R2) - COUNTIF(Vertices[Clustering Coefficient], "&gt;=" &amp; R3)</calculatedColumnFormula>
    </tableColumn>
    <tableColumn id="15" name="Dynamic Filter Bin" dataDxfId="478"/>
    <tableColumn id="16" name="Dynamic Filter Frequency" dataDxfId="4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8" totalsRowShown="0" headerRowDxfId="476">
  <autoFilter ref="J1:K28"/>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table" Target="../tables/table16.xml" /><Relationship Id="rId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hyperlink" Target="https://www.lesechos.fr/monde/enjeux-internationaux/les-etats-unis-reclament-lunite-des-allies-contre-la-russie-1787144?xtor=CS4-6235" TargetMode="External" /><Relationship Id="rId2" Type="http://schemas.openxmlformats.org/officeDocument/2006/relationships/hyperlink" Target="https://www.youtube.com/watch?v=PMOHqsUyk7Y&amp;feature=youtu.be" TargetMode="External" /><Relationship Id="rId3" Type="http://schemas.openxmlformats.org/officeDocument/2006/relationships/hyperlink" Target="https://www.youtube.com/watch?v=V75pj41VFGk" TargetMode="External" /><Relationship Id="rId4" Type="http://schemas.openxmlformats.org/officeDocument/2006/relationships/hyperlink" Target="https://www.youtube.com/watch?v=ejG32fwnsV4&amp;feature=youtu.be" TargetMode="External" /><Relationship Id="rId5" Type="http://schemas.openxmlformats.org/officeDocument/2006/relationships/hyperlink" Target="https://www.restaurant-kiev.com/" TargetMode="External" /><Relationship Id="rId6" Type="http://schemas.openxmlformats.org/officeDocument/2006/relationships/hyperlink" Target="https://ameblo.jp/historical-gay/entry-10222227037.html" TargetMode="External" /><Relationship Id="rId7" Type="http://schemas.openxmlformats.org/officeDocument/2006/relationships/hyperlink" Target="https://www.youtube.com/watch?v=uHIVevq290k&amp;feature=youtu.be" TargetMode="External" /><Relationship Id="rId8" Type="http://schemas.openxmlformats.org/officeDocument/2006/relationships/hyperlink" Target="https://twitter.com/MaxDfelladius/status/1569308389137649669" TargetMode="External" /><Relationship Id="rId9" Type="http://schemas.openxmlformats.org/officeDocument/2006/relationships/hyperlink" Target="https://arxiv.org/pdf/2208.07038.pdf" TargetMode="External" /><Relationship Id="rId10" Type="http://schemas.openxmlformats.org/officeDocument/2006/relationships/hyperlink" Target="https://twitter.com/chicohalS/status/1570009415805190147" TargetMode="External" /><Relationship Id="rId11" Type="http://schemas.openxmlformats.org/officeDocument/2006/relationships/hyperlink" Target="https://roma.mid.ru/it/press-centre/commento_della_rappresentante_ufficiale_del_ministero_degli_affari_esteri_della_federazione_russa_ma/" TargetMode="External" /><Relationship Id="rId12" Type="http://schemas.openxmlformats.org/officeDocument/2006/relationships/hyperlink" Target="https://www.reuters.com/world/europe/tens-thousands-protest-prague-against-czech-government-eu-nato-2022-09-03/" TargetMode="External" /><Relationship Id="rId13" Type="http://schemas.openxmlformats.org/officeDocument/2006/relationships/hyperlink" Target="https://twitter.com/DanielsonKassa1/status/1569891516281245697" TargetMode="External" /><Relationship Id="rId14" Type="http://schemas.openxmlformats.org/officeDocument/2006/relationships/hyperlink" Target="https://www.restaurant-kiev.com/" TargetMode="External" /><Relationship Id="rId15" Type="http://schemas.openxmlformats.org/officeDocument/2006/relationships/hyperlink" Target="https://www.youtube.com/watch?v=PMOHqsUyk7Y&amp;feature=youtu.be" TargetMode="External" /><Relationship Id="rId16" Type="http://schemas.openxmlformats.org/officeDocument/2006/relationships/hyperlink" Target="https://www.youtube.com/watch?v=V75pj41VFGk" TargetMode="External" /><Relationship Id="rId17" Type="http://schemas.openxmlformats.org/officeDocument/2006/relationships/hyperlink" Target="https://www.youtube.com/watch?v=ejG32fwnsV4&amp;feature=youtu.be" TargetMode="External" /><Relationship Id="rId18" Type="http://schemas.openxmlformats.org/officeDocument/2006/relationships/hyperlink" Target="https://ameblo.jp/historical-gay/entry-10222227037.html" TargetMode="External" /><Relationship Id="rId19" Type="http://schemas.openxmlformats.org/officeDocument/2006/relationships/hyperlink" Target="https://www.youtube.com/watch?v=uHIVevq290k&amp;feature=youtu.be" TargetMode="External" /><Relationship Id="rId20" Type="http://schemas.openxmlformats.org/officeDocument/2006/relationships/hyperlink" Target="https://twitter.com/MMerangul/status/1568596784678666250" TargetMode="External" /><Relationship Id="rId21" Type="http://schemas.openxmlformats.org/officeDocument/2006/relationships/hyperlink" Target="https://twitter.com/mathematic1313/status/1548439504783978499" TargetMode="External" /><Relationship Id="rId22" Type="http://schemas.openxmlformats.org/officeDocument/2006/relationships/hyperlink" Target="https://twitter.com/ArthurM40330824/status/1567605573222277121" TargetMode="External" /><Relationship Id="rId23" Type="http://schemas.openxmlformats.org/officeDocument/2006/relationships/hyperlink" Target="https://twitter.com/mdfzeh/status/1568260918512951296" TargetMode="External" /><Relationship Id="rId24" Type="http://schemas.openxmlformats.org/officeDocument/2006/relationships/hyperlink" Target="https://twitter.com/AZmilitary1/status/1569795425397268481" TargetMode="External" /><Relationship Id="rId25" Type="http://schemas.openxmlformats.org/officeDocument/2006/relationships/hyperlink" Target="https://twitter.com/blackintheempir/status/1569873091781591043" TargetMode="External" /><Relationship Id="rId26" Type="http://schemas.openxmlformats.org/officeDocument/2006/relationships/hyperlink" Target="https://www.lesechos.fr/monde/enjeux-internationaux/les-etats-unis-reclament-lunite-des-allies-contre-la-russie-1787144?xtor=CS4-6235" TargetMode="External" /><Relationship Id="rId27" Type="http://schemas.openxmlformats.org/officeDocument/2006/relationships/hyperlink" Target="https://twitter.com/ZelenskyyUa/status/1568608679871537153" TargetMode="External" /><Relationship Id="rId28" Type="http://schemas.openxmlformats.org/officeDocument/2006/relationships/table" Target="../tables/table17.xml" /><Relationship Id="rId29" Type="http://schemas.openxmlformats.org/officeDocument/2006/relationships/table" Target="../tables/table18.xm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217</v>
      </c>
      <c r="P2" s="7" t="s">
        <v>218</v>
      </c>
      <c r="Q2" s="7" t="s">
        <v>219</v>
      </c>
      <c r="R2" s="7" t="s">
        <v>220</v>
      </c>
      <c r="S2" s="7" t="s">
        <v>221</v>
      </c>
      <c r="T2" s="7" t="s">
        <v>222</v>
      </c>
      <c r="U2" s="7" t="s">
        <v>223</v>
      </c>
      <c r="V2" s="7" t="s">
        <v>224</v>
      </c>
      <c r="W2" s="7" t="s">
        <v>225</v>
      </c>
      <c r="X2" s="7" t="s">
        <v>226</v>
      </c>
      <c r="Y2" s="7" t="s">
        <v>227</v>
      </c>
      <c r="Z2" s="7" t="s">
        <v>228</v>
      </c>
      <c r="AA2" s="7" t="s">
        <v>229</v>
      </c>
      <c r="AB2" s="7" t="s">
        <v>230</v>
      </c>
      <c r="AC2" s="7" t="s">
        <v>231</v>
      </c>
      <c r="AD2" s="7" t="s">
        <v>232</v>
      </c>
      <c r="AE2" s="7" t="s">
        <v>233</v>
      </c>
      <c r="AF2" s="7" t="s">
        <v>234</v>
      </c>
      <c r="AG2" s="7" t="s">
        <v>235</v>
      </c>
      <c r="AH2" s="7" t="s">
        <v>236</v>
      </c>
      <c r="AI2" s="7" t="s">
        <v>237</v>
      </c>
      <c r="AJ2" s="7" t="s">
        <v>238</v>
      </c>
      <c r="AK2" s="7" t="s">
        <v>239</v>
      </c>
      <c r="AL2" s="7" t="s">
        <v>240</v>
      </c>
      <c r="AM2" s="7" t="s">
        <v>241</v>
      </c>
      <c r="AN2" s="7" t="s">
        <v>242</v>
      </c>
      <c r="AO2" s="7" t="s">
        <v>243</v>
      </c>
      <c r="AP2" s="7" t="s">
        <v>244</v>
      </c>
      <c r="AQ2" s="7" t="s">
        <v>245</v>
      </c>
      <c r="AR2" s="7" t="s">
        <v>246</v>
      </c>
      <c r="AS2" s="7" t="s">
        <v>247</v>
      </c>
      <c r="AT2" s="7" t="s">
        <v>248</v>
      </c>
      <c r="AU2" s="7" t="s">
        <v>249</v>
      </c>
      <c r="AV2" s="7" t="s">
        <v>250</v>
      </c>
      <c r="AW2" s="7" t="s">
        <v>251</v>
      </c>
      <c r="AX2" s="7" t="s">
        <v>252</v>
      </c>
      <c r="AY2" s="7" t="s">
        <v>253</v>
      </c>
      <c r="AZ2" s="7" t="s">
        <v>254</v>
      </c>
      <c r="BA2" s="7" t="s">
        <v>255</v>
      </c>
      <c r="BB2" s="7" t="s">
        <v>256</v>
      </c>
      <c r="BC2" t="s">
        <v>3175</v>
      </c>
      <c r="BD2" s="7" t="s">
        <v>3248</v>
      </c>
      <c r="BE2" s="7" t="s">
        <v>3249</v>
      </c>
      <c r="BF2" s="50" t="s">
        <v>3909</v>
      </c>
      <c r="BG2" s="50" t="s">
        <v>3910</v>
      </c>
      <c r="BH2" s="50" t="s">
        <v>3911</v>
      </c>
      <c r="BI2" s="50" t="s">
        <v>3912</v>
      </c>
      <c r="BJ2" s="50" t="s">
        <v>3913</v>
      </c>
      <c r="BK2" s="50" t="s">
        <v>3914</v>
      </c>
      <c r="BL2" s="50" t="s">
        <v>3915</v>
      </c>
      <c r="BM2" s="50" t="s">
        <v>3916</v>
      </c>
      <c r="BN2" s="50" t="s">
        <v>3917</v>
      </c>
    </row>
    <row r="3" spans="1:66" ht="15" customHeight="1">
      <c r="A3" s="61" t="s">
        <v>257</v>
      </c>
      <c r="B3" s="61" t="s">
        <v>460</v>
      </c>
      <c r="C3" s="62" t="s">
        <v>4688</v>
      </c>
      <c r="D3" s="63">
        <v>5</v>
      </c>
      <c r="E3" s="64"/>
      <c r="F3" s="65">
        <v>50</v>
      </c>
      <c r="G3" s="62"/>
      <c r="H3" s="66"/>
      <c r="I3" s="67"/>
      <c r="J3" s="67"/>
      <c r="K3" s="31" t="s">
        <v>65</v>
      </c>
      <c r="L3" s="68">
        <v>3</v>
      </c>
      <c r="M3" s="68"/>
      <c r="N3" s="69"/>
      <c r="O3" s="75" t="s">
        <v>585</v>
      </c>
      <c r="P3" s="77">
        <v>44811.23148148148</v>
      </c>
      <c r="Q3" s="75" t="s">
        <v>589</v>
      </c>
      <c r="R3" s="75"/>
      <c r="S3" s="75"/>
      <c r="T3" s="80" t="s">
        <v>792</v>
      </c>
      <c r="U3" s="82" t="str">
        <f>HYPERLINK("https://pbs.twimg.com/media/Fb6ZZsqWYAUww3Q.jpg")</f>
        <v>https://pbs.twimg.com/media/Fb6ZZsqWYAUww3Q.jpg</v>
      </c>
      <c r="V3" s="82" t="str">
        <f>HYPERLINK("https://pbs.twimg.com/media/Fb6ZZsqWYAUww3Q.jpg")</f>
        <v>https://pbs.twimg.com/media/Fb6ZZsqWYAUww3Q.jpg</v>
      </c>
      <c r="W3" s="77">
        <v>44811.23148148148</v>
      </c>
      <c r="X3" s="83">
        <v>44811</v>
      </c>
      <c r="Y3" s="80" t="s">
        <v>895</v>
      </c>
      <c r="Z3" s="82" t="str">
        <f>HYPERLINK("https://twitter.com/croisefranco/status/1567385509206364161")</f>
        <v>https://twitter.com/croisefranco/status/1567385509206364161</v>
      </c>
      <c r="AA3" s="75"/>
      <c r="AB3" s="75"/>
      <c r="AC3" s="80" t="s">
        <v>1226</v>
      </c>
      <c r="AD3" s="75"/>
      <c r="AE3" s="75" t="b">
        <v>0</v>
      </c>
      <c r="AF3" s="75">
        <v>0</v>
      </c>
      <c r="AG3" s="80" t="s">
        <v>1674</v>
      </c>
      <c r="AH3" s="75" t="b">
        <v>0</v>
      </c>
      <c r="AI3" s="75" t="s">
        <v>1770</v>
      </c>
      <c r="AJ3" s="75"/>
      <c r="AK3" s="80" t="s">
        <v>1674</v>
      </c>
      <c r="AL3" s="75" t="b">
        <v>0</v>
      </c>
      <c r="AM3" s="75">
        <v>35</v>
      </c>
      <c r="AN3" s="80" t="s">
        <v>1303</v>
      </c>
      <c r="AO3" s="80" t="s">
        <v>1807</v>
      </c>
      <c r="AP3" s="75" t="b">
        <v>0</v>
      </c>
      <c r="AQ3" s="80" t="s">
        <v>1303</v>
      </c>
      <c r="AR3" s="75" t="s">
        <v>219</v>
      </c>
      <c r="AS3" s="75">
        <v>0</v>
      </c>
      <c r="AT3" s="75">
        <v>0</v>
      </c>
      <c r="AU3" s="75"/>
      <c r="AV3" s="75"/>
      <c r="AW3" s="75"/>
      <c r="AX3" s="75"/>
      <c r="AY3" s="75"/>
      <c r="AZ3" s="75"/>
      <c r="BA3" s="75"/>
      <c r="BB3" s="75"/>
      <c r="BC3">
        <v>1</v>
      </c>
      <c r="BD3" s="75" t="str">
        <f>REPLACE(INDEX(GroupVertices[Group],MATCH(Edges[[#This Row],[Vertex 1]],GroupVertices[Vertex],0)),1,1,"")</f>
        <v>10</v>
      </c>
      <c r="BE3" s="75" t="str">
        <f>REPLACE(INDEX(GroupVertices[Group],MATCH(Edges[[#This Row],[Vertex 2]],GroupVertices[Vertex],0)),1,1,"")</f>
        <v>10</v>
      </c>
      <c r="BF3" s="45"/>
      <c r="BG3" s="46"/>
      <c r="BH3" s="45"/>
      <c r="BI3" s="46"/>
      <c r="BJ3" s="45"/>
      <c r="BK3" s="46"/>
      <c r="BL3" s="45"/>
      <c r="BM3" s="46"/>
      <c r="BN3" s="45"/>
    </row>
    <row r="4" spans="1:66" ht="15" customHeight="1">
      <c r="A4" s="61" t="s">
        <v>257</v>
      </c>
      <c r="B4" s="61" t="s">
        <v>430</v>
      </c>
      <c r="C4" s="62" t="s">
        <v>4688</v>
      </c>
      <c r="D4" s="63">
        <v>5</v>
      </c>
      <c r="E4" s="62"/>
      <c r="F4" s="65">
        <v>50</v>
      </c>
      <c r="G4" s="62"/>
      <c r="H4" s="66"/>
      <c r="I4" s="67"/>
      <c r="J4" s="67"/>
      <c r="K4" s="31" t="s">
        <v>65</v>
      </c>
      <c r="L4" s="68">
        <v>4</v>
      </c>
      <c r="M4" s="68"/>
      <c r="N4" s="69"/>
      <c r="O4" s="76" t="s">
        <v>585</v>
      </c>
      <c r="P4" s="78">
        <v>44811.23148148148</v>
      </c>
      <c r="Q4" s="76" t="s">
        <v>589</v>
      </c>
      <c r="R4" s="76"/>
      <c r="S4" s="76"/>
      <c r="T4" s="81" t="s">
        <v>792</v>
      </c>
      <c r="U4" s="79" t="str">
        <f>HYPERLINK("https://pbs.twimg.com/media/Fb6ZZsqWYAUww3Q.jpg")</f>
        <v>https://pbs.twimg.com/media/Fb6ZZsqWYAUww3Q.jpg</v>
      </c>
      <c r="V4" s="79" t="str">
        <f>HYPERLINK("https://pbs.twimg.com/media/Fb6ZZsqWYAUww3Q.jpg")</f>
        <v>https://pbs.twimg.com/media/Fb6ZZsqWYAUww3Q.jpg</v>
      </c>
      <c r="W4" s="78">
        <v>44811.23148148148</v>
      </c>
      <c r="X4" s="84">
        <v>44811</v>
      </c>
      <c r="Y4" s="81" t="s">
        <v>895</v>
      </c>
      <c r="Z4" s="79" t="str">
        <f>HYPERLINK("https://twitter.com/croisefranco/status/1567385509206364161")</f>
        <v>https://twitter.com/croisefranco/status/1567385509206364161</v>
      </c>
      <c r="AA4" s="76"/>
      <c r="AB4" s="76"/>
      <c r="AC4" s="81" t="s">
        <v>1226</v>
      </c>
      <c r="AD4" s="76"/>
      <c r="AE4" s="76" t="b">
        <v>0</v>
      </c>
      <c r="AF4" s="76">
        <v>0</v>
      </c>
      <c r="AG4" s="81" t="s">
        <v>1674</v>
      </c>
      <c r="AH4" s="76" t="b">
        <v>0</v>
      </c>
      <c r="AI4" s="76" t="s">
        <v>1770</v>
      </c>
      <c r="AJ4" s="76"/>
      <c r="AK4" s="81" t="s">
        <v>1674</v>
      </c>
      <c r="AL4" s="76" t="b">
        <v>0</v>
      </c>
      <c r="AM4" s="76">
        <v>35</v>
      </c>
      <c r="AN4" s="81" t="s">
        <v>1303</v>
      </c>
      <c r="AO4" s="81" t="s">
        <v>1807</v>
      </c>
      <c r="AP4" s="76" t="b">
        <v>0</v>
      </c>
      <c r="AQ4" s="81" t="s">
        <v>1303</v>
      </c>
      <c r="AR4" s="76" t="s">
        <v>219</v>
      </c>
      <c r="AS4" s="76">
        <v>0</v>
      </c>
      <c r="AT4" s="76">
        <v>0</v>
      </c>
      <c r="AU4" s="76"/>
      <c r="AV4" s="76"/>
      <c r="AW4" s="76"/>
      <c r="AX4" s="76"/>
      <c r="AY4" s="76"/>
      <c r="AZ4" s="76"/>
      <c r="BA4" s="76"/>
      <c r="BB4" s="76"/>
      <c r="BC4">
        <v>1</v>
      </c>
      <c r="BD4" s="75" t="str">
        <f>REPLACE(INDEX(GroupVertices[Group],MATCH(Edges[[#This Row],[Vertex 1]],GroupVertices[Vertex],0)),1,1,"")</f>
        <v>10</v>
      </c>
      <c r="BE4" s="75" t="str">
        <f>REPLACE(INDEX(GroupVertices[Group],MATCH(Edges[[#This Row],[Vertex 2]],GroupVertices[Vertex],0)),1,1,"")</f>
        <v>10</v>
      </c>
      <c r="BF4" s="45"/>
      <c r="BG4" s="46"/>
      <c r="BH4" s="45"/>
      <c r="BI4" s="46"/>
      <c r="BJ4" s="45"/>
      <c r="BK4" s="46"/>
      <c r="BL4" s="45"/>
      <c r="BM4" s="46"/>
      <c r="BN4" s="45"/>
    </row>
    <row r="5" spans="1:66" ht="15">
      <c r="A5" s="61" t="s">
        <v>257</v>
      </c>
      <c r="B5" s="61" t="s">
        <v>431</v>
      </c>
      <c r="C5" s="62" t="s">
        <v>4688</v>
      </c>
      <c r="D5" s="63">
        <v>5</v>
      </c>
      <c r="E5" s="62"/>
      <c r="F5" s="65">
        <v>50</v>
      </c>
      <c r="G5" s="62"/>
      <c r="H5" s="66"/>
      <c r="I5" s="67"/>
      <c r="J5" s="67"/>
      <c r="K5" s="31" t="s">
        <v>65</v>
      </c>
      <c r="L5" s="68">
        <v>5</v>
      </c>
      <c r="M5" s="68"/>
      <c r="N5" s="69"/>
      <c r="O5" s="76" t="s">
        <v>585</v>
      </c>
      <c r="P5" s="78">
        <v>44811.23148148148</v>
      </c>
      <c r="Q5" s="76" t="s">
        <v>589</v>
      </c>
      <c r="R5" s="76"/>
      <c r="S5" s="76"/>
      <c r="T5" s="81" t="s">
        <v>792</v>
      </c>
      <c r="U5" s="79" t="str">
        <f>HYPERLINK("https://pbs.twimg.com/media/Fb6ZZsqWYAUww3Q.jpg")</f>
        <v>https://pbs.twimg.com/media/Fb6ZZsqWYAUww3Q.jpg</v>
      </c>
      <c r="V5" s="79" t="str">
        <f>HYPERLINK("https://pbs.twimg.com/media/Fb6ZZsqWYAUww3Q.jpg")</f>
        <v>https://pbs.twimg.com/media/Fb6ZZsqWYAUww3Q.jpg</v>
      </c>
      <c r="W5" s="78">
        <v>44811.23148148148</v>
      </c>
      <c r="X5" s="84">
        <v>44811</v>
      </c>
      <c r="Y5" s="81" t="s">
        <v>895</v>
      </c>
      <c r="Z5" s="79" t="str">
        <f>HYPERLINK("https://twitter.com/croisefranco/status/1567385509206364161")</f>
        <v>https://twitter.com/croisefranco/status/1567385509206364161</v>
      </c>
      <c r="AA5" s="76"/>
      <c r="AB5" s="76"/>
      <c r="AC5" s="81" t="s">
        <v>1226</v>
      </c>
      <c r="AD5" s="76"/>
      <c r="AE5" s="76" t="b">
        <v>0</v>
      </c>
      <c r="AF5" s="76">
        <v>0</v>
      </c>
      <c r="AG5" s="81" t="s">
        <v>1674</v>
      </c>
      <c r="AH5" s="76" t="b">
        <v>0</v>
      </c>
      <c r="AI5" s="76" t="s">
        <v>1770</v>
      </c>
      <c r="AJ5" s="76"/>
      <c r="AK5" s="81" t="s">
        <v>1674</v>
      </c>
      <c r="AL5" s="76" t="b">
        <v>0</v>
      </c>
      <c r="AM5" s="76">
        <v>35</v>
      </c>
      <c r="AN5" s="81" t="s">
        <v>1303</v>
      </c>
      <c r="AO5" s="81" t="s">
        <v>1807</v>
      </c>
      <c r="AP5" s="76" t="b">
        <v>0</v>
      </c>
      <c r="AQ5" s="81" t="s">
        <v>1303</v>
      </c>
      <c r="AR5" s="76" t="s">
        <v>219</v>
      </c>
      <c r="AS5" s="76">
        <v>0</v>
      </c>
      <c r="AT5" s="76">
        <v>0</v>
      </c>
      <c r="AU5" s="76"/>
      <c r="AV5" s="76"/>
      <c r="AW5" s="76"/>
      <c r="AX5" s="76"/>
      <c r="AY5" s="76"/>
      <c r="AZ5" s="76"/>
      <c r="BA5" s="76"/>
      <c r="BB5" s="76"/>
      <c r="BC5">
        <v>1</v>
      </c>
      <c r="BD5" s="75" t="str">
        <f>REPLACE(INDEX(GroupVertices[Group],MATCH(Edges[[#This Row],[Vertex 1]],GroupVertices[Vertex],0)),1,1,"")</f>
        <v>10</v>
      </c>
      <c r="BE5" s="75" t="str">
        <f>REPLACE(INDEX(GroupVertices[Group],MATCH(Edges[[#This Row],[Vertex 2]],GroupVertices[Vertex],0)),1,1,"")</f>
        <v>10</v>
      </c>
      <c r="BF5" s="45"/>
      <c r="BG5" s="46"/>
      <c r="BH5" s="45"/>
      <c r="BI5" s="46"/>
      <c r="BJ5" s="45"/>
      <c r="BK5" s="46"/>
      <c r="BL5" s="45"/>
      <c r="BM5" s="46"/>
      <c r="BN5" s="45"/>
    </row>
    <row r="6" spans="1:66" ht="15">
      <c r="A6" s="61" t="s">
        <v>257</v>
      </c>
      <c r="B6" s="61" t="s">
        <v>318</v>
      </c>
      <c r="C6" s="62" t="s">
        <v>4688</v>
      </c>
      <c r="D6" s="63">
        <v>5</v>
      </c>
      <c r="E6" s="62"/>
      <c r="F6" s="65">
        <v>50</v>
      </c>
      <c r="G6" s="62"/>
      <c r="H6" s="66"/>
      <c r="I6" s="67"/>
      <c r="J6" s="67"/>
      <c r="K6" s="31" t="s">
        <v>65</v>
      </c>
      <c r="L6" s="68">
        <v>6</v>
      </c>
      <c r="M6" s="68"/>
      <c r="N6" s="69"/>
      <c r="O6" s="76" t="s">
        <v>586</v>
      </c>
      <c r="P6" s="78">
        <v>44811.23148148148</v>
      </c>
      <c r="Q6" s="76" t="s">
        <v>589</v>
      </c>
      <c r="R6" s="76"/>
      <c r="S6" s="76"/>
      <c r="T6" s="81" t="s">
        <v>792</v>
      </c>
      <c r="U6" s="79" t="str">
        <f>HYPERLINK("https://pbs.twimg.com/media/Fb6ZZsqWYAUww3Q.jpg")</f>
        <v>https://pbs.twimg.com/media/Fb6ZZsqWYAUww3Q.jpg</v>
      </c>
      <c r="V6" s="79" t="str">
        <f>HYPERLINK("https://pbs.twimg.com/media/Fb6ZZsqWYAUww3Q.jpg")</f>
        <v>https://pbs.twimg.com/media/Fb6ZZsqWYAUww3Q.jpg</v>
      </c>
      <c r="W6" s="78">
        <v>44811.23148148148</v>
      </c>
      <c r="X6" s="84">
        <v>44811</v>
      </c>
      <c r="Y6" s="81" t="s">
        <v>895</v>
      </c>
      <c r="Z6" s="79" t="str">
        <f>HYPERLINK("https://twitter.com/croisefranco/status/1567385509206364161")</f>
        <v>https://twitter.com/croisefranco/status/1567385509206364161</v>
      </c>
      <c r="AA6" s="76"/>
      <c r="AB6" s="76"/>
      <c r="AC6" s="81" t="s">
        <v>1226</v>
      </c>
      <c r="AD6" s="76"/>
      <c r="AE6" s="76" t="b">
        <v>0</v>
      </c>
      <c r="AF6" s="76">
        <v>0</v>
      </c>
      <c r="AG6" s="81" t="s">
        <v>1674</v>
      </c>
      <c r="AH6" s="76" t="b">
        <v>0</v>
      </c>
      <c r="AI6" s="76" t="s">
        <v>1770</v>
      </c>
      <c r="AJ6" s="76"/>
      <c r="AK6" s="81" t="s">
        <v>1674</v>
      </c>
      <c r="AL6" s="76" t="b">
        <v>0</v>
      </c>
      <c r="AM6" s="76">
        <v>35</v>
      </c>
      <c r="AN6" s="81" t="s">
        <v>1303</v>
      </c>
      <c r="AO6" s="81" t="s">
        <v>1807</v>
      </c>
      <c r="AP6" s="76" t="b">
        <v>0</v>
      </c>
      <c r="AQ6" s="81" t="s">
        <v>1303</v>
      </c>
      <c r="AR6" s="76" t="s">
        <v>219</v>
      </c>
      <c r="AS6" s="76">
        <v>0</v>
      </c>
      <c r="AT6" s="76">
        <v>0</v>
      </c>
      <c r="AU6" s="76"/>
      <c r="AV6" s="76"/>
      <c r="AW6" s="76"/>
      <c r="AX6" s="76"/>
      <c r="AY6" s="76"/>
      <c r="AZ6" s="76"/>
      <c r="BA6" s="76"/>
      <c r="BB6" s="76"/>
      <c r="BC6">
        <v>1</v>
      </c>
      <c r="BD6" s="75" t="str">
        <f>REPLACE(INDEX(GroupVertices[Group],MATCH(Edges[[#This Row],[Vertex 1]],GroupVertices[Vertex],0)),1,1,"")</f>
        <v>10</v>
      </c>
      <c r="BE6" s="75" t="str">
        <f>REPLACE(INDEX(GroupVertices[Group],MATCH(Edges[[#This Row],[Vertex 2]],GroupVertices[Vertex],0)),1,1,"")</f>
        <v>10</v>
      </c>
      <c r="BF6" s="45">
        <v>0</v>
      </c>
      <c r="BG6" s="46">
        <v>0</v>
      </c>
      <c r="BH6" s="45">
        <v>1</v>
      </c>
      <c r="BI6" s="46">
        <v>2.7777777777777777</v>
      </c>
      <c r="BJ6" s="45">
        <v>0</v>
      </c>
      <c r="BK6" s="46">
        <v>0</v>
      </c>
      <c r="BL6" s="45">
        <v>35</v>
      </c>
      <c r="BM6" s="46">
        <v>97.22222222222223</v>
      </c>
      <c r="BN6" s="45">
        <v>36</v>
      </c>
    </row>
    <row r="7" spans="1:66" ht="15">
      <c r="A7" s="61" t="s">
        <v>258</v>
      </c>
      <c r="B7" s="61" t="s">
        <v>414</v>
      </c>
      <c r="C7" s="62" t="s">
        <v>4688</v>
      </c>
      <c r="D7" s="63">
        <v>5</v>
      </c>
      <c r="E7" s="62"/>
      <c r="F7" s="65">
        <v>50</v>
      </c>
      <c r="G7" s="62"/>
      <c r="H7" s="66"/>
      <c r="I7" s="67"/>
      <c r="J7" s="67"/>
      <c r="K7" s="31" t="s">
        <v>65</v>
      </c>
      <c r="L7" s="68">
        <v>7</v>
      </c>
      <c r="M7" s="68"/>
      <c r="N7" s="69"/>
      <c r="O7" s="76" t="s">
        <v>586</v>
      </c>
      <c r="P7" s="78">
        <v>44811.29386574074</v>
      </c>
      <c r="Q7" s="76" t="s">
        <v>590</v>
      </c>
      <c r="R7" s="76"/>
      <c r="S7" s="76"/>
      <c r="T7" s="81" t="s">
        <v>793</v>
      </c>
      <c r="U7" s="79" t="str">
        <f>HYPERLINK("https://pbs.twimg.com/media/FcCNOtRX0AMZ0JE.jpg")</f>
        <v>https://pbs.twimg.com/media/FcCNOtRX0AMZ0JE.jpg</v>
      </c>
      <c r="V7" s="79" t="str">
        <f>HYPERLINK("https://pbs.twimg.com/media/FcCNOtRX0AMZ0JE.jpg")</f>
        <v>https://pbs.twimg.com/media/FcCNOtRX0AMZ0JE.jpg</v>
      </c>
      <c r="W7" s="78">
        <v>44811.29386574074</v>
      </c>
      <c r="X7" s="84">
        <v>44811</v>
      </c>
      <c r="Y7" s="81" t="s">
        <v>896</v>
      </c>
      <c r="Z7" s="79" t="str">
        <f>HYPERLINK("https://twitter.com/dinara59920357t/status/1567408117473808387")</f>
        <v>https://twitter.com/dinara59920357t/status/1567408117473808387</v>
      </c>
      <c r="AA7" s="76"/>
      <c r="AB7" s="76"/>
      <c r="AC7" s="81" t="s">
        <v>1227</v>
      </c>
      <c r="AD7" s="76"/>
      <c r="AE7" s="76" t="b">
        <v>0</v>
      </c>
      <c r="AF7" s="76">
        <v>0</v>
      </c>
      <c r="AG7" s="81" t="s">
        <v>1674</v>
      </c>
      <c r="AH7" s="76" t="b">
        <v>0</v>
      </c>
      <c r="AI7" s="76" t="s">
        <v>1771</v>
      </c>
      <c r="AJ7" s="76"/>
      <c r="AK7" s="81" t="s">
        <v>1674</v>
      </c>
      <c r="AL7" s="76" t="b">
        <v>0</v>
      </c>
      <c r="AM7" s="76">
        <v>3</v>
      </c>
      <c r="AN7" s="81" t="s">
        <v>1447</v>
      </c>
      <c r="AO7" s="81" t="s">
        <v>1807</v>
      </c>
      <c r="AP7" s="76" t="b">
        <v>0</v>
      </c>
      <c r="AQ7" s="81" t="s">
        <v>1447</v>
      </c>
      <c r="AR7" s="76" t="s">
        <v>219</v>
      </c>
      <c r="AS7" s="76">
        <v>0</v>
      </c>
      <c r="AT7" s="76">
        <v>0</v>
      </c>
      <c r="AU7" s="76"/>
      <c r="AV7" s="76"/>
      <c r="AW7" s="76"/>
      <c r="AX7" s="76"/>
      <c r="AY7" s="76"/>
      <c r="AZ7" s="76"/>
      <c r="BA7" s="76"/>
      <c r="BB7" s="76"/>
      <c r="BC7">
        <v>1</v>
      </c>
      <c r="BD7" s="75" t="str">
        <f>REPLACE(INDEX(GroupVertices[Group],MATCH(Edges[[#This Row],[Vertex 1]],GroupVertices[Vertex],0)),1,1,"")</f>
        <v>3</v>
      </c>
      <c r="BE7" s="75" t="str">
        <f>REPLACE(INDEX(GroupVertices[Group],MATCH(Edges[[#This Row],[Vertex 2]],GroupVertices[Vertex],0)),1,1,"")</f>
        <v>3</v>
      </c>
      <c r="BF7" s="45">
        <v>0</v>
      </c>
      <c r="BG7" s="46">
        <v>0</v>
      </c>
      <c r="BH7" s="45">
        <v>0</v>
      </c>
      <c r="BI7" s="46">
        <v>0</v>
      </c>
      <c r="BJ7" s="45">
        <v>0</v>
      </c>
      <c r="BK7" s="46">
        <v>0</v>
      </c>
      <c r="BL7" s="45">
        <v>12</v>
      </c>
      <c r="BM7" s="46">
        <v>100</v>
      </c>
      <c r="BN7" s="45">
        <v>12</v>
      </c>
    </row>
    <row r="8" spans="1:66" ht="15">
      <c r="A8" s="61" t="s">
        <v>259</v>
      </c>
      <c r="B8" s="61" t="s">
        <v>304</v>
      </c>
      <c r="C8" s="62" t="s">
        <v>4688</v>
      </c>
      <c r="D8" s="63">
        <v>5</v>
      </c>
      <c r="E8" s="62"/>
      <c r="F8" s="65">
        <v>50</v>
      </c>
      <c r="G8" s="62"/>
      <c r="H8" s="66"/>
      <c r="I8" s="67"/>
      <c r="J8" s="67"/>
      <c r="K8" s="31" t="s">
        <v>65</v>
      </c>
      <c r="L8" s="68">
        <v>8</v>
      </c>
      <c r="M8" s="68"/>
      <c r="N8" s="69"/>
      <c r="O8" s="76" t="s">
        <v>587</v>
      </c>
      <c r="P8" s="78">
        <v>44811.38836805556</v>
      </c>
      <c r="Q8" s="76" t="s">
        <v>591</v>
      </c>
      <c r="R8" s="79" t="str">
        <f>HYPERLINK("https://twitter.com/i/status/1567414255762247682")</f>
        <v>https://twitter.com/i/status/1567414255762247682</v>
      </c>
      <c r="S8" s="76" t="s">
        <v>783</v>
      </c>
      <c r="T8" s="81" t="s">
        <v>794</v>
      </c>
      <c r="U8" s="76"/>
      <c r="V8" s="79" t="str">
        <f>HYPERLINK("https://abs.twimg.com/sticky/default_profile_images/default_profile_normal.png")</f>
        <v>https://abs.twimg.com/sticky/default_profile_images/default_profile_normal.png</v>
      </c>
      <c r="W8" s="78">
        <v>44811.38836805556</v>
      </c>
      <c r="X8" s="84">
        <v>44811</v>
      </c>
      <c r="Y8" s="81" t="s">
        <v>897</v>
      </c>
      <c r="Z8" s="79" t="str">
        <f>HYPERLINK("https://twitter.com/davidbu85029668/status/1567442362166824960")</f>
        <v>https://twitter.com/davidbu85029668/status/1567442362166824960</v>
      </c>
      <c r="AA8" s="76"/>
      <c r="AB8" s="76"/>
      <c r="AC8" s="81" t="s">
        <v>1228</v>
      </c>
      <c r="AD8" s="81" t="s">
        <v>1565</v>
      </c>
      <c r="AE8" s="76" t="b">
        <v>0</v>
      </c>
      <c r="AF8" s="76">
        <v>1</v>
      </c>
      <c r="AG8" s="81" t="s">
        <v>1675</v>
      </c>
      <c r="AH8" s="76" t="b">
        <v>1</v>
      </c>
      <c r="AI8" s="76" t="s">
        <v>1772</v>
      </c>
      <c r="AJ8" s="76"/>
      <c r="AK8" s="81" t="s">
        <v>1785</v>
      </c>
      <c r="AL8" s="76" t="b">
        <v>0</v>
      </c>
      <c r="AM8" s="76">
        <v>0</v>
      </c>
      <c r="AN8" s="81" t="s">
        <v>1674</v>
      </c>
      <c r="AO8" s="81" t="s">
        <v>1808</v>
      </c>
      <c r="AP8" s="76" t="b">
        <v>0</v>
      </c>
      <c r="AQ8" s="81" t="s">
        <v>1565</v>
      </c>
      <c r="AR8" s="76" t="s">
        <v>219</v>
      </c>
      <c r="AS8" s="76">
        <v>0</v>
      </c>
      <c r="AT8" s="76">
        <v>0</v>
      </c>
      <c r="AU8" s="76"/>
      <c r="AV8" s="76"/>
      <c r="AW8" s="76"/>
      <c r="AX8" s="76"/>
      <c r="AY8" s="76"/>
      <c r="AZ8" s="76"/>
      <c r="BA8" s="76"/>
      <c r="BB8" s="76"/>
      <c r="BC8">
        <v>1</v>
      </c>
      <c r="BD8" s="75" t="str">
        <f>REPLACE(INDEX(GroupVertices[Group],MATCH(Edges[[#This Row],[Vertex 1]],GroupVertices[Vertex],0)),1,1,"")</f>
        <v>59</v>
      </c>
      <c r="BE8" s="75" t="str">
        <f>REPLACE(INDEX(GroupVertices[Group],MATCH(Edges[[#This Row],[Vertex 2]],GroupVertices[Vertex],0)),1,1,"")</f>
        <v>59</v>
      </c>
      <c r="BF8" s="45">
        <v>1</v>
      </c>
      <c r="BG8" s="46">
        <v>4</v>
      </c>
      <c r="BH8" s="45">
        <v>1</v>
      </c>
      <c r="BI8" s="46">
        <v>4</v>
      </c>
      <c r="BJ8" s="45">
        <v>0</v>
      </c>
      <c r="BK8" s="46">
        <v>0</v>
      </c>
      <c r="BL8" s="45">
        <v>23</v>
      </c>
      <c r="BM8" s="46">
        <v>92</v>
      </c>
      <c r="BN8" s="45">
        <v>25</v>
      </c>
    </row>
    <row r="9" spans="1:66" ht="15">
      <c r="A9" s="61" t="s">
        <v>260</v>
      </c>
      <c r="B9" s="61" t="s">
        <v>432</v>
      </c>
      <c r="C9" s="62" t="s">
        <v>4688</v>
      </c>
      <c r="D9" s="63">
        <v>5</v>
      </c>
      <c r="E9" s="62"/>
      <c r="F9" s="65">
        <v>50</v>
      </c>
      <c r="G9" s="62"/>
      <c r="H9" s="66"/>
      <c r="I9" s="67"/>
      <c r="J9" s="67"/>
      <c r="K9" s="31" t="s">
        <v>65</v>
      </c>
      <c r="L9" s="68">
        <v>9</v>
      </c>
      <c r="M9" s="68"/>
      <c r="N9" s="69"/>
      <c r="O9" s="76" t="s">
        <v>588</v>
      </c>
      <c r="P9" s="78">
        <v>44811.4846875</v>
      </c>
      <c r="Q9" s="76" t="s">
        <v>592</v>
      </c>
      <c r="R9" s="76"/>
      <c r="S9" s="76"/>
      <c r="T9" s="81" t="s">
        <v>795</v>
      </c>
      <c r="U9" s="76"/>
      <c r="V9" s="79" t="str">
        <f>HYPERLINK("https://pbs.twimg.com/profile_images/502141633870462976/P9rJm9Fl_normal.jpeg")</f>
        <v>https://pbs.twimg.com/profile_images/502141633870462976/P9rJm9Fl_normal.jpeg</v>
      </c>
      <c r="W9" s="78">
        <v>44811.4846875</v>
      </c>
      <c r="X9" s="84">
        <v>44811</v>
      </c>
      <c r="Y9" s="81" t="s">
        <v>898</v>
      </c>
      <c r="Z9" s="79" t="str">
        <f>HYPERLINK("https://twitter.com/zivkovasiljev/status/1567477268682838016")</f>
        <v>https://twitter.com/zivkovasiljev/status/1567477268682838016</v>
      </c>
      <c r="AA9" s="76"/>
      <c r="AB9" s="76"/>
      <c r="AC9" s="81" t="s">
        <v>1229</v>
      </c>
      <c r="AD9" s="81" t="s">
        <v>1566</v>
      </c>
      <c r="AE9" s="76" t="b">
        <v>0</v>
      </c>
      <c r="AF9" s="76">
        <v>1</v>
      </c>
      <c r="AG9" s="81" t="s">
        <v>1676</v>
      </c>
      <c r="AH9" s="76" t="b">
        <v>0</v>
      </c>
      <c r="AI9" s="76" t="s">
        <v>1772</v>
      </c>
      <c r="AJ9" s="76"/>
      <c r="AK9" s="81" t="s">
        <v>1674</v>
      </c>
      <c r="AL9" s="76" t="b">
        <v>0</v>
      </c>
      <c r="AM9" s="76">
        <v>0</v>
      </c>
      <c r="AN9" s="81" t="s">
        <v>1674</v>
      </c>
      <c r="AO9" s="81" t="s">
        <v>1809</v>
      </c>
      <c r="AP9" s="76" t="b">
        <v>0</v>
      </c>
      <c r="AQ9" s="81" t="s">
        <v>1566</v>
      </c>
      <c r="AR9" s="76" t="s">
        <v>219</v>
      </c>
      <c r="AS9" s="76">
        <v>0</v>
      </c>
      <c r="AT9" s="76">
        <v>0</v>
      </c>
      <c r="AU9" s="76"/>
      <c r="AV9" s="76"/>
      <c r="AW9" s="76"/>
      <c r="AX9" s="76"/>
      <c r="AY9" s="76"/>
      <c r="AZ9" s="76"/>
      <c r="BA9" s="76"/>
      <c r="BB9" s="76"/>
      <c r="BC9">
        <v>1</v>
      </c>
      <c r="BD9" s="75" t="str">
        <f>REPLACE(INDEX(GroupVertices[Group],MATCH(Edges[[#This Row],[Vertex 1]],GroupVertices[Vertex],0)),1,1,"")</f>
        <v>30</v>
      </c>
      <c r="BE9" s="75" t="str">
        <f>REPLACE(INDEX(GroupVertices[Group],MATCH(Edges[[#This Row],[Vertex 2]],GroupVertices[Vertex],0)),1,1,"")</f>
        <v>30</v>
      </c>
      <c r="BF9" s="45"/>
      <c r="BG9" s="46"/>
      <c r="BH9" s="45"/>
      <c r="BI9" s="46"/>
      <c r="BJ9" s="45"/>
      <c r="BK9" s="46"/>
      <c r="BL9" s="45"/>
      <c r="BM9" s="46"/>
      <c r="BN9" s="45"/>
    </row>
    <row r="10" spans="1:66" ht="15">
      <c r="A10" s="61" t="s">
        <v>260</v>
      </c>
      <c r="B10" s="61" t="s">
        <v>433</v>
      </c>
      <c r="C10" s="62" t="s">
        <v>4688</v>
      </c>
      <c r="D10" s="63">
        <v>5</v>
      </c>
      <c r="E10" s="62"/>
      <c r="F10" s="65">
        <v>50</v>
      </c>
      <c r="G10" s="62"/>
      <c r="H10" s="66"/>
      <c r="I10" s="67"/>
      <c r="J10" s="67"/>
      <c r="K10" s="31" t="s">
        <v>65</v>
      </c>
      <c r="L10" s="68">
        <v>10</v>
      </c>
      <c r="M10" s="68"/>
      <c r="N10" s="69"/>
      <c r="O10" s="76" t="s">
        <v>588</v>
      </c>
      <c r="P10" s="78">
        <v>44811.4846875</v>
      </c>
      <c r="Q10" s="76" t="s">
        <v>592</v>
      </c>
      <c r="R10" s="76"/>
      <c r="S10" s="76"/>
      <c r="T10" s="81" t="s">
        <v>795</v>
      </c>
      <c r="U10" s="76"/>
      <c r="V10" s="79" t="str">
        <f>HYPERLINK("https://pbs.twimg.com/profile_images/502141633870462976/P9rJm9Fl_normal.jpeg")</f>
        <v>https://pbs.twimg.com/profile_images/502141633870462976/P9rJm9Fl_normal.jpeg</v>
      </c>
      <c r="W10" s="78">
        <v>44811.4846875</v>
      </c>
      <c r="X10" s="84">
        <v>44811</v>
      </c>
      <c r="Y10" s="81" t="s">
        <v>898</v>
      </c>
      <c r="Z10" s="79" t="str">
        <f>HYPERLINK("https://twitter.com/zivkovasiljev/status/1567477268682838016")</f>
        <v>https://twitter.com/zivkovasiljev/status/1567477268682838016</v>
      </c>
      <c r="AA10" s="76"/>
      <c r="AB10" s="76"/>
      <c r="AC10" s="81" t="s">
        <v>1229</v>
      </c>
      <c r="AD10" s="81" t="s">
        <v>1566</v>
      </c>
      <c r="AE10" s="76" t="b">
        <v>0</v>
      </c>
      <c r="AF10" s="76">
        <v>1</v>
      </c>
      <c r="AG10" s="81" t="s">
        <v>1676</v>
      </c>
      <c r="AH10" s="76" t="b">
        <v>0</v>
      </c>
      <c r="AI10" s="76" t="s">
        <v>1772</v>
      </c>
      <c r="AJ10" s="76"/>
      <c r="AK10" s="81" t="s">
        <v>1674</v>
      </c>
      <c r="AL10" s="76" t="b">
        <v>0</v>
      </c>
      <c r="AM10" s="76">
        <v>0</v>
      </c>
      <c r="AN10" s="81" t="s">
        <v>1674</v>
      </c>
      <c r="AO10" s="81" t="s">
        <v>1809</v>
      </c>
      <c r="AP10" s="76" t="b">
        <v>0</v>
      </c>
      <c r="AQ10" s="81" t="s">
        <v>1566</v>
      </c>
      <c r="AR10" s="76" t="s">
        <v>219</v>
      </c>
      <c r="AS10" s="76">
        <v>0</v>
      </c>
      <c r="AT10" s="76">
        <v>0</v>
      </c>
      <c r="AU10" s="76"/>
      <c r="AV10" s="76"/>
      <c r="AW10" s="76"/>
      <c r="AX10" s="76"/>
      <c r="AY10" s="76"/>
      <c r="AZ10" s="76"/>
      <c r="BA10" s="76"/>
      <c r="BB10" s="76"/>
      <c r="BC10">
        <v>1</v>
      </c>
      <c r="BD10" s="75" t="str">
        <f>REPLACE(INDEX(GroupVertices[Group],MATCH(Edges[[#This Row],[Vertex 1]],GroupVertices[Vertex],0)),1,1,"")</f>
        <v>30</v>
      </c>
      <c r="BE10" s="75" t="str">
        <f>REPLACE(INDEX(GroupVertices[Group],MATCH(Edges[[#This Row],[Vertex 2]],GroupVertices[Vertex],0)),1,1,"")</f>
        <v>30</v>
      </c>
      <c r="BF10" s="45"/>
      <c r="BG10" s="46"/>
      <c r="BH10" s="45"/>
      <c r="BI10" s="46"/>
      <c r="BJ10" s="45"/>
      <c r="BK10" s="46"/>
      <c r="BL10" s="45"/>
      <c r="BM10" s="46"/>
      <c r="BN10" s="45"/>
    </row>
    <row r="11" spans="1:66" ht="15">
      <c r="A11" s="61" t="s">
        <v>260</v>
      </c>
      <c r="B11" s="61" t="s">
        <v>434</v>
      </c>
      <c r="C11" s="62" t="s">
        <v>4688</v>
      </c>
      <c r="D11" s="63">
        <v>5</v>
      </c>
      <c r="E11" s="62"/>
      <c r="F11" s="65">
        <v>50</v>
      </c>
      <c r="G11" s="62"/>
      <c r="H11" s="66"/>
      <c r="I11" s="67"/>
      <c r="J11" s="67"/>
      <c r="K11" s="31" t="s">
        <v>65</v>
      </c>
      <c r="L11" s="68">
        <v>11</v>
      </c>
      <c r="M11" s="68"/>
      <c r="N11" s="69"/>
      <c r="O11" s="76" t="s">
        <v>587</v>
      </c>
      <c r="P11" s="78">
        <v>44811.4846875</v>
      </c>
      <c r="Q11" s="76" t="s">
        <v>592</v>
      </c>
      <c r="R11" s="76"/>
      <c r="S11" s="76"/>
      <c r="T11" s="81" t="s">
        <v>795</v>
      </c>
      <c r="U11" s="76"/>
      <c r="V11" s="79" t="str">
        <f>HYPERLINK("https://pbs.twimg.com/profile_images/502141633870462976/P9rJm9Fl_normal.jpeg")</f>
        <v>https://pbs.twimg.com/profile_images/502141633870462976/P9rJm9Fl_normal.jpeg</v>
      </c>
      <c r="W11" s="78">
        <v>44811.4846875</v>
      </c>
      <c r="X11" s="84">
        <v>44811</v>
      </c>
      <c r="Y11" s="81" t="s">
        <v>898</v>
      </c>
      <c r="Z11" s="79" t="str">
        <f>HYPERLINK("https://twitter.com/zivkovasiljev/status/1567477268682838016")</f>
        <v>https://twitter.com/zivkovasiljev/status/1567477268682838016</v>
      </c>
      <c r="AA11" s="76"/>
      <c r="AB11" s="76"/>
      <c r="AC11" s="81" t="s">
        <v>1229</v>
      </c>
      <c r="AD11" s="81" t="s">
        <v>1566</v>
      </c>
      <c r="AE11" s="76" t="b">
        <v>0</v>
      </c>
      <c r="AF11" s="76">
        <v>1</v>
      </c>
      <c r="AG11" s="81" t="s">
        <v>1676</v>
      </c>
      <c r="AH11" s="76" t="b">
        <v>0</v>
      </c>
      <c r="AI11" s="76" t="s">
        <v>1772</v>
      </c>
      <c r="AJ11" s="76"/>
      <c r="AK11" s="81" t="s">
        <v>1674</v>
      </c>
      <c r="AL11" s="76" t="b">
        <v>0</v>
      </c>
      <c r="AM11" s="76">
        <v>0</v>
      </c>
      <c r="AN11" s="81" t="s">
        <v>1674</v>
      </c>
      <c r="AO11" s="81" t="s">
        <v>1809</v>
      </c>
      <c r="AP11" s="76" t="b">
        <v>0</v>
      </c>
      <c r="AQ11" s="81" t="s">
        <v>1566</v>
      </c>
      <c r="AR11" s="76" t="s">
        <v>219</v>
      </c>
      <c r="AS11" s="76">
        <v>0</v>
      </c>
      <c r="AT11" s="76">
        <v>0</v>
      </c>
      <c r="AU11" s="76"/>
      <c r="AV11" s="76"/>
      <c r="AW11" s="76"/>
      <c r="AX11" s="76"/>
      <c r="AY11" s="76"/>
      <c r="AZ11" s="76"/>
      <c r="BA11" s="76"/>
      <c r="BB11" s="76"/>
      <c r="BC11">
        <v>1</v>
      </c>
      <c r="BD11" s="75" t="str">
        <f>REPLACE(INDEX(GroupVertices[Group],MATCH(Edges[[#This Row],[Vertex 1]],GroupVertices[Vertex],0)),1,1,"")</f>
        <v>30</v>
      </c>
      <c r="BE11" s="75" t="str">
        <f>REPLACE(INDEX(GroupVertices[Group],MATCH(Edges[[#This Row],[Vertex 2]],GroupVertices[Vertex],0)),1,1,"")</f>
        <v>30</v>
      </c>
      <c r="BF11" s="45">
        <v>1</v>
      </c>
      <c r="BG11" s="46">
        <v>5.555555555555555</v>
      </c>
      <c r="BH11" s="45">
        <v>0</v>
      </c>
      <c r="BI11" s="46">
        <v>0</v>
      </c>
      <c r="BJ11" s="45">
        <v>0</v>
      </c>
      <c r="BK11" s="46">
        <v>0</v>
      </c>
      <c r="BL11" s="45">
        <v>17</v>
      </c>
      <c r="BM11" s="46">
        <v>94.44444444444444</v>
      </c>
      <c r="BN11" s="45">
        <v>18</v>
      </c>
    </row>
    <row r="12" spans="1:66" ht="15">
      <c r="A12" s="61" t="s">
        <v>261</v>
      </c>
      <c r="B12" s="61" t="s">
        <v>435</v>
      </c>
      <c r="C12" s="62" t="s">
        <v>4688</v>
      </c>
      <c r="D12" s="63">
        <v>5</v>
      </c>
      <c r="E12" s="62"/>
      <c r="F12" s="65">
        <v>50</v>
      </c>
      <c r="G12" s="62"/>
      <c r="H12" s="66"/>
      <c r="I12" s="67"/>
      <c r="J12" s="67"/>
      <c r="K12" s="31" t="s">
        <v>65</v>
      </c>
      <c r="L12" s="68">
        <v>12</v>
      </c>
      <c r="M12" s="68"/>
      <c r="N12" s="69"/>
      <c r="O12" s="76" t="s">
        <v>587</v>
      </c>
      <c r="P12" s="78">
        <v>44811.53053240741</v>
      </c>
      <c r="Q12" s="76" t="s">
        <v>593</v>
      </c>
      <c r="R12" s="76"/>
      <c r="S12" s="76"/>
      <c r="T12" s="81" t="s">
        <v>795</v>
      </c>
      <c r="U12" s="79" t="str">
        <f>HYPERLINK("https://pbs.twimg.com/tweet_video_thumb/FcDbXzfXoAEgGup.jpg")</f>
        <v>https://pbs.twimg.com/tweet_video_thumb/FcDbXzfXoAEgGup.jpg</v>
      </c>
      <c r="V12" s="79" t="str">
        <f>HYPERLINK("https://pbs.twimg.com/tweet_video_thumb/FcDbXzfXoAEgGup.jpg")</f>
        <v>https://pbs.twimg.com/tweet_video_thumb/FcDbXzfXoAEgGup.jpg</v>
      </c>
      <c r="W12" s="78">
        <v>44811.53053240741</v>
      </c>
      <c r="X12" s="84">
        <v>44811</v>
      </c>
      <c r="Y12" s="81" t="s">
        <v>899</v>
      </c>
      <c r="Z12" s="79" t="str">
        <f>HYPERLINK("https://twitter.com/jokerdepressif/status/1567493879758209026")</f>
        <v>https://twitter.com/jokerdepressif/status/1567493879758209026</v>
      </c>
      <c r="AA12" s="76"/>
      <c r="AB12" s="76"/>
      <c r="AC12" s="81" t="s">
        <v>1230</v>
      </c>
      <c r="AD12" s="81" t="s">
        <v>1567</v>
      </c>
      <c r="AE12" s="76" t="b">
        <v>0</v>
      </c>
      <c r="AF12" s="76">
        <v>0</v>
      </c>
      <c r="AG12" s="81" t="s">
        <v>1677</v>
      </c>
      <c r="AH12" s="76" t="b">
        <v>0</v>
      </c>
      <c r="AI12" s="76" t="s">
        <v>1770</v>
      </c>
      <c r="AJ12" s="76"/>
      <c r="AK12" s="81" t="s">
        <v>1674</v>
      </c>
      <c r="AL12" s="76" t="b">
        <v>0</v>
      </c>
      <c r="AM12" s="76">
        <v>0</v>
      </c>
      <c r="AN12" s="81" t="s">
        <v>1674</v>
      </c>
      <c r="AO12" s="81" t="s">
        <v>1807</v>
      </c>
      <c r="AP12" s="76" t="b">
        <v>0</v>
      </c>
      <c r="AQ12" s="81" t="s">
        <v>1567</v>
      </c>
      <c r="AR12" s="76" t="s">
        <v>219</v>
      </c>
      <c r="AS12" s="76">
        <v>0</v>
      </c>
      <c r="AT12" s="76">
        <v>0</v>
      </c>
      <c r="AU12" s="76"/>
      <c r="AV12" s="76"/>
      <c r="AW12" s="76"/>
      <c r="AX12" s="76"/>
      <c r="AY12" s="76"/>
      <c r="AZ12" s="76"/>
      <c r="BA12" s="76"/>
      <c r="BB12" s="76"/>
      <c r="BC12">
        <v>1</v>
      </c>
      <c r="BD12" s="75" t="str">
        <f>REPLACE(INDEX(GroupVertices[Group],MATCH(Edges[[#This Row],[Vertex 1]],GroupVertices[Vertex],0)),1,1,"")</f>
        <v>58</v>
      </c>
      <c r="BE12" s="75" t="str">
        <f>REPLACE(INDEX(GroupVertices[Group],MATCH(Edges[[#This Row],[Vertex 2]],GroupVertices[Vertex],0)),1,1,"")</f>
        <v>58</v>
      </c>
      <c r="BF12" s="45">
        <v>0</v>
      </c>
      <c r="BG12" s="46">
        <v>0</v>
      </c>
      <c r="BH12" s="45">
        <v>0</v>
      </c>
      <c r="BI12" s="46">
        <v>0</v>
      </c>
      <c r="BJ12" s="45">
        <v>0</v>
      </c>
      <c r="BK12" s="46">
        <v>0</v>
      </c>
      <c r="BL12" s="45">
        <v>39</v>
      </c>
      <c r="BM12" s="46">
        <v>100</v>
      </c>
      <c r="BN12" s="45">
        <v>39</v>
      </c>
    </row>
    <row r="13" spans="1:66" ht="15">
      <c r="A13" s="61" t="s">
        <v>262</v>
      </c>
      <c r="B13" s="61" t="s">
        <v>436</v>
      </c>
      <c r="C13" s="62" t="s">
        <v>4688</v>
      </c>
      <c r="D13" s="63">
        <v>5</v>
      </c>
      <c r="E13" s="62"/>
      <c r="F13" s="65">
        <v>50</v>
      </c>
      <c r="G13" s="62"/>
      <c r="H13" s="66"/>
      <c r="I13" s="67"/>
      <c r="J13" s="67"/>
      <c r="K13" s="31" t="s">
        <v>65</v>
      </c>
      <c r="L13" s="68">
        <v>13</v>
      </c>
      <c r="M13" s="68"/>
      <c r="N13" s="69"/>
      <c r="O13" s="76" t="s">
        <v>588</v>
      </c>
      <c r="P13" s="78">
        <v>44811.71753472222</v>
      </c>
      <c r="Q13" s="76" t="s">
        <v>594</v>
      </c>
      <c r="R13" s="76"/>
      <c r="S13" s="76"/>
      <c r="T13" s="81" t="s">
        <v>795</v>
      </c>
      <c r="U13" s="76"/>
      <c r="V13" s="79" t="str">
        <f>HYPERLINK("https://pbs.twimg.com/profile_images/1563246885241909248/k2EvfvnG_normal.jpg")</f>
        <v>https://pbs.twimg.com/profile_images/1563246885241909248/k2EvfvnG_normal.jpg</v>
      </c>
      <c r="W13" s="78">
        <v>44811.71753472222</v>
      </c>
      <c r="X13" s="84">
        <v>44811</v>
      </c>
      <c r="Y13" s="81" t="s">
        <v>900</v>
      </c>
      <c r="Z13" s="79" t="str">
        <f>HYPERLINK("https://twitter.com/settequaranta/status/1567561650156310531")</f>
        <v>https://twitter.com/settequaranta/status/1567561650156310531</v>
      </c>
      <c r="AA13" s="76"/>
      <c r="AB13" s="76"/>
      <c r="AC13" s="81" t="s">
        <v>1231</v>
      </c>
      <c r="AD13" s="81" t="s">
        <v>1568</v>
      </c>
      <c r="AE13" s="76" t="b">
        <v>0</v>
      </c>
      <c r="AF13" s="76">
        <v>0</v>
      </c>
      <c r="AG13" s="81" t="s">
        <v>1678</v>
      </c>
      <c r="AH13" s="76" t="b">
        <v>0</v>
      </c>
      <c r="AI13" s="76" t="s">
        <v>1772</v>
      </c>
      <c r="AJ13" s="76"/>
      <c r="AK13" s="81" t="s">
        <v>1674</v>
      </c>
      <c r="AL13" s="76" t="b">
        <v>0</v>
      </c>
      <c r="AM13" s="76">
        <v>0</v>
      </c>
      <c r="AN13" s="81" t="s">
        <v>1674</v>
      </c>
      <c r="AO13" s="81" t="s">
        <v>1809</v>
      </c>
      <c r="AP13" s="76" t="b">
        <v>0</v>
      </c>
      <c r="AQ13" s="81" t="s">
        <v>1568</v>
      </c>
      <c r="AR13" s="76" t="s">
        <v>219</v>
      </c>
      <c r="AS13" s="76">
        <v>0</v>
      </c>
      <c r="AT13" s="76">
        <v>0</v>
      </c>
      <c r="AU13" s="76"/>
      <c r="AV13" s="76"/>
      <c r="AW13" s="76"/>
      <c r="AX13" s="76"/>
      <c r="AY13" s="76"/>
      <c r="AZ13" s="76"/>
      <c r="BA13" s="76"/>
      <c r="BB13" s="76"/>
      <c r="BC13">
        <v>1</v>
      </c>
      <c r="BD13" s="75" t="str">
        <f>REPLACE(INDEX(GroupVertices[Group],MATCH(Edges[[#This Row],[Vertex 1]],GroupVertices[Vertex],0)),1,1,"")</f>
        <v>6</v>
      </c>
      <c r="BE13" s="75" t="str">
        <f>REPLACE(INDEX(GroupVertices[Group],MATCH(Edges[[#This Row],[Vertex 2]],GroupVertices[Vertex],0)),1,1,"")</f>
        <v>6</v>
      </c>
      <c r="BF13" s="45"/>
      <c r="BG13" s="46"/>
      <c r="BH13" s="45"/>
      <c r="BI13" s="46"/>
      <c r="BJ13" s="45"/>
      <c r="BK13" s="46"/>
      <c r="BL13" s="45"/>
      <c r="BM13" s="46"/>
      <c r="BN13" s="45"/>
    </row>
    <row r="14" spans="1:66" ht="15">
      <c r="A14" s="61" t="s">
        <v>262</v>
      </c>
      <c r="B14" s="61" t="s">
        <v>437</v>
      </c>
      <c r="C14" s="62" t="s">
        <v>4688</v>
      </c>
      <c r="D14" s="63">
        <v>5</v>
      </c>
      <c r="E14" s="62"/>
      <c r="F14" s="65">
        <v>50</v>
      </c>
      <c r="G14" s="62"/>
      <c r="H14" s="66"/>
      <c r="I14" s="67"/>
      <c r="J14" s="67"/>
      <c r="K14" s="31" t="s">
        <v>65</v>
      </c>
      <c r="L14" s="68">
        <v>14</v>
      </c>
      <c r="M14" s="68"/>
      <c r="N14" s="69"/>
      <c r="O14" s="76" t="s">
        <v>588</v>
      </c>
      <c r="P14" s="78">
        <v>44811.71753472222</v>
      </c>
      <c r="Q14" s="76" t="s">
        <v>594</v>
      </c>
      <c r="R14" s="76"/>
      <c r="S14" s="76"/>
      <c r="T14" s="81" t="s">
        <v>795</v>
      </c>
      <c r="U14" s="76"/>
      <c r="V14" s="79" t="str">
        <f>HYPERLINK("https://pbs.twimg.com/profile_images/1563246885241909248/k2EvfvnG_normal.jpg")</f>
        <v>https://pbs.twimg.com/profile_images/1563246885241909248/k2EvfvnG_normal.jpg</v>
      </c>
      <c r="W14" s="78">
        <v>44811.71753472222</v>
      </c>
      <c r="X14" s="84">
        <v>44811</v>
      </c>
      <c r="Y14" s="81" t="s">
        <v>900</v>
      </c>
      <c r="Z14" s="79" t="str">
        <f>HYPERLINK("https://twitter.com/settequaranta/status/1567561650156310531")</f>
        <v>https://twitter.com/settequaranta/status/1567561650156310531</v>
      </c>
      <c r="AA14" s="76"/>
      <c r="AB14" s="76"/>
      <c r="AC14" s="81" t="s">
        <v>1231</v>
      </c>
      <c r="AD14" s="81" t="s">
        <v>1568</v>
      </c>
      <c r="AE14" s="76" t="b">
        <v>0</v>
      </c>
      <c r="AF14" s="76">
        <v>0</v>
      </c>
      <c r="AG14" s="81" t="s">
        <v>1678</v>
      </c>
      <c r="AH14" s="76" t="b">
        <v>0</v>
      </c>
      <c r="AI14" s="76" t="s">
        <v>1772</v>
      </c>
      <c r="AJ14" s="76"/>
      <c r="AK14" s="81" t="s">
        <v>1674</v>
      </c>
      <c r="AL14" s="76" t="b">
        <v>0</v>
      </c>
      <c r="AM14" s="76">
        <v>0</v>
      </c>
      <c r="AN14" s="81" t="s">
        <v>1674</v>
      </c>
      <c r="AO14" s="81" t="s">
        <v>1809</v>
      </c>
      <c r="AP14" s="76" t="b">
        <v>0</v>
      </c>
      <c r="AQ14" s="81" t="s">
        <v>1568</v>
      </c>
      <c r="AR14" s="76" t="s">
        <v>219</v>
      </c>
      <c r="AS14" s="76">
        <v>0</v>
      </c>
      <c r="AT14" s="76">
        <v>0</v>
      </c>
      <c r="AU14" s="76"/>
      <c r="AV14" s="76"/>
      <c r="AW14" s="76"/>
      <c r="AX14" s="76"/>
      <c r="AY14" s="76"/>
      <c r="AZ14" s="76"/>
      <c r="BA14" s="76"/>
      <c r="BB14" s="76"/>
      <c r="BC14">
        <v>1</v>
      </c>
      <c r="BD14" s="75" t="str">
        <f>REPLACE(INDEX(GroupVertices[Group],MATCH(Edges[[#This Row],[Vertex 1]],GroupVertices[Vertex],0)),1,1,"")</f>
        <v>6</v>
      </c>
      <c r="BE14" s="75" t="str">
        <f>REPLACE(INDEX(GroupVertices[Group],MATCH(Edges[[#This Row],[Vertex 2]],GroupVertices[Vertex],0)),1,1,"")</f>
        <v>6</v>
      </c>
      <c r="BF14" s="45"/>
      <c r="BG14" s="46"/>
      <c r="BH14" s="45"/>
      <c r="BI14" s="46"/>
      <c r="BJ14" s="45"/>
      <c r="BK14" s="46"/>
      <c r="BL14" s="45"/>
      <c r="BM14" s="46"/>
      <c r="BN14" s="45"/>
    </row>
    <row r="15" spans="1:66" ht="15">
      <c r="A15" s="61" t="s">
        <v>262</v>
      </c>
      <c r="B15" s="61" t="s">
        <v>438</v>
      </c>
      <c r="C15" s="62" t="s">
        <v>4688</v>
      </c>
      <c r="D15" s="63">
        <v>5</v>
      </c>
      <c r="E15" s="62"/>
      <c r="F15" s="65">
        <v>50</v>
      </c>
      <c r="G15" s="62"/>
      <c r="H15" s="66"/>
      <c r="I15" s="67"/>
      <c r="J15" s="67"/>
      <c r="K15" s="31" t="s">
        <v>65</v>
      </c>
      <c r="L15" s="68">
        <v>15</v>
      </c>
      <c r="M15" s="68"/>
      <c r="N15" s="69"/>
      <c r="O15" s="76" t="s">
        <v>588</v>
      </c>
      <c r="P15" s="78">
        <v>44811.71753472222</v>
      </c>
      <c r="Q15" s="76" t="s">
        <v>594</v>
      </c>
      <c r="R15" s="76"/>
      <c r="S15" s="76"/>
      <c r="T15" s="81" t="s">
        <v>795</v>
      </c>
      <c r="U15" s="76"/>
      <c r="V15" s="79" t="str">
        <f>HYPERLINK("https://pbs.twimg.com/profile_images/1563246885241909248/k2EvfvnG_normal.jpg")</f>
        <v>https://pbs.twimg.com/profile_images/1563246885241909248/k2EvfvnG_normal.jpg</v>
      </c>
      <c r="W15" s="78">
        <v>44811.71753472222</v>
      </c>
      <c r="X15" s="84">
        <v>44811</v>
      </c>
      <c r="Y15" s="81" t="s">
        <v>900</v>
      </c>
      <c r="Z15" s="79" t="str">
        <f>HYPERLINK("https://twitter.com/settequaranta/status/1567561650156310531")</f>
        <v>https://twitter.com/settequaranta/status/1567561650156310531</v>
      </c>
      <c r="AA15" s="76"/>
      <c r="AB15" s="76"/>
      <c r="AC15" s="81" t="s">
        <v>1231</v>
      </c>
      <c r="AD15" s="81" t="s">
        <v>1568</v>
      </c>
      <c r="AE15" s="76" t="b">
        <v>0</v>
      </c>
      <c r="AF15" s="76">
        <v>0</v>
      </c>
      <c r="AG15" s="81" t="s">
        <v>1678</v>
      </c>
      <c r="AH15" s="76" t="b">
        <v>0</v>
      </c>
      <c r="AI15" s="76" t="s">
        <v>1772</v>
      </c>
      <c r="AJ15" s="76"/>
      <c r="AK15" s="81" t="s">
        <v>1674</v>
      </c>
      <c r="AL15" s="76" t="b">
        <v>0</v>
      </c>
      <c r="AM15" s="76">
        <v>0</v>
      </c>
      <c r="AN15" s="81" t="s">
        <v>1674</v>
      </c>
      <c r="AO15" s="81" t="s">
        <v>1809</v>
      </c>
      <c r="AP15" s="76" t="b">
        <v>0</v>
      </c>
      <c r="AQ15" s="81" t="s">
        <v>1568</v>
      </c>
      <c r="AR15" s="76" t="s">
        <v>219</v>
      </c>
      <c r="AS15" s="76">
        <v>0</v>
      </c>
      <c r="AT15" s="76">
        <v>0</v>
      </c>
      <c r="AU15" s="76"/>
      <c r="AV15" s="76"/>
      <c r="AW15" s="76"/>
      <c r="AX15" s="76"/>
      <c r="AY15" s="76"/>
      <c r="AZ15" s="76"/>
      <c r="BA15" s="76"/>
      <c r="BB15" s="76"/>
      <c r="BC15">
        <v>1</v>
      </c>
      <c r="BD15" s="75" t="str">
        <f>REPLACE(INDEX(GroupVertices[Group],MATCH(Edges[[#This Row],[Vertex 1]],GroupVertices[Vertex],0)),1,1,"")</f>
        <v>6</v>
      </c>
      <c r="BE15" s="75" t="str">
        <f>REPLACE(INDEX(GroupVertices[Group],MATCH(Edges[[#This Row],[Vertex 2]],GroupVertices[Vertex],0)),1,1,"")</f>
        <v>6</v>
      </c>
      <c r="BF15" s="45"/>
      <c r="BG15" s="46"/>
      <c r="BH15" s="45"/>
      <c r="BI15" s="46"/>
      <c r="BJ15" s="45"/>
      <c r="BK15" s="46"/>
      <c r="BL15" s="45"/>
      <c r="BM15" s="46"/>
      <c r="BN15" s="45"/>
    </row>
    <row r="16" spans="1:66" ht="15">
      <c r="A16" s="61" t="s">
        <v>262</v>
      </c>
      <c r="B16" s="61" t="s">
        <v>439</v>
      </c>
      <c r="C16" s="62" t="s">
        <v>4688</v>
      </c>
      <c r="D16" s="63">
        <v>5</v>
      </c>
      <c r="E16" s="62"/>
      <c r="F16" s="65">
        <v>50</v>
      </c>
      <c r="G16" s="62"/>
      <c r="H16" s="66"/>
      <c r="I16" s="67"/>
      <c r="J16" s="67"/>
      <c r="K16" s="31" t="s">
        <v>65</v>
      </c>
      <c r="L16" s="68">
        <v>16</v>
      </c>
      <c r="M16" s="68"/>
      <c r="N16" s="69"/>
      <c r="O16" s="76" t="s">
        <v>588</v>
      </c>
      <c r="P16" s="78">
        <v>44811.71753472222</v>
      </c>
      <c r="Q16" s="76" t="s">
        <v>594</v>
      </c>
      <c r="R16" s="76"/>
      <c r="S16" s="76"/>
      <c r="T16" s="81" t="s">
        <v>795</v>
      </c>
      <c r="U16" s="76"/>
      <c r="V16" s="79" t="str">
        <f>HYPERLINK("https://pbs.twimg.com/profile_images/1563246885241909248/k2EvfvnG_normal.jpg")</f>
        <v>https://pbs.twimg.com/profile_images/1563246885241909248/k2EvfvnG_normal.jpg</v>
      </c>
      <c r="W16" s="78">
        <v>44811.71753472222</v>
      </c>
      <c r="X16" s="84">
        <v>44811</v>
      </c>
      <c r="Y16" s="81" t="s">
        <v>900</v>
      </c>
      <c r="Z16" s="79" t="str">
        <f>HYPERLINK("https://twitter.com/settequaranta/status/1567561650156310531")</f>
        <v>https://twitter.com/settequaranta/status/1567561650156310531</v>
      </c>
      <c r="AA16" s="76"/>
      <c r="AB16" s="76"/>
      <c r="AC16" s="81" t="s">
        <v>1231</v>
      </c>
      <c r="AD16" s="81" t="s">
        <v>1568</v>
      </c>
      <c r="AE16" s="76" t="b">
        <v>0</v>
      </c>
      <c r="AF16" s="76">
        <v>0</v>
      </c>
      <c r="AG16" s="81" t="s">
        <v>1678</v>
      </c>
      <c r="AH16" s="76" t="b">
        <v>0</v>
      </c>
      <c r="AI16" s="76" t="s">
        <v>1772</v>
      </c>
      <c r="AJ16" s="76"/>
      <c r="AK16" s="81" t="s">
        <v>1674</v>
      </c>
      <c r="AL16" s="76" t="b">
        <v>0</v>
      </c>
      <c r="AM16" s="76">
        <v>0</v>
      </c>
      <c r="AN16" s="81" t="s">
        <v>1674</v>
      </c>
      <c r="AO16" s="81" t="s">
        <v>1809</v>
      </c>
      <c r="AP16" s="76" t="b">
        <v>0</v>
      </c>
      <c r="AQ16" s="81" t="s">
        <v>1568</v>
      </c>
      <c r="AR16" s="76" t="s">
        <v>219</v>
      </c>
      <c r="AS16" s="76">
        <v>0</v>
      </c>
      <c r="AT16" s="76">
        <v>0</v>
      </c>
      <c r="AU16" s="76"/>
      <c r="AV16" s="76"/>
      <c r="AW16" s="76"/>
      <c r="AX16" s="76"/>
      <c r="AY16" s="76"/>
      <c r="AZ16" s="76"/>
      <c r="BA16" s="76"/>
      <c r="BB16" s="76"/>
      <c r="BC16">
        <v>1</v>
      </c>
      <c r="BD16" s="75" t="str">
        <f>REPLACE(INDEX(GroupVertices[Group],MATCH(Edges[[#This Row],[Vertex 1]],GroupVertices[Vertex],0)),1,1,"")</f>
        <v>6</v>
      </c>
      <c r="BE16" s="75" t="str">
        <f>REPLACE(INDEX(GroupVertices[Group],MATCH(Edges[[#This Row],[Vertex 2]],GroupVertices[Vertex],0)),1,1,"")</f>
        <v>6</v>
      </c>
      <c r="BF16" s="45"/>
      <c r="BG16" s="46"/>
      <c r="BH16" s="45"/>
      <c r="BI16" s="46"/>
      <c r="BJ16" s="45"/>
      <c r="BK16" s="46"/>
      <c r="BL16" s="45"/>
      <c r="BM16" s="46"/>
      <c r="BN16" s="45"/>
    </row>
    <row r="17" spans="1:66" ht="15">
      <c r="A17" s="61" t="s">
        <v>262</v>
      </c>
      <c r="B17" s="61" t="s">
        <v>440</v>
      </c>
      <c r="C17" s="62" t="s">
        <v>4688</v>
      </c>
      <c r="D17" s="63">
        <v>5</v>
      </c>
      <c r="E17" s="62"/>
      <c r="F17" s="65">
        <v>50</v>
      </c>
      <c r="G17" s="62"/>
      <c r="H17" s="66"/>
      <c r="I17" s="67"/>
      <c r="J17" s="67"/>
      <c r="K17" s="31" t="s">
        <v>65</v>
      </c>
      <c r="L17" s="68">
        <v>17</v>
      </c>
      <c r="M17" s="68"/>
      <c r="N17" s="69"/>
      <c r="O17" s="76" t="s">
        <v>588</v>
      </c>
      <c r="P17" s="78">
        <v>44811.71753472222</v>
      </c>
      <c r="Q17" s="76" t="s">
        <v>594</v>
      </c>
      <c r="R17" s="76"/>
      <c r="S17" s="76"/>
      <c r="T17" s="81" t="s">
        <v>795</v>
      </c>
      <c r="U17" s="76"/>
      <c r="V17" s="79" t="str">
        <f>HYPERLINK("https://pbs.twimg.com/profile_images/1563246885241909248/k2EvfvnG_normal.jpg")</f>
        <v>https://pbs.twimg.com/profile_images/1563246885241909248/k2EvfvnG_normal.jpg</v>
      </c>
      <c r="W17" s="78">
        <v>44811.71753472222</v>
      </c>
      <c r="X17" s="84">
        <v>44811</v>
      </c>
      <c r="Y17" s="81" t="s">
        <v>900</v>
      </c>
      <c r="Z17" s="79" t="str">
        <f>HYPERLINK("https://twitter.com/settequaranta/status/1567561650156310531")</f>
        <v>https://twitter.com/settequaranta/status/1567561650156310531</v>
      </c>
      <c r="AA17" s="76"/>
      <c r="AB17" s="76"/>
      <c r="AC17" s="81" t="s">
        <v>1231</v>
      </c>
      <c r="AD17" s="81" t="s">
        <v>1568</v>
      </c>
      <c r="AE17" s="76" t="b">
        <v>0</v>
      </c>
      <c r="AF17" s="76">
        <v>0</v>
      </c>
      <c r="AG17" s="81" t="s">
        <v>1678</v>
      </c>
      <c r="AH17" s="76" t="b">
        <v>0</v>
      </c>
      <c r="AI17" s="76" t="s">
        <v>1772</v>
      </c>
      <c r="AJ17" s="76"/>
      <c r="AK17" s="81" t="s">
        <v>1674</v>
      </c>
      <c r="AL17" s="76" t="b">
        <v>0</v>
      </c>
      <c r="AM17" s="76">
        <v>0</v>
      </c>
      <c r="AN17" s="81" t="s">
        <v>1674</v>
      </c>
      <c r="AO17" s="81" t="s">
        <v>1809</v>
      </c>
      <c r="AP17" s="76" t="b">
        <v>0</v>
      </c>
      <c r="AQ17" s="81" t="s">
        <v>1568</v>
      </c>
      <c r="AR17" s="76" t="s">
        <v>219</v>
      </c>
      <c r="AS17" s="76">
        <v>0</v>
      </c>
      <c r="AT17" s="76">
        <v>0</v>
      </c>
      <c r="AU17" s="76"/>
      <c r="AV17" s="76"/>
      <c r="AW17" s="76"/>
      <c r="AX17" s="76"/>
      <c r="AY17" s="76"/>
      <c r="AZ17" s="76"/>
      <c r="BA17" s="76"/>
      <c r="BB17" s="76"/>
      <c r="BC17">
        <v>1</v>
      </c>
      <c r="BD17" s="75" t="str">
        <f>REPLACE(INDEX(GroupVertices[Group],MATCH(Edges[[#This Row],[Vertex 1]],GroupVertices[Vertex],0)),1,1,"")</f>
        <v>6</v>
      </c>
      <c r="BE17" s="75" t="str">
        <f>REPLACE(INDEX(GroupVertices[Group],MATCH(Edges[[#This Row],[Vertex 2]],GroupVertices[Vertex],0)),1,1,"")</f>
        <v>6</v>
      </c>
      <c r="BF17" s="45"/>
      <c r="BG17" s="46"/>
      <c r="BH17" s="45"/>
      <c r="BI17" s="46"/>
      <c r="BJ17" s="45"/>
      <c r="BK17" s="46"/>
      <c r="BL17" s="45"/>
      <c r="BM17" s="46"/>
      <c r="BN17" s="45"/>
    </row>
    <row r="18" spans="1:66" ht="15">
      <c r="A18" s="61" t="s">
        <v>262</v>
      </c>
      <c r="B18" s="61" t="s">
        <v>441</v>
      </c>
      <c r="C18" s="62" t="s">
        <v>4688</v>
      </c>
      <c r="D18" s="63">
        <v>5</v>
      </c>
      <c r="E18" s="62"/>
      <c r="F18" s="65">
        <v>50</v>
      </c>
      <c r="G18" s="62"/>
      <c r="H18" s="66"/>
      <c r="I18" s="67"/>
      <c r="J18" s="67"/>
      <c r="K18" s="31" t="s">
        <v>65</v>
      </c>
      <c r="L18" s="68">
        <v>18</v>
      </c>
      <c r="M18" s="68"/>
      <c r="N18" s="69"/>
      <c r="O18" s="76" t="s">
        <v>588</v>
      </c>
      <c r="P18" s="78">
        <v>44811.71753472222</v>
      </c>
      <c r="Q18" s="76" t="s">
        <v>594</v>
      </c>
      <c r="R18" s="76"/>
      <c r="S18" s="76"/>
      <c r="T18" s="81" t="s">
        <v>795</v>
      </c>
      <c r="U18" s="76"/>
      <c r="V18" s="79" t="str">
        <f>HYPERLINK("https://pbs.twimg.com/profile_images/1563246885241909248/k2EvfvnG_normal.jpg")</f>
        <v>https://pbs.twimg.com/profile_images/1563246885241909248/k2EvfvnG_normal.jpg</v>
      </c>
      <c r="W18" s="78">
        <v>44811.71753472222</v>
      </c>
      <c r="X18" s="84">
        <v>44811</v>
      </c>
      <c r="Y18" s="81" t="s">
        <v>900</v>
      </c>
      <c r="Z18" s="79" t="str">
        <f>HYPERLINK("https://twitter.com/settequaranta/status/1567561650156310531")</f>
        <v>https://twitter.com/settequaranta/status/1567561650156310531</v>
      </c>
      <c r="AA18" s="76"/>
      <c r="AB18" s="76"/>
      <c r="AC18" s="81" t="s">
        <v>1231</v>
      </c>
      <c r="AD18" s="81" t="s">
        <v>1568</v>
      </c>
      <c r="AE18" s="76" t="b">
        <v>0</v>
      </c>
      <c r="AF18" s="76">
        <v>0</v>
      </c>
      <c r="AG18" s="81" t="s">
        <v>1678</v>
      </c>
      <c r="AH18" s="76" t="b">
        <v>0</v>
      </c>
      <c r="AI18" s="76" t="s">
        <v>1772</v>
      </c>
      <c r="AJ18" s="76"/>
      <c r="AK18" s="81" t="s">
        <v>1674</v>
      </c>
      <c r="AL18" s="76" t="b">
        <v>0</v>
      </c>
      <c r="AM18" s="76">
        <v>0</v>
      </c>
      <c r="AN18" s="81" t="s">
        <v>1674</v>
      </c>
      <c r="AO18" s="81" t="s">
        <v>1809</v>
      </c>
      <c r="AP18" s="76" t="b">
        <v>0</v>
      </c>
      <c r="AQ18" s="81" t="s">
        <v>1568</v>
      </c>
      <c r="AR18" s="76" t="s">
        <v>219</v>
      </c>
      <c r="AS18" s="76">
        <v>0</v>
      </c>
      <c r="AT18" s="76">
        <v>0</v>
      </c>
      <c r="AU18" s="76"/>
      <c r="AV18" s="76"/>
      <c r="AW18" s="76"/>
      <c r="AX18" s="76"/>
      <c r="AY18" s="76"/>
      <c r="AZ18" s="76"/>
      <c r="BA18" s="76"/>
      <c r="BB18" s="76"/>
      <c r="BC18">
        <v>1</v>
      </c>
      <c r="BD18" s="75" t="str">
        <f>REPLACE(INDEX(GroupVertices[Group],MATCH(Edges[[#This Row],[Vertex 1]],GroupVertices[Vertex],0)),1,1,"")</f>
        <v>6</v>
      </c>
      <c r="BE18" s="75" t="str">
        <f>REPLACE(INDEX(GroupVertices[Group],MATCH(Edges[[#This Row],[Vertex 2]],GroupVertices[Vertex],0)),1,1,"")</f>
        <v>6</v>
      </c>
      <c r="BF18" s="45"/>
      <c r="BG18" s="46"/>
      <c r="BH18" s="45"/>
      <c r="BI18" s="46"/>
      <c r="BJ18" s="45"/>
      <c r="BK18" s="46"/>
      <c r="BL18" s="45"/>
      <c r="BM18" s="46"/>
      <c r="BN18" s="45"/>
    </row>
    <row r="19" spans="1:66" ht="15">
      <c r="A19" s="61" t="s">
        <v>262</v>
      </c>
      <c r="B19" s="61" t="s">
        <v>442</v>
      </c>
      <c r="C19" s="62" t="s">
        <v>4688</v>
      </c>
      <c r="D19" s="63">
        <v>5</v>
      </c>
      <c r="E19" s="62"/>
      <c r="F19" s="65">
        <v>50</v>
      </c>
      <c r="G19" s="62"/>
      <c r="H19" s="66"/>
      <c r="I19" s="67"/>
      <c r="J19" s="67"/>
      <c r="K19" s="31" t="s">
        <v>65</v>
      </c>
      <c r="L19" s="68">
        <v>19</v>
      </c>
      <c r="M19" s="68"/>
      <c r="N19" s="69"/>
      <c r="O19" s="76" t="s">
        <v>588</v>
      </c>
      <c r="P19" s="78">
        <v>44811.71753472222</v>
      </c>
      <c r="Q19" s="76" t="s">
        <v>594</v>
      </c>
      <c r="R19" s="76"/>
      <c r="S19" s="76"/>
      <c r="T19" s="81" t="s">
        <v>795</v>
      </c>
      <c r="U19" s="76"/>
      <c r="V19" s="79" t="str">
        <f>HYPERLINK("https://pbs.twimg.com/profile_images/1563246885241909248/k2EvfvnG_normal.jpg")</f>
        <v>https://pbs.twimg.com/profile_images/1563246885241909248/k2EvfvnG_normal.jpg</v>
      </c>
      <c r="W19" s="78">
        <v>44811.71753472222</v>
      </c>
      <c r="X19" s="84">
        <v>44811</v>
      </c>
      <c r="Y19" s="81" t="s">
        <v>900</v>
      </c>
      <c r="Z19" s="79" t="str">
        <f>HYPERLINK("https://twitter.com/settequaranta/status/1567561650156310531")</f>
        <v>https://twitter.com/settequaranta/status/1567561650156310531</v>
      </c>
      <c r="AA19" s="76"/>
      <c r="AB19" s="76"/>
      <c r="AC19" s="81" t="s">
        <v>1231</v>
      </c>
      <c r="AD19" s="81" t="s">
        <v>1568</v>
      </c>
      <c r="AE19" s="76" t="b">
        <v>0</v>
      </c>
      <c r="AF19" s="76">
        <v>0</v>
      </c>
      <c r="AG19" s="81" t="s">
        <v>1678</v>
      </c>
      <c r="AH19" s="76" t="b">
        <v>0</v>
      </c>
      <c r="AI19" s="76" t="s">
        <v>1772</v>
      </c>
      <c r="AJ19" s="76"/>
      <c r="AK19" s="81" t="s">
        <v>1674</v>
      </c>
      <c r="AL19" s="76" t="b">
        <v>0</v>
      </c>
      <c r="AM19" s="76">
        <v>0</v>
      </c>
      <c r="AN19" s="81" t="s">
        <v>1674</v>
      </c>
      <c r="AO19" s="81" t="s">
        <v>1809</v>
      </c>
      <c r="AP19" s="76" t="b">
        <v>0</v>
      </c>
      <c r="AQ19" s="81" t="s">
        <v>1568</v>
      </c>
      <c r="AR19" s="76" t="s">
        <v>219</v>
      </c>
      <c r="AS19" s="76">
        <v>0</v>
      </c>
      <c r="AT19" s="76">
        <v>0</v>
      </c>
      <c r="AU19" s="76"/>
      <c r="AV19" s="76"/>
      <c r="AW19" s="76"/>
      <c r="AX19" s="76"/>
      <c r="AY19" s="76"/>
      <c r="AZ19" s="76"/>
      <c r="BA19" s="76"/>
      <c r="BB19" s="76"/>
      <c r="BC19">
        <v>1</v>
      </c>
      <c r="BD19" s="75" t="str">
        <f>REPLACE(INDEX(GroupVertices[Group],MATCH(Edges[[#This Row],[Vertex 1]],GroupVertices[Vertex],0)),1,1,"")</f>
        <v>6</v>
      </c>
      <c r="BE19" s="75" t="str">
        <f>REPLACE(INDEX(GroupVertices[Group],MATCH(Edges[[#This Row],[Vertex 2]],GroupVertices[Vertex],0)),1,1,"")</f>
        <v>6</v>
      </c>
      <c r="BF19" s="45"/>
      <c r="BG19" s="46"/>
      <c r="BH19" s="45"/>
      <c r="BI19" s="46"/>
      <c r="BJ19" s="45"/>
      <c r="BK19" s="46"/>
      <c r="BL19" s="45"/>
      <c r="BM19" s="46"/>
      <c r="BN19" s="45"/>
    </row>
    <row r="20" spans="1:66" ht="15">
      <c r="A20" s="61" t="s">
        <v>262</v>
      </c>
      <c r="B20" s="61" t="s">
        <v>443</v>
      </c>
      <c r="C20" s="62" t="s">
        <v>4688</v>
      </c>
      <c r="D20" s="63">
        <v>5</v>
      </c>
      <c r="E20" s="62"/>
      <c r="F20" s="65">
        <v>50</v>
      </c>
      <c r="G20" s="62"/>
      <c r="H20" s="66"/>
      <c r="I20" s="67"/>
      <c r="J20" s="67"/>
      <c r="K20" s="31" t="s">
        <v>65</v>
      </c>
      <c r="L20" s="68">
        <v>20</v>
      </c>
      <c r="M20" s="68"/>
      <c r="N20" s="69"/>
      <c r="O20" s="76" t="s">
        <v>588</v>
      </c>
      <c r="P20" s="78">
        <v>44811.71753472222</v>
      </c>
      <c r="Q20" s="76" t="s">
        <v>594</v>
      </c>
      <c r="R20" s="76"/>
      <c r="S20" s="76"/>
      <c r="T20" s="81" t="s">
        <v>795</v>
      </c>
      <c r="U20" s="76"/>
      <c r="V20" s="79" t="str">
        <f>HYPERLINK("https://pbs.twimg.com/profile_images/1563246885241909248/k2EvfvnG_normal.jpg")</f>
        <v>https://pbs.twimg.com/profile_images/1563246885241909248/k2EvfvnG_normal.jpg</v>
      </c>
      <c r="W20" s="78">
        <v>44811.71753472222</v>
      </c>
      <c r="X20" s="84">
        <v>44811</v>
      </c>
      <c r="Y20" s="81" t="s">
        <v>900</v>
      </c>
      <c r="Z20" s="79" t="str">
        <f>HYPERLINK("https://twitter.com/settequaranta/status/1567561650156310531")</f>
        <v>https://twitter.com/settequaranta/status/1567561650156310531</v>
      </c>
      <c r="AA20" s="76"/>
      <c r="AB20" s="76"/>
      <c r="AC20" s="81" t="s">
        <v>1231</v>
      </c>
      <c r="AD20" s="81" t="s">
        <v>1568</v>
      </c>
      <c r="AE20" s="76" t="b">
        <v>0</v>
      </c>
      <c r="AF20" s="76">
        <v>0</v>
      </c>
      <c r="AG20" s="81" t="s">
        <v>1678</v>
      </c>
      <c r="AH20" s="76" t="b">
        <v>0</v>
      </c>
      <c r="AI20" s="76" t="s">
        <v>1772</v>
      </c>
      <c r="AJ20" s="76"/>
      <c r="AK20" s="81" t="s">
        <v>1674</v>
      </c>
      <c r="AL20" s="76" t="b">
        <v>0</v>
      </c>
      <c r="AM20" s="76">
        <v>0</v>
      </c>
      <c r="AN20" s="81" t="s">
        <v>1674</v>
      </c>
      <c r="AO20" s="81" t="s">
        <v>1809</v>
      </c>
      <c r="AP20" s="76" t="b">
        <v>0</v>
      </c>
      <c r="AQ20" s="81" t="s">
        <v>1568</v>
      </c>
      <c r="AR20" s="76" t="s">
        <v>219</v>
      </c>
      <c r="AS20" s="76">
        <v>0</v>
      </c>
      <c r="AT20" s="76">
        <v>0</v>
      </c>
      <c r="AU20" s="76"/>
      <c r="AV20" s="76"/>
      <c r="AW20" s="76"/>
      <c r="AX20" s="76"/>
      <c r="AY20" s="76"/>
      <c r="AZ20" s="76"/>
      <c r="BA20" s="76"/>
      <c r="BB20" s="76"/>
      <c r="BC20">
        <v>1</v>
      </c>
      <c r="BD20" s="75" t="str">
        <f>REPLACE(INDEX(GroupVertices[Group],MATCH(Edges[[#This Row],[Vertex 1]],GroupVertices[Vertex],0)),1,1,"")</f>
        <v>6</v>
      </c>
      <c r="BE20" s="75" t="str">
        <f>REPLACE(INDEX(GroupVertices[Group],MATCH(Edges[[#This Row],[Vertex 2]],GroupVertices[Vertex],0)),1,1,"")</f>
        <v>6</v>
      </c>
      <c r="BF20" s="45"/>
      <c r="BG20" s="46"/>
      <c r="BH20" s="45"/>
      <c r="BI20" s="46"/>
      <c r="BJ20" s="45"/>
      <c r="BK20" s="46"/>
      <c r="BL20" s="45"/>
      <c r="BM20" s="46"/>
      <c r="BN20" s="45"/>
    </row>
    <row r="21" spans="1:66" ht="15">
      <c r="A21" s="61" t="s">
        <v>262</v>
      </c>
      <c r="B21" s="61" t="s">
        <v>444</v>
      </c>
      <c r="C21" s="62" t="s">
        <v>4688</v>
      </c>
      <c r="D21" s="63">
        <v>5</v>
      </c>
      <c r="E21" s="62"/>
      <c r="F21" s="65">
        <v>50</v>
      </c>
      <c r="G21" s="62"/>
      <c r="H21" s="66"/>
      <c r="I21" s="67"/>
      <c r="J21" s="67"/>
      <c r="K21" s="31" t="s">
        <v>65</v>
      </c>
      <c r="L21" s="68">
        <v>21</v>
      </c>
      <c r="M21" s="68"/>
      <c r="N21" s="69"/>
      <c r="O21" s="76" t="s">
        <v>588</v>
      </c>
      <c r="P21" s="78">
        <v>44811.71753472222</v>
      </c>
      <c r="Q21" s="76" t="s">
        <v>594</v>
      </c>
      <c r="R21" s="76"/>
      <c r="S21" s="76"/>
      <c r="T21" s="81" t="s">
        <v>795</v>
      </c>
      <c r="U21" s="76"/>
      <c r="V21" s="79" t="str">
        <f>HYPERLINK("https://pbs.twimg.com/profile_images/1563246885241909248/k2EvfvnG_normal.jpg")</f>
        <v>https://pbs.twimg.com/profile_images/1563246885241909248/k2EvfvnG_normal.jpg</v>
      </c>
      <c r="W21" s="78">
        <v>44811.71753472222</v>
      </c>
      <c r="X21" s="84">
        <v>44811</v>
      </c>
      <c r="Y21" s="81" t="s">
        <v>900</v>
      </c>
      <c r="Z21" s="79" t="str">
        <f>HYPERLINK("https://twitter.com/settequaranta/status/1567561650156310531")</f>
        <v>https://twitter.com/settequaranta/status/1567561650156310531</v>
      </c>
      <c r="AA21" s="76"/>
      <c r="AB21" s="76"/>
      <c r="AC21" s="81" t="s">
        <v>1231</v>
      </c>
      <c r="AD21" s="81" t="s">
        <v>1568</v>
      </c>
      <c r="AE21" s="76" t="b">
        <v>0</v>
      </c>
      <c r="AF21" s="76">
        <v>0</v>
      </c>
      <c r="AG21" s="81" t="s">
        <v>1678</v>
      </c>
      <c r="AH21" s="76" t="b">
        <v>0</v>
      </c>
      <c r="AI21" s="76" t="s">
        <v>1772</v>
      </c>
      <c r="AJ21" s="76"/>
      <c r="AK21" s="81" t="s">
        <v>1674</v>
      </c>
      <c r="AL21" s="76" t="b">
        <v>0</v>
      </c>
      <c r="AM21" s="76">
        <v>0</v>
      </c>
      <c r="AN21" s="81" t="s">
        <v>1674</v>
      </c>
      <c r="AO21" s="81" t="s">
        <v>1809</v>
      </c>
      <c r="AP21" s="76" t="b">
        <v>0</v>
      </c>
      <c r="AQ21" s="81" t="s">
        <v>1568</v>
      </c>
      <c r="AR21" s="76" t="s">
        <v>219</v>
      </c>
      <c r="AS21" s="76">
        <v>0</v>
      </c>
      <c r="AT21" s="76">
        <v>0</v>
      </c>
      <c r="AU21" s="76"/>
      <c r="AV21" s="76"/>
      <c r="AW21" s="76"/>
      <c r="AX21" s="76"/>
      <c r="AY21" s="76"/>
      <c r="AZ21" s="76"/>
      <c r="BA21" s="76"/>
      <c r="BB21" s="76"/>
      <c r="BC21">
        <v>1</v>
      </c>
      <c r="BD21" s="75" t="str">
        <f>REPLACE(INDEX(GroupVertices[Group],MATCH(Edges[[#This Row],[Vertex 1]],GroupVertices[Vertex],0)),1,1,"")</f>
        <v>6</v>
      </c>
      <c r="BE21" s="75" t="str">
        <f>REPLACE(INDEX(GroupVertices[Group],MATCH(Edges[[#This Row],[Vertex 2]],GroupVertices[Vertex],0)),1,1,"")</f>
        <v>6</v>
      </c>
      <c r="BF21" s="45"/>
      <c r="BG21" s="46"/>
      <c r="BH21" s="45"/>
      <c r="BI21" s="46"/>
      <c r="BJ21" s="45"/>
      <c r="BK21" s="46"/>
      <c r="BL21" s="45"/>
      <c r="BM21" s="46"/>
      <c r="BN21" s="45"/>
    </row>
    <row r="22" spans="1:66" ht="15">
      <c r="A22" s="61" t="s">
        <v>262</v>
      </c>
      <c r="B22" s="61" t="s">
        <v>445</v>
      </c>
      <c r="C22" s="62" t="s">
        <v>4688</v>
      </c>
      <c r="D22" s="63">
        <v>5</v>
      </c>
      <c r="E22" s="62"/>
      <c r="F22" s="65">
        <v>50</v>
      </c>
      <c r="G22" s="62"/>
      <c r="H22" s="66"/>
      <c r="I22" s="67"/>
      <c r="J22" s="67"/>
      <c r="K22" s="31" t="s">
        <v>65</v>
      </c>
      <c r="L22" s="68">
        <v>22</v>
      </c>
      <c r="M22" s="68"/>
      <c r="N22" s="69"/>
      <c r="O22" s="76" t="s">
        <v>587</v>
      </c>
      <c r="P22" s="78">
        <v>44811.71753472222</v>
      </c>
      <c r="Q22" s="76" t="s">
        <v>594</v>
      </c>
      <c r="R22" s="76"/>
      <c r="S22" s="76"/>
      <c r="T22" s="81" t="s">
        <v>795</v>
      </c>
      <c r="U22" s="76"/>
      <c r="V22" s="79" t="str">
        <f>HYPERLINK("https://pbs.twimg.com/profile_images/1563246885241909248/k2EvfvnG_normal.jpg")</f>
        <v>https://pbs.twimg.com/profile_images/1563246885241909248/k2EvfvnG_normal.jpg</v>
      </c>
      <c r="W22" s="78">
        <v>44811.71753472222</v>
      </c>
      <c r="X22" s="84">
        <v>44811</v>
      </c>
      <c r="Y22" s="81" t="s">
        <v>900</v>
      </c>
      <c r="Z22" s="79" t="str">
        <f>HYPERLINK("https://twitter.com/settequaranta/status/1567561650156310531")</f>
        <v>https://twitter.com/settequaranta/status/1567561650156310531</v>
      </c>
      <c r="AA22" s="76"/>
      <c r="AB22" s="76"/>
      <c r="AC22" s="81" t="s">
        <v>1231</v>
      </c>
      <c r="AD22" s="81" t="s">
        <v>1568</v>
      </c>
      <c r="AE22" s="76" t="b">
        <v>0</v>
      </c>
      <c r="AF22" s="76">
        <v>0</v>
      </c>
      <c r="AG22" s="81" t="s">
        <v>1678</v>
      </c>
      <c r="AH22" s="76" t="b">
        <v>0</v>
      </c>
      <c r="AI22" s="76" t="s">
        <v>1772</v>
      </c>
      <c r="AJ22" s="76"/>
      <c r="AK22" s="81" t="s">
        <v>1674</v>
      </c>
      <c r="AL22" s="76" t="b">
        <v>0</v>
      </c>
      <c r="AM22" s="76">
        <v>0</v>
      </c>
      <c r="AN22" s="81" t="s">
        <v>1674</v>
      </c>
      <c r="AO22" s="81" t="s">
        <v>1809</v>
      </c>
      <c r="AP22" s="76" t="b">
        <v>0</v>
      </c>
      <c r="AQ22" s="81" t="s">
        <v>1568</v>
      </c>
      <c r="AR22" s="76" t="s">
        <v>219</v>
      </c>
      <c r="AS22" s="76">
        <v>0</v>
      </c>
      <c r="AT22" s="76">
        <v>0</v>
      </c>
      <c r="AU22" s="76"/>
      <c r="AV22" s="76"/>
      <c r="AW22" s="76"/>
      <c r="AX22" s="76"/>
      <c r="AY22" s="76"/>
      <c r="AZ22" s="76"/>
      <c r="BA22" s="76"/>
      <c r="BB22" s="76"/>
      <c r="BC22">
        <v>1</v>
      </c>
      <c r="BD22" s="75" t="str">
        <f>REPLACE(INDEX(GroupVertices[Group],MATCH(Edges[[#This Row],[Vertex 1]],GroupVertices[Vertex],0)),1,1,"")</f>
        <v>6</v>
      </c>
      <c r="BE22" s="75" t="str">
        <f>REPLACE(INDEX(GroupVertices[Group],MATCH(Edges[[#This Row],[Vertex 2]],GroupVertices[Vertex],0)),1,1,"")</f>
        <v>6</v>
      </c>
      <c r="BF22" s="45"/>
      <c r="BG22" s="46"/>
      <c r="BH22" s="45"/>
      <c r="BI22" s="46"/>
      <c r="BJ22" s="45"/>
      <c r="BK22" s="46"/>
      <c r="BL22" s="45"/>
      <c r="BM22" s="46"/>
      <c r="BN22" s="45"/>
    </row>
    <row r="23" spans="1:66" ht="15">
      <c r="A23" s="61" t="s">
        <v>262</v>
      </c>
      <c r="B23" s="61" t="s">
        <v>446</v>
      </c>
      <c r="C23" s="62" t="s">
        <v>4688</v>
      </c>
      <c r="D23" s="63">
        <v>5</v>
      </c>
      <c r="E23" s="62"/>
      <c r="F23" s="65">
        <v>50</v>
      </c>
      <c r="G23" s="62"/>
      <c r="H23" s="66"/>
      <c r="I23" s="67"/>
      <c r="J23" s="67"/>
      <c r="K23" s="31" t="s">
        <v>65</v>
      </c>
      <c r="L23" s="68">
        <v>23</v>
      </c>
      <c r="M23" s="68"/>
      <c r="N23" s="69"/>
      <c r="O23" s="76" t="s">
        <v>588</v>
      </c>
      <c r="P23" s="78">
        <v>44811.71753472222</v>
      </c>
      <c r="Q23" s="76" t="s">
        <v>594</v>
      </c>
      <c r="R23" s="76"/>
      <c r="S23" s="76"/>
      <c r="T23" s="81" t="s">
        <v>795</v>
      </c>
      <c r="U23" s="76"/>
      <c r="V23" s="79" t="str">
        <f>HYPERLINK("https://pbs.twimg.com/profile_images/1563246885241909248/k2EvfvnG_normal.jpg")</f>
        <v>https://pbs.twimg.com/profile_images/1563246885241909248/k2EvfvnG_normal.jpg</v>
      </c>
      <c r="W23" s="78">
        <v>44811.71753472222</v>
      </c>
      <c r="X23" s="84">
        <v>44811</v>
      </c>
      <c r="Y23" s="81" t="s">
        <v>900</v>
      </c>
      <c r="Z23" s="79" t="str">
        <f>HYPERLINK("https://twitter.com/settequaranta/status/1567561650156310531")</f>
        <v>https://twitter.com/settequaranta/status/1567561650156310531</v>
      </c>
      <c r="AA23" s="76"/>
      <c r="AB23" s="76"/>
      <c r="AC23" s="81" t="s">
        <v>1231</v>
      </c>
      <c r="AD23" s="81" t="s">
        <v>1568</v>
      </c>
      <c r="AE23" s="76" t="b">
        <v>0</v>
      </c>
      <c r="AF23" s="76">
        <v>0</v>
      </c>
      <c r="AG23" s="81" t="s">
        <v>1678</v>
      </c>
      <c r="AH23" s="76" t="b">
        <v>0</v>
      </c>
      <c r="AI23" s="76" t="s">
        <v>1772</v>
      </c>
      <c r="AJ23" s="76"/>
      <c r="AK23" s="81" t="s">
        <v>1674</v>
      </c>
      <c r="AL23" s="76" t="b">
        <v>0</v>
      </c>
      <c r="AM23" s="76">
        <v>0</v>
      </c>
      <c r="AN23" s="81" t="s">
        <v>1674</v>
      </c>
      <c r="AO23" s="81" t="s">
        <v>1809</v>
      </c>
      <c r="AP23" s="76" t="b">
        <v>0</v>
      </c>
      <c r="AQ23" s="81" t="s">
        <v>1568</v>
      </c>
      <c r="AR23" s="76" t="s">
        <v>219</v>
      </c>
      <c r="AS23" s="76">
        <v>0</v>
      </c>
      <c r="AT23" s="76">
        <v>0</v>
      </c>
      <c r="AU23" s="76"/>
      <c r="AV23" s="76"/>
      <c r="AW23" s="76"/>
      <c r="AX23" s="76"/>
      <c r="AY23" s="76"/>
      <c r="AZ23" s="76"/>
      <c r="BA23" s="76"/>
      <c r="BB23" s="76"/>
      <c r="BC23">
        <v>1</v>
      </c>
      <c r="BD23" s="75" t="str">
        <f>REPLACE(INDEX(GroupVertices[Group],MATCH(Edges[[#This Row],[Vertex 1]],GroupVertices[Vertex],0)),1,1,"")</f>
        <v>6</v>
      </c>
      <c r="BE23" s="75" t="str">
        <f>REPLACE(INDEX(GroupVertices[Group],MATCH(Edges[[#This Row],[Vertex 2]],GroupVertices[Vertex],0)),1,1,"")</f>
        <v>6</v>
      </c>
      <c r="BF23" s="45"/>
      <c r="BG23" s="46"/>
      <c r="BH23" s="45"/>
      <c r="BI23" s="46"/>
      <c r="BJ23" s="45"/>
      <c r="BK23" s="46"/>
      <c r="BL23" s="45"/>
      <c r="BM23" s="46"/>
      <c r="BN23" s="45"/>
    </row>
    <row r="24" spans="1:66" ht="15">
      <c r="A24" s="61" t="s">
        <v>262</v>
      </c>
      <c r="B24" s="61" t="s">
        <v>447</v>
      </c>
      <c r="C24" s="62" t="s">
        <v>4688</v>
      </c>
      <c r="D24" s="63">
        <v>5</v>
      </c>
      <c r="E24" s="62"/>
      <c r="F24" s="65">
        <v>50</v>
      </c>
      <c r="G24" s="62"/>
      <c r="H24" s="66"/>
      <c r="I24" s="67"/>
      <c r="J24" s="67"/>
      <c r="K24" s="31" t="s">
        <v>65</v>
      </c>
      <c r="L24" s="68">
        <v>24</v>
      </c>
      <c r="M24" s="68"/>
      <c r="N24" s="69"/>
      <c r="O24" s="76" t="s">
        <v>588</v>
      </c>
      <c r="P24" s="78">
        <v>44811.71753472222</v>
      </c>
      <c r="Q24" s="76" t="s">
        <v>594</v>
      </c>
      <c r="R24" s="76"/>
      <c r="S24" s="76"/>
      <c r="T24" s="81" t="s">
        <v>795</v>
      </c>
      <c r="U24" s="76"/>
      <c r="V24" s="79" t="str">
        <f>HYPERLINK("https://pbs.twimg.com/profile_images/1563246885241909248/k2EvfvnG_normal.jpg")</f>
        <v>https://pbs.twimg.com/profile_images/1563246885241909248/k2EvfvnG_normal.jpg</v>
      </c>
      <c r="W24" s="78">
        <v>44811.71753472222</v>
      </c>
      <c r="X24" s="84">
        <v>44811</v>
      </c>
      <c r="Y24" s="81" t="s">
        <v>900</v>
      </c>
      <c r="Z24" s="79" t="str">
        <f>HYPERLINK("https://twitter.com/settequaranta/status/1567561650156310531")</f>
        <v>https://twitter.com/settequaranta/status/1567561650156310531</v>
      </c>
      <c r="AA24" s="76"/>
      <c r="AB24" s="76"/>
      <c r="AC24" s="81" t="s">
        <v>1231</v>
      </c>
      <c r="AD24" s="81" t="s">
        <v>1568</v>
      </c>
      <c r="AE24" s="76" t="b">
        <v>0</v>
      </c>
      <c r="AF24" s="76">
        <v>0</v>
      </c>
      <c r="AG24" s="81" t="s">
        <v>1678</v>
      </c>
      <c r="AH24" s="76" t="b">
        <v>0</v>
      </c>
      <c r="AI24" s="76" t="s">
        <v>1772</v>
      </c>
      <c r="AJ24" s="76"/>
      <c r="AK24" s="81" t="s">
        <v>1674</v>
      </c>
      <c r="AL24" s="76" t="b">
        <v>0</v>
      </c>
      <c r="AM24" s="76">
        <v>0</v>
      </c>
      <c r="AN24" s="81" t="s">
        <v>1674</v>
      </c>
      <c r="AO24" s="81" t="s">
        <v>1809</v>
      </c>
      <c r="AP24" s="76" t="b">
        <v>0</v>
      </c>
      <c r="AQ24" s="81" t="s">
        <v>1568</v>
      </c>
      <c r="AR24" s="76" t="s">
        <v>219</v>
      </c>
      <c r="AS24" s="76">
        <v>0</v>
      </c>
      <c r="AT24" s="76">
        <v>0</v>
      </c>
      <c r="AU24" s="76"/>
      <c r="AV24" s="76"/>
      <c r="AW24" s="76"/>
      <c r="AX24" s="76"/>
      <c r="AY24" s="76"/>
      <c r="AZ24" s="76"/>
      <c r="BA24" s="76"/>
      <c r="BB24" s="76"/>
      <c r="BC24">
        <v>1</v>
      </c>
      <c r="BD24" s="75" t="str">
        <f>REPLACE(INDEX(GroupVertices[Group],MATCH(Edges[[#This Row],[Vertex 1]],GroupVertices[Vertex],0)),1,1,"")</f>
        <v>6</v>
      </c>
      <c r="BE24" s="75" t="str">
        <f>REPLACE(INDEX(GroupVertices[Group],MATCH(Edges[[#This Row],[Vertex 2]],GroupVertices[Vertex],0)),1,1,"")</f>
        <v>1</v>
      </c>
      <c r="BF24" s="45">
        <v>1</v>
      </c>
      <c r="BG24" s="46">
        <v>5.2631578947368425</v>
      </c>
      <c r="BH24" s="45">
        <v>0</v>
      </c>
      <c r="BI24" s="46">
        <v>0</v>
      </c>
      <c r="BJ24" s="45">
        <v>0</v>
      </c>
      <c r="BK24" s="46">
        <v>0</v>
      </c>
      <c r="BL24" s="45">
        <v>18</v>
      </c>
      <c r="BM24" s="46">
        <v>94.73684210526316</v>
      </c>
      <c r="BN24" s="45">
        <v>19</v>
      </c>
    </row>
    <row r="25" spans="1:66" ht="15">
      <c r="A25" s="61" t="s">
        <v>263</v>
      </c>
      <c r="B25" s="61" t="s">
        <v>448</v>
      </c>
      <c r="C25" s="62" t="s">
        <v>4688</v>
      </c>
      <c r="D25" s="63">
        <v>5</v>
      </c>
      <c r="E25" s="62"/>
      <c r="F25" s="65">
        <v>50</v>
      </c>
      <c r="G25" s="62"/>
      <c r="H25" s="66"/>
      <c r="I25" s="67"/>
      <c r="J25" s="67"/>
      <c r="K25" s="31" t="s">
        <v>65</v>
      </c>
      <c r="L25" s="68">
        <v>25</v>
      </c>
      <c r="M25" s="68"/>
      <c r="N25" s="69"/>
      <c r="O25" s="76" t="s">
        <v>588</v>
      </c>
      <c r="P25" s="78">
        <v>44811.23488425926</v>
      </c>
      <c r="Q25" s="76" t="s">
        <v>595</v>
      </c>
      <c r="R25" s="76"/>
      <c r="S25" s="76"/>
      <c r="T25" s="81" t="s">
        <v>796</v>
      </c>
      <c r="U25" s="79" t="str">
        <f>HYPERLINK("https://pbs.twimg.com/tweet_video_thumb/FcB57h5aQAA0P_s.jpg")</f>
        <v>https://pbs.twimg.com/tweet_video_thumb/FcB57h5aQAA0P_s.jpg</v>
      </c>
      <c r="V25" s="79" t="str">
        <f>HYPERLINK("https://pbs.twimg.com/tweet_video_thumb/FcB57h5aQAA0P_s.jpg")</f>
        <v>https://pbs.twimg.com/tweet_video_thumb/FcB57h5aQAA0P_s.jpg</v>
      </c>
      <c r="W25" s="78">
        <v>44811.23488425926</v>
      </c>
      <c r="X25" s="84">
        <v>44811</v>
      </c>
      <c r="Y25" s="81" t="s">
        <v>901</v>
      </c>
      <c r="Z25" s="79" t="str">
        <f>HYPERLINK("https://twitter.com/oliverswift65/status/1567386742361300993")</f>
        <v>https://twitter.com/oliverswift65/status/1567386742361300993</v>
      </c>
      <c r="AA25" s="76"/>
      <c r="AB25" s="76"/>
      <c r="AC25" s="81" t="s">
        <v>1232</v>
      </c>
      <c r="AD25" s="81" t="s">
        <v>1569</v>
      </c>
      <c r="AE25" s="76" t="b">
        <v>0</v>
      </c>
      <c r="AF25" s="76">
        <v>0</v>
      </c>
      <c r="AG25" s="81" t="s">
        <v>1679</v>
      </c>
      <c r="AH25" s="76" t="b">
        <v>0</v>
      </c>
      <c r="AI25" s="76" t="s">
        <v>1770</v>
      </c>
      <c r="AJ25" s="76"/>
      <c r="AK25" s="81" t="s">
        <v>1674</v>
      </c>
      <c r="AL25" s="76" t="b">
        <v>0</v>
      </c>
      <c r="AM25" s="76">
        <v>0</v>
      </c>
      <c r="AN25" s="81" t="s">
        <v>1674</v>
      </c>
      <c r="AO25" s="81" t="s">
        <v>1807</v>
      </c>
      <c r="AP25" s="76" t="b">
        <v>0</v>
      </c>
      <c r="AQ25" s="81" t="s">
        <v>1569</v>
      </c>
      <c r="AR25" s="76" t="s">
        <v>219</v>
      </c>
      <c r="AS25" s="76">
        <v>0</v>
      </c>
      <c r="AT25" s="76">
        <v>0</v>
      </c>
      <c r="AU25" s="76"/>
      <c r="AV25" s="76"/>
      <c r="AW25" s="76"/>
      <c r="AX25" s="76"/>
      <c r="AY25" s="76"/>
      <c r="AZ25" s="76"/>
      <c r="BA25" s="76"/>
      <c r="BB25" s="76"/>
      <c r="BC25">
        <v>1</v>
      </c>
      <c r="BD25" s="75" t="str">
        <f>REPLACE(INDEX(GroupVertices[Group],MATCH(Edges[[#This Row],[Vertex 1]],GroupVertices[Vertex],0)),1,1,"")</f>
        <v>8</v>
      </c>
      <c r="BE25" s="75" t="str">
        <f>REPLACE(INDEX(GroupVertices[Group],MATCH(Edges[[#This Row],[Vertex 2]],GroupVertices[Vertex],0)),1,1,"")</f>
        <v>8</v>
      </c>
      <c r="BF25" s="45"/>
      <c r="BG25" s="46"/>
      <c r="BH25" s="45"/>
      <c r="BI25" s="46"/>
      <c r="BJ25" s="45"/>
      <c r="BK25" s="46"/>
      <c r="BL25" s="45"/>
      <c r="BM25" s="46"/>
      <c r="BN25" s="45"/>
    </row>
    <row r="26" spans="1:66" ht="15">
      <c r="A26" s="61" t="s">
        <v>263</v>
      </c>
      <c r="B26" s="61" t="s">
        <v>449</v>
      </c>
      <c r="C26" s="62" t="s">
        <v>4688</v>
      </c>
      <c r="D26" s="63">
        <v>5</v>
      </c>
      <c r="E26" s="62"/>
      <c r="F26" s="65">
        <v>50</v>
      </c>
      <c r="G26" s="62"/>
      <c r="H26" s="66"/>
      <c r="I26" s="67"/>
      <c r="J26" s="67"/>
      <c r="K26" s="31" t="s">
        <v>65</v>
      </c>
      <c r="L26" s="68">
        <v>26</v>
      </c>
      <c r="M26" s="68"/>
      <c r="N26" s="69"/>
      <c r="O26" s="76" t="s">
        <v>588</v>
      </c>
      <c r="P26" s="78">
        <v>44811.23630787037</v>
      </c>
      <c r="Q26" s="76" t="s">
        <v>596</v>
      </c>
      <c r="R26" s="76"/>
      <c r="S26" s="76"/>
      <c r="T26" s="81" t="s">
        <v>796</v>
      </c>
      <c r="U26" s="79" t="str">
        <f>HYPERLINK("https://pbs.twimg.com/media/FcB6ZtZaAAcpaLB.jpg")</f>
        <v>https://pbs.twimg.com/media/FcB6ZtZaAAcpaLB.jpg</v>
      </c>
      <c r="V26" s="79" t="str">
        <f>HYPERLINK("https://pbs.twimg.com/media/FcB6ZtZaAAcpaLB.jpg")</f>
        <v>https://pbs.twimg.com/media/FcB6ZtZaAAcpaLB.jpg</v>
      </c>
      <c r="W26" s="78">
        <v>44811.23630787037</v>
      </c>
      <c r="X26" s="84">
        <v>44811</v>
      </c>
      <c r="Y26" s="81" t="s">
        <v>902</v>
      </c>
      <c r="Z26" s="79" t="str">
        <f>HYPERLINK("https://twitter.com/oliverswift65/status/1567387257774178304")</f>
        <v>https://twitter.com/oliverswift65/status/1567387257774178304</v>
      </c>
      <c r="AA26" s="76"/>
      <c r="AB26" s="76"/>
      <c r="AC26" s="81" t="s">
        <v>1233</v>
      </c>
      <c r="AD26" s="81" t="s">
        <v>1570</v>
      </c>
      <c r="AE26" s="76" t="b">
        <v>0</v>
      </c>
      <c r="AF26" s="76">
        <v>0</v>
      </c>
      <c r="AG26" s="81" t="s">
        <v>1679</v>
      </c>
      <c r="AH26" s="76" t="b">
        <v>0</v>
      </c>
      <c r="AI26" s="76" t="s">
        <v>1770</v>
      </c>
      <c r="AJ26" s="76"/>
      <c r="AK26" s="81" t="s">
        <v>1674</v>
      </c>
      <c r="AL26" s="76" t="b">
        <v>0</v>
      </c>
      <c r="AM26" s="76">
        <v>0</v>
      </c>
      <c r="AN26" s="81" t="s">
        <v>1674</v>
      </c>
      <c r="AO26" s="81" t="s">
        <v>1807</v>
      </c>
      <c r="AP26" s="76" t="b">
        <v>0</v>
      </c>
      <c r="AQ26" s="81" t="s">
        <v>1570</v>
      </c>
      <c r="AR26" s="76" t="s">
        <v>219</v>
      </c>
      <c r="AS26" s="76">
        <v>0</v>
      </c>
      <c r="AT26" s="76">
        <v>0</v>
      </c>
      <c r="AU26" s="76"/>
      <c r="AV26" s="76"/>
      <c r="AW26" s="76"/>
      <c r="AX26" s="76"/>
      <c r="AY26" s="76"/>
      <c r="AZ26" s="76"/>
      <c r="BA26" s="76"/>
      <c r="BB26" s="76"/>
      <c r="BC26">
        <v>1</v>
      </c>
      <c r="BD26" s="75" t="str">
        <f>REPLACE(INDEX(GroupVertices[Group],MATCH(Edges[[#This Row],[Vertex 1]],GroupVertices[Vertex],0)),1,1,"")</f>
        <v>8</v>
      </c>
      <c r="BE26" s="75" t="str">
        <f>REPLACE(INDEX(GroupVertices[Group],MATCH(Edges[[#This Row],[Vertex 2]],GroupVertices[Vertex],0)),1,1,"")</f>
        <v>8</v>
      </c>
      <c r="BF26" s="45"/>
      <c r="BG26" s="46"/>
      <c r="BH26" s="45"/>
      <c r="BI26" s="46"/>
      <c r="BJ26" s="45"/>
      <c r="BK26" s="46"/>
      <c r="BL26" s="45"/>
      <c r="BM26" s="46"/>
      <c r="BN26" s="45"/>
    </row>
    <row r="27" spans="1:66" ht="15">
      <c r="A27" s="61" t="s">
        <v>263</v>
      </c>
      <c r="B27" s="61" t="s">
        <v>450</v>
      </c>
      <c r="C27" s="62" t="s">
        <v>4688</v>
      </c>
      <c r="D27" s="63">
        <v>5</v>
      </c>
      <c r="E27" s="62"/>
      <c r="F27" s="65">
        <v>50</v>
      </c>
      <c r="G27" s="62"/>
      <c r="H27" s="66"/>
      <c r="I27" s="67"/>
      <c r="J27" s="67"/>
      <c r="K27" s="31" t="s">
        <v>65</v>
      </c>
      <c r="L27" s="68">
        <v>27</v>
      </c>
      <c r="M27" s="68"/>
      <c r="N27" s="69"/>
      <c r="O27" s="76" t="s">
        <v>588</v>
      </c>
      <c r="P27" s="78">
        <v>44811.23630787037</v>
      </c>
      <c r="Q27" s="76" t="s">
        <v>596</v>
      </c>
      <c r="R27" s="76"/>
      <c r="S27" s="76"/>
      <c r="T27" s="81" t="s">
        <v>796</v>
      </c>
      <c r="U27" s="79" t="str">
        <f>HYPERLINK("https://pbs.twimg.com/media/FcB6ZtZaAAcpaLB.jpg")</f>
        <v>https://pbs.twimg.com/media/FcB6ZtZaAAcpaLB.jpg</v>
      </c>
      <c r="V27" s="79" t="str">
        <f>HYPERLINK("https://pbs.twimg.com/media/FcB6ZtZaAAcpaLB.jpg")</f>
        <v>https://pbs.twimg.com/media/FcB6ZtZaAAcpaLB.jpg</v>
      </c>
      <c r="W27" s="78">
        <v>44811.23630787037</v>
      </c>
      <c r="X27" s="84">
        <v>44811</v>
      </c>
      <c r="Y27" s="81" t="s">
        <v>902</v>
      </c>
      <c r="Z27" s="79" t="str">
        <f>HYPERLINK("https://twitter.com/oliverswift65/status/1567387257774178304")</f>
        <v>https://twitter.com/oliverswift65/status/1567387257774178304</v>
      </c>
      <c r="AA27" s="76"/>
      <c r="AB27" s="76"/>
      <c r="AC27" s="81" t="s">
        <v>1233</v>
      </c>
      <c r="AD27" s="81" t="s">
        <v>1570</v>
      </c>
      <c r="AE27" s="76" t="b">
        <v>0</v>
      </c>
      <c r="AF27" s="76">
        <v>0</v>
      </c>
      <c r="AG27" s="81" t="s">
        <v>1679</v>
      </c>
      <c r="AH27" s="76" t="b">
        <v>0</v>
      </c>
      <c r="AI27" s="76" t="s">
        <v>1770</v>
      </c>
      <c r="AJ27" s="76"/>
      <c r="AK27" s="81" t="s">
        <v>1674</v>
      </c>
      <c r="AL27" s="76" t="b">
        <v>0</v>
      </c>
      <c r="AM27" s="76">
        <v>0</v>
      </c>
      <c r="AN27" s="81" t="s">
        <v>1674</v>
      </c>
      <c r="AO27" s="81" t="s">
        <v>1807</v>
      </c>
      <c r="AP27" s="76" t="b">
        <v>0</v>
      </c>
      <c r="AQ27" s="81" t="s">
        <v>1570</v>
      </c>
      <c r="AR27" s="76" t="s">
        <v>219</v>
      </c>
      <c r="AS27" s="76">
        <v>0</v>
      </c>
      <c r="AT27" s="76">
        <v>0</v>
      </c>
      <c r="AU27" s="76"/>
      <c r="AV27" s="76"/>
      <c r="AW27" s="76"/>
      <c r="AX27" s="76"/>
      <c r="AY27" s="76"/>
      <c r="AZ27" s="76"/>
      <c r="BA27" s="76"/>
      <c r="BB27" s="76"/>
      <c r="BC27">
        <v>1</v>
      </c>
      <c r="BD27" s="75" t="str">
        <f>REPLACE(INDEX(GroupVertices[Group],MATCH(Edges[[#This Row],[Vertex 1]],GroupVertices[Vertex],0)),1,1,"")</f>
        <v>8</v>
      </c>
      <c r="BE27" s="75" t="str">
        <f>REPLACE(INDEX(GroupVertices[Group],MATCH(Edges[[#This Row],[Vertex 2]],GroupVertices[Vertex],0)),1,1,"")</f>
        <v>8</v>
      </c>
      <c r="BF27" s="45"/>
      <c r="BG27" s="46"/>
      <c r="BH27" s="45"/>
      <c r="BI27" s="46"/>
      <c r="BJ27" s="45"/>
      <c r="BK27" s="46"/>
      <c r="BL27" s="45"/>
      <c r="BM27" s="46"/>
      <c r="BN27" s="45"/>
    </row>
    <row r="28" spans="1:66" ht="15">
      <c r="A28" s="61" t="s">
        <v>263</v>
      </c>
      <c r="B28" s="61" t="s">
        <v>451</v>
      </c>
      <c r="C28" s="62" t="s">
        <v>4688</v>
      </c>
      <c r="D28" s="63">
        <v>5</v>
      </c>
      <c r="E28" s="62"/>
      <c r="F28" s="65">
        <v>50</v>
      </c>
      <c r="G28" s="62"/>
      <c r="H28" s="66"/>
      <c r="I28" s="67"/>
      <c r="J28" s="67"/>
      <c r="K28" s="31" t="s">
        <v>65</v>
      </c>
      <c r="L28" s="68">
        <v>28</v>
      </c>
      <c r="M28" s="68"/>
      <c r="N28" s="69"/>
      <c r="O28" s="76" t="s">
        <v>588</v>
      </c>
      <c r="P28" s="78">
        <v>44811.23630787037</v>
      </c>
      <c r="Q28" s="76" t="s">
        <v>596</v>
      </c>
      <c r="R28" s="76"/>
      <c r="S28" s="76"/>
      <c r="T28" s="81" t="s">
        <v>796</v>
      </c>
      <c r="U28" s="79" t="str">
        <f>HYPERLINK("https://pbs.twimg.com/media/FcB6ZtZaAAcpaLB.jpg")</f>
        <v>https://pbs.twimg.com/media/FcB6ZtZaAAcpaLB.jpg</v>
      </c>
      <c r="V28" s="79" t="str">
        <f>HYPERLINK("https://pbs.twimg.com/media/FcB6ZtZaAAcpaLB.jpg")</f>
        <v>https://pbs.twimg.com/media/FcB6ZtZaAAcpaLB.jpg</v>
      </c>
      <c r="W28" s="78">
        <v>44811.23630787037</v>
      </c>
      <c r="X28" s="84">
        <v>44811</v>
      </c>
      <c r="Y28" s="81" t="s">
        <v>902</v>
      </c>
      <c r="Z28" s="79" t="str">
        <f>HYPERLINK("https://twitter.com/oliverswift65/status/1567387257774178304")</f>
        <v>https://twitter.com/oliverswift65/status/1567387257774178304</v>
      </c>
      <c r="AA28" s="76"/>
      <c r="AB28" s="76"/>
      <c r="AC28" s="81" t="s">
        <v>1233</v>
      </c>
      <c r="AD28" s="81" t="s">
        <v>1570</v>
      </c>
      <c r="AE28" s="76" t="b">
        <v>0</v>
      </c>
      <c r="AF28" s="76">
        <v>0</v>
      </c>
      <c r="AG28" s="81" t="s">
        <v>1679</v>
      </c>
      <c r="AH28" s="76" t="b">
        <v>0</v>
      </c>
      <c r="AI28" s="76" t="s">
        <v>1770</v>
      </c>
      <c r="AJ28" s="76"/>
      <c r="AK28" s="81" t="s">
        <v>1674</v>
      </c>
      <c r="AL28" s="76" t="b">
        <v>0</v>
      </c>
      <c r="AM28" s="76">
        <v>0</v>
      </c>
      <c r="AN28" s="81" t="s">
        <v>1674</v>
      </c>
      <c r="AO28" s="81" t="s">
        <v>1807</v>
      </c>
      <c r="AP28" s="76" t="b">
        <v>0</v>
      </c>
      <c r="AQ28" s="81" t="s">
        <v>1570</v>
      </c>
      <c r="AR28" s="76" t="s">
        <v>219</v>
      </c>
      <c r="AS28" s="76">
        <v>0</v>
      </c>
      <c r="AT28" s="76">
        <v>0</v>
      </c>
      <c r="AU28" s="76"/>
      <c r="AV28" s="76"/>
      <c r="AW28" s="76"/>
      <c r="AX28" s="76"/>
      <c r="AY28" s="76"/>
      <c r="AZ28" s="76"/>
      <c r="BA28" s="76"/>
      <c r="BB28" s="76"/>
      <c r="BC28">
        <v>1</v>
      </c>
      <c r="BD28" s="75" t="str">
        <f>REPLACE(INDEX(GroupVertices[Group],MATCH(Edges[[#This Row],[Vertex 1]],GroupVertices[Vertex],0)),1,1,"")</f>
        <v>8</v>
      </c>
      <c r="BE28" s="75" t="str">
        <f>REPLACE(INDEX(GroupVertices[Group],MATCH(Edges[[#This Row],[Vertex 2]],GroupVertices[Vertex],0)),1,1,"")</f>
        <v>8</v>
      </c>
      <c r="BF28" s="45"/>
      <c r="BG28" s="46"/>
      <c r="BH28" s="45"/>
      <c r="BI28" s="46"/>
      <c r="BJ28" s="45"/>
      <c r="BK28" s="46"/>
      <c r="BL28" s="45"/>
      <c r="BM28" s="46"/>
      <c r="BN28" s="45"/>
    </row>
    <row r="29" spans="1:66" ht="15">
      <c r="A29" s="61" t="s">
        <v>263</v>
      </c>
      <c r="B29" s="61" t="s">
        <v>452</v>
      </c>
      <c r="C29" s="62" t="s">
        <v>4688</v>
      </c>
      <c r="D29" s="63">
        <v>5</v>
      </c>
      <c r="E29" s="62"/>
      <c r="F29" s="65">
        <v>50</v>
      </c>
      <c r="G29" s="62"/>
      <c r="H29" s="66"/>
      <c r="I29" s="67"/>
      <c r="J29" s="67"/>
      <c r="K29" s="31" t="s">
        <v>65</v>
      </c>
      <c r="L29" s="68">
        <v>29</v>
      </c>
      <c r="M29" s="68"/>
      <c r="N29" s="69"/>
      <c r="O29" s="76" t="s">
        <v>588</v>
      </c>
      <c r="P29" s="78">
        <v>44811.23630787037</v>
      </c>
      <c r="Q29" s="76" t="s">
        <v>596</v>
      </c>
      <c r="R29" s="76"/>
      <c r="S29" s="76"/>
      <c r="T29" s="81" t="s">
        <v>796</v>
      </c>
      <c r="U29" s="79" t="str">
        <f>HYPERLINK("https://pbs.twimg.com/media/FcB6ZtZaAAcpaLB.jpg")</f>
        <v>https://pbs.twimg.com/media/FcB6ZtZaAAcpaLB.jpg</v>
      </c>
      <c r="V29" s="79" t="str">
        <f>HYPERLINK("https://pbs.twimg.com/media/FcB6ZtZaAAcpaLB.jpg")</f>
        <v>https://pbs.twimg.com/media/FcB6ZtZaAAcpaLB.jpg</v>
      </c>
      <c r="W29" s="78">
        <v>44811.23630787037</v>
      </c>
      <c r="X29" s="84">
        <v>44811</v>
      </c>
      <c r="Y29" s="81" t="s">
        <v>902</v>
      </c>
      <c r="Z29" s="79" t="str">
        <f>HYPERLINK("https://twitter.com/oliverswift65/status/1567387257774178304")</f>
        <v>https://twitter.com/oliverswift65/status/1567387257774178304</v>
      </c>
      <c r="AA29" s="76"/>
      <c r="AB29" s="76"/>
      <c r="AC29" s="81" t="s">
        <v>1233</v>
      </c>
      <c r="AD29" s="81" t="s">
        <v>1570</v>
      </c>
      <c r="AE29" s="76" t="b">
        <v>0</v>
      </c>
      <c r="AF29" s="76">
        <v>0</v>
      </c>
      <c r="AG29" s="81" t="s">
        <v>1679</v>
      </c>
      <c r="AH29" s="76" t="b">
        <v>0</v>
      </c>
      <c r="AI29" s="76" t="s">
        <v>1770</v>
      </c>
      <c r="AJ29" s="76"/>
      <c r="AK29" s="81" t="s">
        <v>1674</v>
      </c>
      <c r="AL29" s="76" t="b">
        <v>0</v>
      </c>
      <c r="AM29" s="76">
        <v>0</v>
      </c>
      <c r="AN29" s="81" t="s">
        <v>1674</v>
      </c>
      <c r="AO29" s="81" t="s">
        <v>1807</v>
      </c>
      <c r="AP29" s="76" t="b">
        <v>0</v>
      </c>
      <c r="AQ29" s="81" t="s">
        <v>1570</v>
      </c>
      <c r="AR29" s="76" t="s">
        <v>219</v>
      </c>
      <c r="AS29" s="76">
        <v>0</v>
      </c>
      <c r="AT29" s="76">
        <v>0</v>
      </c>
      <c r="AU29" s="76"/>
      <c r="AV29" s="76"/>
      <c r="AW29" s="76"/>
      <c r="AX29" s="76"/>
      <c r="AY29" s="76"/>
      <c r="AZ29" s="76"/>
      <c r="BA29" s="76"/>
      <c r="BB29" s="76"/>
      <c r="BC29">
        <v>1</v>
      </c>
      <c r="BD29" s="75" t="str">
        <f>REPLACE(INDEX(GroupVertices[Group],MATCH(Edges[[#This Row],[Vertex 1]],GroupVertices[Vertex],0)),1,1,"")</f>
        <v>8</v>
      </c>
      <c r="BE29" s="75" t="str">
        <f>REPLACE(INDEX(GroupVertices[Group],MATCH(Edges[[#This Row],[Vertex 2]],GroupVertices[Vertex],0)),1,1,"")</f>
        <v>8</v>
      </c>
      <c r="BF29" s="45"/>
      <c r="BG29" s="46"/>
      <c r="BH29" s="45"/>
      <c r="BI29" s="46"/>
      <c r="BJ29" s="45"/>
      <c r="BK29" s="46"/>
      <c r="BL29" s="45"/>
      <c r="BM29" s="46"/>
      <c r="BN29" s="45"/>
    </row>
    <row r="30" spans="1:66" ht="15">
      <c r="A30" s="61" t="s">
        <v>263</v>
      </c>
      <c r="B30" s="61" t="s">
        <v>453</v>
      </c>
      <c r="C30" s="62" t="s">
        <v>4688</v>
      </c>
      <c r="D30" s="63">
        <v>5</v>
      </c>
      <c r="E30" s="62"/>
      <c r="F30" s="65">
        <v>50</v>
      </c>
      <c r="G30" s="62"/>
      <c r="H30" s="66"/>
      <c r="I30" s="67"/>
      <c r="J30" s="67"/>
      <c r="K30" s="31" t="s">
        <v>65</v>
      </c>
      <c r="L30" s="68">
        <v>30</v>
      </c>
      <c r="M30" s="68"/>
      <c r="N30" s="69"/>
      <c r="O30" s="76" t="s">
        <v>588</v>
      </c>
      <c r="P30" s="78">
        <v>44811.23630787037</v>
      </c>
      <c r="Q30" s="76" t="s">
        <v>596</v>
      </c>
      <c r="R30" s="76"/>
      <c r="S30" s="76"/>
      <c r="T30" s="81" t="s">
        <v>796</v>
      </c>
      <c r="U30" s="79" t="str">
        <f>HYPERLINK("https://pbs.twimg.com/media/FcB6ZtZaAAcpaLB.jpg")</f>
        <v>https://pbs.twimg.com/media/FcB6ZtZaAAcpaLB.jpg</v>
      </c>
      <c r="V30" s="79" t="str">
        <f>HYPERLINK("https://pbs.twimg.com/media/FcB6ZtZaAAcpaLB.jpg")</f>
        <v>https://pbs.twimg.com/media/FcB6ZtZaAAcpaLB.jpg</v>
      </c>
      <c r="W30" s="78">
        <v>44811.23630787037</v>
      </c>
      <c r="X30" s="84">
        <v>44811</v>
      </c>
      <c r="Y30" s="81" t="s">
        <v>902</v>
      </c>
      <c r="Z30" s="79" t="str">
        <f>HYPERLINK("https://twitter.com/oliverswift65/status/1567387257774178304")</f>
        <v>https://twitter.com/oliverswift65/status/1567387257774178304</v>
      </c>
      <c r="AA30" s="76"/>
      <c r="AB30" s="76"/>
      <c r="AC30" s="81" t="s">
        <v>1233</v>
      </c>
      <c r="AD30" s="81" t="s">
        <v>1570</v>
      </c>
      <c r="AE30" s="76" t="b">
        <v>0</v>
      </c>
      <c r="AF30" s="76">
        <v>0</v>
      </c>
      <c r="AG30" s="81" t="s">
        <v>1679</v>
      </c>
      <c r="AH30" s="76" t="b">
        <v>0</v>
      </c>
      <c r="AI30" s="76" t="s">
        <v>1770</v>
      </c>
      <c r="AJ30" s="76"/>
      <c r="AK30" s="81" t="s">
        <v>1674</v>
      </c>
      <c r="AL30" s="76" t="b">
        <v>0</v>
      </c>
      <c r="AM30" s="76">
        <v>0</v>
      </c>
      <c r="AN30" s="81" t="s">
        <v>1674</v>
      </c>
      <c r="AO30" s="81" t="s">
        <v>1807</v>
      </c>
      <c r="AP30" s="76" t="b">
        <v>0</v>
      </c>
      <c r="AQ30" s="81" t="s">
        <v>1570</v>
      </c>
      <c r="AR30" s="76" t="s">
        <v>219</v>
      </c>
      <c r="AS30" s="76">
        <v>0</v>
      </c>
      <c r="AT30" s="76">
        <v>0</v>
      </c>
      <c r="AU30" s="76"/>
      <c r="AV30" s="76"/>
      <c r="AW30" s="76"/>
      <c r="AX30" s="76"/>
      <c r="AY30" s="76"/>
      <c r="AZ30" s="76"/>
      <c r="BA30" s="76"/>
      <c r="BB30" s="76"/>
      <c r="BC30">
        <v>1</v>
      </c>
      <c r="BD30" s="75" t="str">
        <f>REPLACE(INDEX(GroupVertices[Group],MATCH(Edges[[#This Row],[Vertex 1]],GroupVertices[Vertex],0)),1,1,"")</f>
        <v>8</v>
      </c>
      <c r="BE30" s="75" t="str">
        <f>REPLACE(INDEX(GroupVertices[Group],MATCH(Edges[[#This Row],[Vertex 2]],GroupVertices[Vertex],0)),1,1,"")</f>
        <v>8</v>
      </c>
      <c r="BF30" s="45"/>
      <c r="BG30" s="46"/>
      <c r="BH30" s="45"/>
      <c r="BI30" s="46"/>
      <c r="BJ30" s="45"/>
      <c r="BK30" s="46"/>
      <c r="BL30" s="45"/>
      <c r="BM30" s="46"/>
      <c r="BN30" s="45"/>
    </row>
    <row r="31" spans="1:66" ht="15">
      <c r="A31" s="61" t="s">
        <v>263</v>
      </c>
      <c r="B31" s="61" t="s">
        <v>454</v>
      </c>
      <c r="C31" s="62" t="s">
        <v>4689</v>
      </c>
      <c r="D31" s="63">
        <v>5.416666666666667</v>
      </c>
      <c r="E31" s="62"/>
      <c r="F31" s="65">
        <v>47.083333333333336</v>
      </c>
      <c r="G31" s="62"/>
      <c r="H31" s="66"/>
      <c r="I31" s="67"/>
      <c r="J31" s="67"/>
      <c r="K31" s="31" t="s">
        <v>65</v>
      </c>
      <c r="L31" s="68">
        <v>31</v>
      </c>
      <c r="M31" s="68"/>
      <c r="N31" s="69"/>
      <c r="O31" s="76" t="s">
        <v>587</v>
      </c>
      <c r="P31" s="78">
        <v>44811.23488425926</v>
      </c>
      <c r="Q31" s="76" t="s">
        <v>595</v>
      </c>
      <c r="R31" s="76"/>
      <c r="S31" s="76"/>
      <c r="T31" s="81" t="s">
        <v>796</v>
      </c>
      <c r="U31" s="79" t="str">
        <f>HYPERLINK("https://pbs.twimg.com/tweet_video_thumb/FcB57h5aQAA0P_s.jpg")</f>
        <v>https://pbs.twimg.com/tweet_video_thumb/FcB57h5aQAA0P_s.jpg</v>
      </c>
      <c r="V31" s="79" t="str">
        <f>HYPERLINK("https://pbs.twimg.com/tweet_video_thumb/FcB57h5aQAA0P_s.jpg")</f>
        <v>https://pbs.twimg.com/tweet_video_thumb/FcB57h5aQAA0P_s.jpg</v>
      </c>
      <c r="W31" s="78">
        <v>44811.23488425926</v>
      </c>
      <c r="X31" s="84">
        <v>44811</v>
      </c>
      <c r="Y31" s="81" t="s">
        <v>901</v>
      </c>
      <c r="Z31" s="79" t="str">
        <f>HYPERLINK("https://twitter.com/oliverswift65/status/1567386742361300993")</f>
        <v>https://twitter.com/oliverswift65/status/1567386742361300993</v>
      </c>
      <c r="AA31" s="76"/>
      <c r="AB31" s="76"/>
      <c r="AC31" s="81" t="s">
        <v>1232</v>
      </c>
      <c r="AD31" s="81" t="s">
        <v>1569</v>
      </c>
      <c r="AE31" s="76" t="b">
        <v>0</v>
      </c>
      <c r="AF31" s="76">
        <v>0</v>
      </c>
      <c r="AG31" s="81" t="s">
        <v>1679</v>
      </c>
      <c r="AH31" s="76" t="b">
        <v>0</v>
      </c>
      <c r="AI31" s="76" t="s">
        <v>1770</v>
      </c>
      <c r="AJ31" s="76"/>
      <c r="AK31" s="81" t="s">
        <v>1674</v>
      </c>
      <c r="AL31" s="76" t="b">
        <v>0</v>
      </c>
      <c r="AM31" s="76">
        <v>0</v>
      </c>
      <c r="AN31" s="81" t="s">
        <v>1674</v>
      </c>
      <c r="AO31" s="81" t="s">
        <v>1807</v>
      </c>
      <c r="AP31" s="76" t="b">
        <v>0</v>
      </c>
      <c r="AQ31" s="81" t="s">
        <v>1569</v>
      </c>
      <c r="AR31" s="76" t="s">
        <v>219</v>
      </c>
      <c r="AS31" s="76">
        <v>0</v>
      </c>
      <c r="AT31" s="76">
        <v>0</v>
      </c>
      <c r="AU31" s="76"/>
      <c r="AV31" s="76"/>
      <c r="AW31" s="76"/>
      <c r="AX31" s="76"/>
      <c r="AY31" s="76"/>
      <c r="AZ31" s="76"/>
      <c r="BA31" s="76"/>
      <c r="BB31" s="76"/>
      <c r="BC31">
        <v>2</v>
      </c>
      <c r="BD31" s="75" t="str">
        <f>REPLACE(INDEX(GroupVertices[Group],MATCH(Edges[[#This Row],[Vertex 1]],GroupVertices[Vertex],0)),1,1,"")</f>
        <v>8</v>
      </c>
      <c r="BE31" s="75" t="str">
        <f>REPLACE(INDEX(GroupVertices[Group],MATCH(Edges[[#This Row],[Vertex 2]],GroupVertices[Vertex],0)),1,1,"")</f>
        <v>8</v>
      </c>
      <c r="BF31" s="45">
        <v>0</v>
      </c>
      <c r="BG31" s="46">
        <v>0</v>
      </c>
      <c r="BH31" s="45">
        <v>0</v>
      </c>
      <c r="BI31" s="46">
        <v>0</v>
      </c>
      <c r="BJ31" s="45">
        <v>0</v>
      </c>
      <c r="BK31" s="46">
        <v>0</v>
      </c>
      <c r="BL31" s="45">
        <v>40</v>
      </c>
      <c r="BM31" s="46">
        <v>100</v>
      </c>
      <c r="BN31" s="45">
        <v>40</v>
      </c>
    </row>
    <row r="32" spans="1:66" ht="15">
      <c r="A32" s="61" t="s">
        <v>263</v>
      </c>
      <c r="B32" s="61" t="s">
        <v>454</v>
      </c>
      <c r="C32" s="62" t="s">
        <v>4689</v>
      </c>
      <c r="D32" s="63">
        <v>5.416666666666667</v>
      </c>
      <c r="E32" s="62"/>
      <c r="F32" s="65">
        <v>47.083333333333336</v>
      </c>
      <c r="G32" s="62"/>
      <c r="H32" s="66"/>
      <c r="I32" s="67"/>
      <c r="J32" s="67"/>
      <c r="K32" s="31" t="s">
        <v>65</v>
      </c>
      <c r="L32" s="68">
        <v>32</v>
      </c>
      <c r="M32" s="68"/>
      <c r="N32" s="69"/>
      <c r="O32" s="76" t="s">
        <v>587</v>
      </c>
      <c r="P32" s="78">
        <v>44811.23630787037</v>
      </c>
      <c r="Q32" s="76" t="s">
        <v>596</v>
      </c>
      <c r="R32" s="76"/>
      <c r="S32" s="76"/>
      <c r="T32" s="81" t="s">
        <v>796</v>
      </c>
      <c r="U32" s="79" t="str">
        <f>HYPERLINK("https://pbs.twimg.com/media/FcB6ZtZaAAcpaLB.jpg")</f>
        <v>https://pbs.twimg.com/media/FcB6ZtZaAAcpaLB.jpg</v>
      </c>
      <c r="V32" s="79" t="str">
        <f>HYPERLINK("https://pbs.twimg.com/media/FcB6ZtZaAAcpaLB.jpg")</f>
        <v>https://pbs.twimg.com/media/FcB6ZtZaAAcpaLB.jpg</v>
      </c>
      <c r="W32" s="78">
        <v>44811.23630787037</v>
      </c>
      <c r="X32" s="84">
        <v>44811</v>
      </c>
      <c r="Y32" s="81" t="s">
        <v>902</v>
      </c>
      <c r="Z32" s="79" t="str">
        <f>HYPERLINK("https://twitter.com/oliverswift65/status/1567387257774178304")</f>
        <v>https://twitter.com/oliverswift65/status/1567387257774178304</v>
      </c>
      <c r="AA32" s="76"/>
      <c r="AB32" s="76"/>
      <c r="AC32" s="81" t="s">
        <v>1233</v>
      </c>
      <c r="AD32" s="81" t="s">
        <v>1570</v>
      </c>
      <c r="AE32" s="76" t="b">
        <v>0</v>
      </c>
      <c r="AF32" s="76">
        <v>0</v>
      </c>
      <c r="AG32" s="81" t="s">
        <v>1679</v>
      </c>
      <c r="AH32" s="76" t="b">
        <v>0</v>
      </c>
      <c r="AI32" s="76" t="s">
        <v>1770</v>
      </c>
      <c r="AJ32" s="76"/>
      <c r="AK32" s="81" t="s">
        <v>1674</v>
      </c>
      <c r="AL32" s="76" t="b">
        <v>0</v>
      </c>
      <c r="AM32" s="76">
        <v>0</v>
      </c>
      <c r="AN32" s="81" t="s">
        <v>1674</v>
      </c>
      <c r="AO32" s="81" t="s">
        <v>1807</v>
      </c>
      <c r="AP32" s="76" t="b">
        <v>0</v>
      </c>
      <c r="AQ32" s="81" t="s">
        <v>1570</v>
      </c>
      <c r="AR32" s="76" t="s">
        <v>219</v>
      </c>
      <c r="AS32" s="76">
        <v>0</v>
      </c>
      <c r="AT32" s="76">
        <v>0</v>
      </c>
      <c r="AU32" s="76"/>
      <c r="AV32" s="76"/>
      <c r="AW32" s="76"/>
      <c r="AX32" s="76"/>
      <c r="AY32" s="76"/>
      <c r="AZ32" s="76"/>
      <c r="BA32" s="76"/>
      <c r="BB32" s="76"/>
      <c r="BC32">
        <v>2</v>
      </c>
      <c r="BD32" s="75" t="str">
        <f>REPLACE(INDEX(GroupVertices[Group],MATCH(Edges[[#This Row],[Vertex 1]],GroupVertices[Vertex],0)),1,1,"")</f>
        <v>8</v>
      </c>
      <c r="BE32" s="75" t="str">
        <f>REPLACE(INDEX(GroupVertices[Group],MATCH(Edges[[#This Row],[Vertex 2]],GroupVertices[Vertex],0)),1,1,"")</f>
        <v>8</v>
      </c>
      <c r="BF32" s="45">
        <v>0</v>
      </c>
      <c r="BG32" s="46">
        <v>0</v>
      </c>
      <c r="BH32" s="45">
        <v>0</v>
      </c>
      <c r="BI32" s="46">
        <v>0</v>
      </c>
      <c r="BJ32" s="45">
        <v>0</v>
      </c>
      <c r="BK32" s="46">
        <v>0</v>
      </c>
      <c r="BL32" s="45">
        <v>44</v>
      </c>
      <c r="BM32" s="46">
        <v>100</v>
      </c>
      <c r="BN32" s="45">
        <v>44</v>
      </c>
    </row>
    <row r="33" spans="1:66" ht="15">
      <c r="A33" s="61" t="s">
        <v>263</v>
      </c>
      <c r="B33" s="61" t="s">
        <v>455</v>
      </c>
      <c r="C33" s="62" t="s">
        <v>4688</v>
      </c>
      <c r="D33" s="63">
        <v>5</v>
      </c>
      <c r="E33" s="62"/>
      <c r="F33" s="65">
        <v>50</v>
      </c>
      <c r="G33" s="62"/>
      <c r="H33" s="66"/>
      <c r="I33" s="67"/>
      <c r="J33" s="67"/>
      <c r="K33" s="31" t="s">
        <v>65</v>
      </c>
      <c r="L33" s="68">
        <v>33</v>
      </c>
      <c r="M33" s="68"/>
      <c r="N33" s="69"/>
      <c r="O33" s="76" t="s">
        <v>588</v>
      </c>
      <c r="P33" s="78">
        <v>44811.60574074074</v>
      </c>
      <c r="Q33" s="76" t="s">
        <v>597</v>
      </c>
      <c r="R33" s="76"/>
      <c r="S33" s="76"/>
      <c r="T33" s="81" t="s">
        <v>797</v>
      </c>
      <c r="U33" s="79" t="str">
        <f>HYPERLINK("https://pbs.twimg.com/media/FcD0Kg2aMAMuZcv.jpg")</f>
        <v>https://pbs.twimg.com/media/FcD0Kg2aMAMuZcv.jpg</v>
      </c>
      <c r="V33" s="79" t="str">
        <f>HYPERLINK("https://pbs.twimg.com/media/FcD0Kg2aMAMuZcv.jpg")</f>
        <v>https://pbs.twimg.com/media/FcD0Kg2aMAMuZcv.jpg</v>
      </c>
      <c r="W33" s="78">
        <v>44811.60574074074</v>
      </c>
      <c r="X33" s="84">
        <v>44811</v>
      </c>
      <c r="Y33" s="81" t="s">
        <v>903</v>
      </c>
      <c r="Z33" s="79" t="str">
        <f>HYPERLINK("https://twitter.com/oliverswift65/status/1567521134756909057")</f>
        <v>https://twitter.com/oliverswift65/status/1567521134756909057</v>
      </c>
      <c r="AA33" s="76"/>
      <c r="AB33" s="76"/>
      <c r="AC33" s="81" t="s">
        <v>1234</v>
      </c>
      <c r="AD33" s="81" t="s">
        <v>1571</v>
      </c>
      <c r="AE33" s="76" t="b">
        <v>0</v>
      </c>
      <c r="AF33" s="76">
        <v>2</v>
      </c>
      <c r="AG33" s="81" t="s">
        <v>1680</v>
      </c>
      <c r="AH33" s="76" t="b">
        <v>0</v>
      </c>
      <c r="AI33" s="76" t="s">
        <v>1770</v>
      </c>
      <c r="AJ33" s="76"/>
      <c r="AK33" s="81" t="s">
        <v>1674</v>
      </c>
      <c r="AL33" s="76" t="b">
        <v>0</v>
      </c>
      <c r="AM33" s="76">
        <v>0</v>
      </c>
      <c r="AN33" s="81" t="s">
        <v>1674</v>
      </c>
      <c r="AO33" s="81" t="s">
        <v>1807</v>
      </c>
      <c r="AP33" s="76" t="b">
        <v>0</v>
      </c>
      <c r="AQ33" s="81" t="s">
        <v>1571</v>
      </c>
      <c r="AR33" s="76" t="s">
        <v>219</v>
      </c>
      <c r="AS33" s="76">
        <v>0</v>
      </c>
      <c r="AT33" s="76">
        <v>0</v>
      </c>
      <c r="AU33" s="76"/>
      <c r="AV33" s="76"/>
      <c r="AW33" s="76"/>
      <c r="AX33" s="76"/>
      <c r="AY33" s="76"/>
      <c r="AZ33" s="76"/>
      <c r="BA33" s="76"/>
      <c r="BB33" s="76"/>
      <c r="BC33">
        <v>1</v>
      </c>
      <c r="BD33" s="75" t="str">
        <f>REPLACE(INDEX(GroupVertices[Group],MATCH(Edges[[#This Row],[Vertex 1]],GroupVertices[Vertex],0)),1,1,"")</f>
        <v>8</v>
      </c>
      <c r="BE33" s="75" t="str">
        <f>REPLACE(INDEX(GroupVertices[Group],MATCH(Edges[[#This Row],[Vertex 2]],GroupVertices[Vertex],0)),1,1,"")</f>
        <v>8</v>
      </c>
      <c r="BF33" s="45"/>
      <c r="BG33" s="46"/>
      <c r="BH33" s="45"/>
      <c r="BI33" s="46"/>
      <c r="BJ33" s="45"/>
      <c r="BK33" s="46"/>
      <c r="BL33" s="45"/>
      <c r="BM33" s="46"/>
      <c r="BN33" s="45"/>
    </row>
    <row r="34" spans="1:66" ht="15">
      <c r="A34" s="61" t="s">
        <v>263</v>
      </c>
      <c r="B34" s="61" t="s">
        <v>456</v>
      </c>
      <c r="C34" s="62" t="s">
        <v>4688</v>
      </c>
      <c r="D34" s="63">
        <v>5</v>
      </c>
      <c r="E34" s="62"/>
      <c r="F34" s="65">
        <v>50</v>
      </c>
      <c r="G34" s="62"/>
      <c r="H34" s="66"/>
      <c r="I34" s="67"/>
      <c r="J34" s="67"/>
      <c r="K34" s="31" t="s">
        <v>65</v>
      </c>
      <c r="L34" s="68">
        <v>34</v>
      </c>
      <c r="M34" s="68"/>
      <c r="N34" s="69"/>
      <c r="O34" s="76" t="s">
        <v>587</v>
      </c>
      <c r="P34" s="78">
        <v>44811.60574074074</v>
      </c>
      <c r="Q34" s="76" t="s">
        <v>597</v>
      </c>
      <c r="R34" s="76"/>
      <c r="S34" s="76"/>
      <c r="T34" s="81" t="s">
        <v>797</v>
      </c>
      <c r="U34" s="79" t="str">
        <f>HYPERLINK("https://pbs.twimg.com/media/FcD0Kg2aMAMuZcv.jpg")</f>
        <v>https://pbs.twimg.com/media/FcD0Kg2aMAMuZcv.jpg</v>
      </c>
      <c r="V34" s="79" t="str">
        <f>HYPERLINK("https://pbs.twimg.com/media/FcD0Kg2aMAMuZcv.jpg")</f>
        <v>https://pbs.twimg.com/media/FcD0Kg2aMAMuZcv.jpg</v>
      </c>
      <c r="W34" s="78">
        <v>44811.60574074074</v>
      </c>
      <c r="X34" s="84">
        <v>44811</v>
      </c>
      <c r="Y34" s="81" t="s">
        <v>903</v>
      </c>
      <c r="Z34" s="79" t="str">
        <f>HYPERLINK("https://twitter.com/oliverswift65/status/1567521134756909057")</f>
        <v>https://twitter.com/oliverswift65/status/1567521134756909057</v>
      </c>
      <c r="AA34" s="76"/>
      <c r="AB34" s="76"/>
      <c r="AC34" s="81" t="s">
        <v>1234</v>
      </c>
      <c r="AD34" s="81" t="s">
        <v>1571</v>
      </c>
      <c r="AE34" s="76" t="b">
        <v>0</v>
      </c>
      <c r="AF34" s="76">
        <v>2</v>
      </c>
      <c r="AG34" s="81" t="s">
        <v>1680</v>
      </c>
      <c r="AH34" s="76" t="b">
        <v>0</v>
      </c>
      <c r="AI34" s="76" t="s">
        <v>1770</v>
      </c>
      <c r="AJ34" s="76"/>
      <c r="AK34" s="81" t="s">
        <v>1674</v>
      </c>
      <c r="AL34" s="76" t="b">
        <v>0</v>
      </c>
      <c r="AM34" s="76">
        <v>0</v>
      </c>
      <c r="AN34" s="81" t="s">
        <v>1674</v>
      </c>
      <c r="AO34" s="81" t="s">
        <v>1807</v>
      </c>
      <c r="AP34" s="76" t="b">
        <v>0</v>
      </c>
      <c r="AQ34" s="81" t="s">
        <v>1571</v>
      </c>
      <c r="AR34" s="76" t="s">
        <v>219</v>
      </c>
      <c r="AS34" s="76">
        <v>0</v>
      </c>
      <c r="AT34" s="76">
        <v>0</v>
      </c>
      <c r="AU34" s="76"/>
      <c r="AV34" s="76"/>
      <c r="AW34" s="76"/>
      <c r="AX34" s="76"/>
      <c r="AY34" s="76"/>
      <c r="AZ34" s="76"/>
      <c r="BA34" s="76"/>
      <c r="BB34" s="76"/>
      <c r="BC34">
        <v>1</v>
      </c>
      <c r="BD34" s="75" t="str">
        <f>REPLACE(INDEX(GroupVertices[Group],MATCH(Edges[[#This Row],[Vertex 1]],GroupVertices[Vertex],0)),1,1,"")</f>
        <v>8</v>
      </c>
      <c r="BE34" s="75" t="str">
        <f>REPLACE(INDEX(GroupVertices[Group],MATCH(Edges[[#This Row],[Vertex 2]],GroupVertices[Vertex],0)),1,1,"")</f>
        <v>8</v>
      </c>
      <c r="BF34" s="45">
        <v>0</v>
      </c>
      <c r="BG34" s="46">
        <v>0</v>
      </c>
      <c r="BH34" s="45">
        <v>0</v>
      </c>
      <c r="BI34" s="46">
        <v>0</v>
      </c>
      <c r="BJ34" s="45">
        <v>0</v>
      </c>
      <c r="BK34" s="46">
        <v>0</v>
      </c>
      <c r="BL34" s="45">
        <v>29</v>
      </c>
      <c r="BM34" s="46">
        <v>100</v>
      </c>
      <c r="BN34" s="45">
        <v>29</v>
      </c>
    </row>
    <row r="35" spans="1:66" ht="15">
      <c r="A35" s="61" t="s">
        <v>263</v>
      </c>
      <c r="B35" s="61" t="s">
        <v>263</v>
      </c>
      <c r="C35" s="62" t="s">
        <v>4689</v>
      </c>
      <c r="D35" s="63">
        <v>5.416666666666667</v>
      </c>
      <c r="E35" s="62"/>
      <c r="F35" s="65">
        <v>47.083333333333336</v>
      </c>
      <c r="G35" s="62"/>
      <c r="H35" s="66"/>
      <c r="I35" s="67"/>
      <c r="J35" s="67"/>
      <c r="K35" s="31" t="s">
        <v>65</v>
      </c>
      <c r="L35" s="68">
        <v>35</v>
      </c>
      <c r="M35" s="68"/>
      <c r="N35" s="69"/>
      <c r="O35" s="76" t="s">
        <v>219</v>
      </c>
      <c r="P35" s="78">
        <v>44812.20361111111</v>
      </c>
      <c r="Q35" s="76" t="s">
        <v>598</v>
      </c>
      <c r="R35" s="76"/>
      <c r="S35" s="76"/>
      <c r="T35" s="81" t="s">
        <v>798</v>
      </c>
      <c r="U35" s="79" t="str">
        <f>HYPERLINK("https://pbs.twimg.com/ext_tw_video_thumb/1567737728930054144/pu/img/011G4iqUc02yblHK.jpg")</f>
        <v>https://pbs.twimg.com/ext_tw_video_thumb/1567737728930054144/pu/img/011G4iqUc02yblHK.jpg</v>
      </c>
      <c r="V35" s="79" t="str">
        <f>HYPERLINK("https://pbs.twimg.com/ext_tw_video_thumb/1567737728930054144/pu/img/011G4iqUc02yblHK.jpg")</f>
        <v>https://pbs.twimg.com/ext_tw_video_thumb/1567737728930054144/pu/img/011G4iqUc02yblHK.jpg</v>
      </c>
      <c r="W35" s="78">
        <v>44812.20361111111</v>
      </c>
      <c r="X35" s="84">
        <v>44812</v>
      </c>
      <c r="Y35" s="81" t="s">
        <v>904</v>
      </c>
      <c r="Z35" s="79" t="str">
        <f>HYPERLINK("https://twitter.com/oliverswift65/status/1567737795397156864")</f>
        <v>https://twitter.com/oliverswift65/status/1567737795397156864</v>
      </c>
      <c r="AA35" s="76"/>
      <c r="AB35" s="76"/>
      <c r="AC35" s="81" t="s">
        <v>1235</v>
      </c>
      <c r="AD35" s="76"/>
      <c r="AE35" s="76" t="b">
        <v>0</v>
      </c>
      <c r="AF35" s="76">
        <v>0</v>
      </c>
      <c r="AG35" s="81" t="s">
        <v>1674</v>
      </c>
      <c r="AH35" s="76" t="b">
        <v>0</v>
      </c>
      <c r="AI35" s="76" t="s">
        <v>1770</v>
      </c>
      <c r="AJ35" s="76"/>
      <c r="AK35" s="81" t="s">
        <v>1674</v>
      </c>
      <c r="AL35" s="76" t="b">
        <v>0</v>
      </c>
      <c r="AM35" s="76">
        <v>0</v>
      </c>
      <c r="AN35" s="81" t="s">
        <v>1674</v>
      </c>
      <c r="AO35" s="81" t="s">
        <v>1807</v>
      </c>
      <c r="AP35" s="76" t="b">
        <v>0</v>
      </c>
      <c r="AQ35" s="81" t="s">
        <v>1235</v>
      </c>
      <c r="AR35" s="76" t="s">
        <v>219</v>
      </c>
      <c r="AS35" s="76">
        <v>0</v>
      </c>
      <c r="AT35" s="76">
        <v>0</v>
      </c>
      <c r="AU35" s="76"/>
      <c r="AV35" s="76"/>
      <c r="AW35" s="76"/>
      <c r="AX35" s="76"/>
      <c r="AY35" s="76"/>
      <c r="AZ35" s="76"/>
      <c r="BA35" s="76"/>
      <c r="BB35" s="76"/>
      <c r="BC35">
        <v>2</v>
      </c>
      <c r="BD35" s="75" t="str">
        <f>REPLACE(INDEX(GroupVertices[Group],MATCH(Edges[[#This Row],[Vertex 1]],GroupVertices[Vertex],0)),1,1,"")</f>
        <v>8</v>
      </c>
      <c r="BE35" s="75" t="str">
        <f>REPLACE(INDEX(GroupVertices[Group],MATCH(Edges[[#This Row],[Vertex 2]],GroupVertices[Vertex],0)),1,1,"")</f>
        <v>8</v>
      </c>
      <c r="BF35" s="45">
        <v>0</v>
      </c>
      <c r="BG35" s="46">
        <v>0</v>
      </c>
      <c r="BH35" s="45">
        <v>0</v>
      </c>
      <c r="BI35" s="46">
        <v>0</v>
      </c>
      <c r="BJ35" s="45">
        <v>0</v>
      </c>
      <c r="BK35" s="46">
        <v>0</v>
      </c>
      <c r="BL35" s="45">
        <v>19</v>
      </c>
      <c r="BM35" s="46">
        <v>100</v>
      </c>
      <c r="BN35" s="45">
        <v>19</v>
      </c>
    </row>
    <row r="36" spans="1:66" ht="15">
      <c r="A36" s="61" t="s">
        <v>263</v>
      </c>
      <c r="B36" s="61" t="s">
        <v>263</v>
      </c>
      <c r="C36" s="62" t="s">
        <v>4689</v>
      </c>
      <c r="D36" s="63">
        <v>5.416666666666667</v>
      </c>
      <c r="E36" s="62"/>
      <c r="F36" s="65">
        <v>47.083333333333336</v>
      </c>
      <c r="G36" s="62"/>
      <c r="H36" s="66"/>
      <c r="I36" s="67"/>
      <c r="J36" s="67"/>
      <c r="K36" s="31" t="s">
        <v>65</v>
      </c>
      <c r="L36" s="68">
        <v>36</v>
      </c>
      <c r="M36" s="68"/>
      <c r="N36" s="69"/>
      <c r="O36" s="76" t="s">
        <v>219</v>
      </c>
      <c r="P36" s="78">
        <v>44812.22046296296</v>
      </c>
      <c r="Q36" s="76" t="s">
        <v>599</v>
      </c>
      <c r="R36" s="76"/>
      <c r="S36" s="76"/>
      <c r="T36" s="81" t="s">
        <v>799</v>
      </c>
      <c r="U36" s="79" t="str">
        <f>HYPERLINK("https://pbs.twimg.com/media/FcG-xYaakAQU3ym.jpg")</f>
        <v>https://pbs.twimg.com/media/FcG-xYaakAQU3ym.jpg</v>
      </c>
      <c r="V36" s="79" t="str">
        <f>HYPERLINK("https://pbs.twimg.com/media/FcG-xYaakAQU3ym.jpg")</f>
        <v>https://pbs.twimg.com/media/FcG-xYaakAQU3ym.jpg</v>
      </c>
      <c r="W36" s="78">
        <v>44812.22046296296</v>
      </c>
      <c r="X36" s="84">
        <v>44812</v>
      </c>
      <c r="Y36" s="81" t="s">
        <v>905</v>
      </c>
      <c r="Z36" s="79" t="str">
        <f>HYPERLINK("https://twitter.com/oliverswift65/status/1567743903914401792")</f>
        <v>https://twitter.com/oliverswift65/status/1567743903914401792</v>
      </c>
      <c r="AA36" s="76"/>
      <c r="AB36" s="76"/>
      <c r="AC36" s="81" t="s">
        <v>1236</v>
      </c>
      <c r="AD36" s="76"/>
      <c r="AE36" s="76" t="b">
        <v>0</v>
      </c>
      <c r="AF36" s="76">
        <v>0</v>
      </c>
      <c r="AG36" s="81" t="s">
        <v>1674</v>
      </c>
      <c r="AH36" s="76" t="b">
        <v>0</v>
      </c>
      <c r="AI36" s="76" t="s">
        <v>1770</v>
      </c>
      <c r="AJ36" s="76"/>
      <c r="AK36" s="81" t="s">
        <v>1674</v>
      </c>
      <c r="AL36" s="76" t="b">
        <v>0</v>
      </c>
      <c r="AM36" s="76">
        <v>0</v>
      </c>
      <c r="AN36" s="81" t="s">
        <v>1674</v>
      </c>
      <c r="AO36" s="81" t="s">
        <v>1807</v>
      </c>
      <c r="AP36" s="76" t="b">
        <v>0</v>
      </c>
      <c r="AQ36" s="81" t="s">
        <v>1236</v>
      </c>
      <c r="AR36" s="76" t="s">
        <v>219</v>
      </c>
      <c r="AS36" s="76">
        <v>0</v>
      </c>
      <c r="AT36" s="76">
        <v>0</v>
      </c>
      <c r="AU36" s="76"/>
      <c r="AV36" s="76"/>
      <c r="AW36" s="76"/>
      <c r="AX36" s="76"/>
      <c r="AY36" s="76"/>
      <c r="AZ36" s="76"/>
      <c r="BA36" s="76"/>
      <c r="BB36" s="76"/>
      <c r="BC36">
        <v>2</v>
      </c>
      <c r="BD36" s="75" t="str">
        <f>REPLACE(INDEX(GroupVertices[Group],MATCH(Edges[[#This Row],[Vertex 1]],GroupVertices[Vertex],0)),1,1,"")</f>
        <v>8</v>
      </c>
      <c r="BE36" s="75" t="str">
        <f>REPLACE(INDEX(GroupVertices[Group],MATCH(Edges[[#This Row],[Vertex 2]],GroupVertices[Vertex],0)),1,1,"")</f>
        <v>8</v>
      </c>
      <c r="BF36" s="45">
        <v>1</v>
      </c>
      <c r="BG36" s="46">
        <v>5.555555555555555</v>
      </c>
      <c r="BH36" s="45">
        <v>0</v>
      </c>
      <c r="BI36" s="46">
        <v>0</v>
      </c>
      <c r="BJ36" s="45">
        <v>0</v>
      </c>
      <c r="BK36" s="46">
        <v>0</v>
      </c>
      <c r="BL36" s="45">
        <v>17</v>
      </c>
      <c r="BM36" s="46">
        <v>94.44444444444444</v>
      </c>
      <c r="BN36" s="45">
        <v>18</v>
      </c>
    </row>
    <row r="37" spans="1:66" ht="15">
      <c r="A37" s="61" t="s">
        <v>264</v>
      </c>
      <c r="B37" s="61" t="s">
        <v>264</v>
      </c>
      <c r="C37" s="62" t="s">
        <v>4688</v>
      </c>
      <c r="D37" s="63">
        <v>5</v>
      </c>
      <c r="E37" s="62"/>
      <c r="F37" s="65">
        <v>50</v>
      </c>
      <c r="G37" s="62"/>
      <c r="H37" s="66"/>
      <c r="I37" s="67"/>
      <c r="J37" s="67"/>
      <c r="K37" s="31" t="s">
        <v>65</v>
      </c>
      <c r="L37" s="68">
        <v>37</v>
      </c>
      <c r="M37" s="68"/>
      <c r="N37" s="69"/>
      <c r="O37" s="76" t="s">
        <v>219</v>
      </c>
      <c r="P37" s="78">
        <v>44812.29819444445</v>
      </c>
      <c r="Q37" s="76" t="s">
        <v>600</v>
      </c>
      <c r="R37" s="79" t="str">
        <f>HYPERLINK("https://twitter.com/mathematic1313/status/1548439504783978499")</f>
        <v>https://twitter.com/mathematic1313/status/1548439504783978499</v>
      </c>
      <c r="S37" s="76" t="s">
        <v>783</v>
      </c>
      <c r="T37" s="81" t="s">
        <v>800</v>
      </c>
      <c r="U37" s="76"/>
      <c r="V37" s="79" t="str">
        <f>HYPERLINK("https://pbs.twimg.com/profile_images/1560136186999586817/4eoADy9B_normal.jpg")</f>
        <v>https://pbs.twimg.com/profile_images/1560136186999586817/4eoADy9B_normal.jpg</v>
      </c>
      <c r="W37" s="78">
        <v>44812.29819444445</v>
      </c>
      <c r="X37" s="84">
        <v>44812</v>
      </c>
      <c r="Y37" s="81" t="s">
        <v>906</v>
      </c>
      <c r="Z37" s="79" t="str">
        <f>HYPERLINK("https://twitter.com/lecureuil33/status/1567772071115063303")</f>
        <v>https://twitter.com/lecureuil33/status/1567772071115063303</v>
      </c>
      <c r="AA37" s="76"/>
      <c r="AB37" s="76"/>
      <c r="AC37" s="81" t="s">
        <v>1237</v>
      </c>
      <c r="AD37" s="76"/>
      <c r="AE37" s="76" t="b">
        <v>0</v>
      </c>
      <c r="AF37" s="76">
        <v>1</v>
      </c>
      <c r="AG37" s="81" t="s">
        <v>1674</v>
      </c>
      <c r="AH37" s="76" t="b">
        <v>1</v>
      </c>
      <c r="AI37" s="76" t="s">
        <v>1773</v>
      </c>
      <c r="AJ37" s="76"/>
      <c r="AK37" s="81" t="s">
        <v>1786</v>
      </c>
      <c r="AL37" s="76" t="b">
        <v>0</v>
      </c>
      <c r="AM37" s="76">
        <v>1</v>
      </c>
      <c r="AN37" s="81" t="s">
        <v>1674</v>
      </c>
      <c r="AO37" s="81" t="s">
        <v>1809</v>
      </c>
      <c r="AP37" s="76" t="b">
        <v>0</v>
      </c>
      <c r="AQ37" s="81" t="s">
        <v>1237</v>
      </c>
      <c r="AR37" s="76" t="s">
        <v>219</v>
      </c>
      <c r="AS37" s="76">
        <v>0</v>
      </c>
      <c r="AT37" s="76">
        <v>0</v>
      </c>
      <c r="AU37" s="76"/>
      <c r="AV37" s="76"/>
      <c r="AW37" s="76"/>
      <c r="AX37" s="76"/>
      <c r="AY37" s="76"/>
      <c r="AZ37" s="76"/>
      <c r="BA37" s="76"/>
      <c r="BB37" s="76"/>
      <c r="BC37">
        <v>1</v>
      </c>
      <c r="BD37" s="75" t="str">
        <f>REPLACE(INDEX(GroupVertices[Group],MATCH(Edges[[#This Row],[Vertex 1]],GroupVertices[Vertex],0)),1,1,"")</f>
        <v>2</v>
      </c>
      <c r="BE37" s="75" t="str">
        <f>REPLACE(INDEX(GroupVertices[Group],MATCH(Edges[[#This Row],[Vertex 2]],GroupVertices[Vertex],0)),1,1,"")</f>
        <v>2</v>
      </c>
      <c r="BF37" s="45">
        <v>0</v>
      </c>
      <c r="BG37" s="46">
        <v>0</v>
      </c>
      <c r="BH37" s="45">
        <v>0</v>
      </c>
      <c r="BI37" s="46">
        <v>0</v>
      </c>
      <c r="BJ37" s="45">
        <v>0</v>
      </c>
      <c r="BK37" s="46">
        <v>0</v>
      </c>
      <c r="BL37" s="45">
        <v>3</v>
      </c>
      <c r="BM37" s="46">
        <v>100</v>
      </c>
      <c r="BN37" s="45">
        <v>3</v>
      </c>
    </row>
    <row r="38" spans="1:66" ht="15">
      <c r="A38" s="61" t="s">
        <v>265</v>
      </c>
      <c r="B38" s="61" t="s">
        <v>457</v>
      </c>
      <c r="C38" s="62" t="s">
        <v>4688</v>
      </c>
      <c r="D38" s="63">
        <v>5</v>
      </c>
      <c r="E38" s="62"/>
      <c r="F38" s="65">
        <v>50</v>
      </c>
      <c r="G38" s="62"/>
      <c r="H38" s="66"/>
      <c r="I38" s="67"/>
      <c r="J38" s="67"/>
      <c r="K38" s="31" t="s">
        <v>65</v>
      </c>
      <c r="L38" s="68">
        <v>38</v>
      </c>
      <c r="M38" s="68"/>
      <c r="N38" s="69"/>
      <c r="O38" s="76" t="s">
        <v>588</v>
      </c>
      <c r="P38" s="78">
        <v>44806.46244212963</v>
      </c>
      <c r="Q38" s="76" t="s">
        <v>601</v>
      </c>
      <c r="R38" s="76"/>
      <c r="S38" s="76"/>
      <c r="T38" s="81" t="s">
        <v>801</v>
      </c>
      <c r="U38" s="79" t="str">
        <f>HYPERLINK("https://pbs.twimg.com/media/FbpU_MOXgAAR7eK.jpg")</f>
        <v>https://pbs.twimg.com/media/FbpU_MOXgAAR7eK.jpg</v>
      </c>
      <c r="V38" s="79" t="str">
        <f>HYPERLINK("https://pbs.twimg.com/media/FbpU_MOXgAAR7eK.jpg")</f>
        <v>https://pbs.twimg.com/media/FbpU_MOXgAAR7eK.jpg</v>
      </c>
      <c r="W38" s="78">
        <v>44806.46244212963</v>
      </c>
      <c r="X38" s="84">
        <v>44806</v>
      </c>
      <c r="Y38" s="81" t="s">
        <v>907</v>
      </c>
      <c r="Z38" s="79" t="str">
        <f>HYPERLINK("https://twitter.com/chakhoyanandrew/status/1565657268326207488")</f>
        <v>https://twitter.com/chakhoyanandrew/status/1565657268326207488</v>
      </c>
      <c r="AA38" s="76"/>
      <c r="AB38" s="76"/>
      <c r="AC38" s="81" t="s">
        <v>1238</v>
      </c>
      <c r="AD38" s="81" t="s">
        <v>1572</v>
      </c>
      <c r="AE38" s="76" t="b">
        <v>0</v>
      </c>
      <c r="AF38" s="76">
        <v>84</v>
      </c>
      <c r="AG38" s="81" t="s">
        <v>1681</v>
      </c>
      <c r="AH38" s="76" t="b">
        <v>0</v>
      </c>
      <c r="AI38" s="76" t="s">
        <v>1772</v>
      </c>
      <c r="AJ38" s="76"/>
      <c r="AK38" s="81" t="s">
        <v>1674</v>
      </c>
      <c r="AL38" s="76" t="b">
        <v>0</v>
      </c>
      <c r="AM38" s="76">
        <v>9</v>
      </c>
      <c r="AN38" s="81" t="s">
        <v>1674</v>
      </c>
      <c r="AO38" s="81" t="s">
        <v>1809</v>
      </c>
      <c r="AP38" s="76" t="b">
        <v>0</v>
      </c>
      <c r="AQ38" s="81" t="s">
        <v>1572</v>
      </c>
      <c r="AR38" s="76" t="s">
        <v>586</v>
      </c>
      <c r="AS38" s="76">
        <v>0</v>
      </c>
      <c r="AT38" s="76">
        <v>0</v>
      </c>
      <c r="AU38" s="76"/>
      <c r="AV38" s="76"/>
      <c r="AW38" s="76"/>
      <c r="AX38" s="76"/>
      <c r="AY38" s="76"/>
      <c r="AZ38" s="76"/>
      <c r="BA38" s="76"/>
      <c r="BB38" s="76"/>
      <c r="BC38">
        <v>1</v>
      </c>
      <c r="BD38" s="75" t="str">
        <f>REPLACE(INDEX(GroupVertices[Group],MATCH(Edges[[#This Row],[Vertex 1]],GroupVertices[Vertex],0)),1,1,"")</f>
        <v>16</v>
      </c>
      <c r="BE38" s="75" t="str">
        <f>REPLACE(INDEX(GroupVertices[Group],MATCH(Edges[[#This Row],[Vertex 2]],GroupVertices[Vertex],0)),1,1,"")</f>
        <v>16</v>
      </c>
      <c r="BF38" s="45"/>
      <c r="BG38" s="46"/>
      <c r="BH38" s="45"/>
      <c r="BI38" s="46"/>
      <c r="BJ38" s="45"/>
      <c r="BK38" s="46"/>
      <c r="BL38" s="45"/>
      <c r="BM38" s="46"/>
      <c r="BN38" s="45"/>
    </row>
    <row r="39" spans="1:66" ht="15">
      <c r="A39" s="61" t="s">
        <v>266</v>
      </c>
      <c r="B39" s="61" t="s">
        <v>457</v>
      </c>
      <c r="C39" s="62" t="s">
        <v>4688</v>
      </c>
      <c r="D39" s="63">
        <v>5</v>
      </c>
      <c r="E39" s="62"/>
      <c r="F39" s="65">
        <v>50</v>
      </c>
      <c r="G39" s="62"/>
      <c r="H39" s="66"/>
      <c r="I39" s="67"/>
      <c r="J39" s="67"/>
      <c r="K39" s="31" t="s">
        <v>65</v>
      </c>
      <c r="L39" s="68">
        <v>39</v>
      </c>
      <c r="M39" s="68"/>
      <c r="N39" s="69"/>
      <c r="O39" s="76" t="s">
        <v>585</v>
      </c>
      <c r="P39" s="78">
        <v>44812.31041666667</v>
      </c>
      <c r="Q39" s="76" t="s">
        <v>601</v>
      </c>
      <c r="R39" s="76"/>
      <c r="S39" s="76"/>
      <c r="T39" s="81" t="s">
        <v>801</v>
      </c>
      <c r="U39" s="79" t="str">
        <f>HYPERLINK("https://pbs.twimg.com/media/FbpU_MOXgAAR7eK.jpg")</f>
        <v>https://pbs.twimg.com/media/FbpU_MOXgAAR7eK.jpg</v>
      </c>
      <c r="V39" s="79" t="str">
        <f>HYPERLINK("https://pbs.twimg.com/media/FbpU_MOXgAAR7eK.jpg")</f>
        <v>https://pbs.twimg.com/media/FbpU_MOXgAAR7eK.jpg</v>
      </c>
      <c r="W39" s="78">
        <v>44812.31041666667</v>
      </c>
      <c r="X39" s="84">
        <v>44812</v>
      </c>
      <c r="Y39" s="81" t="s">
        <v>908</v>
      </c>
      <c r="Z39" s="79" t="str">
        <f>HYPERLINK("https://twitter.com/syanyakernytska/status/1567776502854418432")</f>
        <v>https://twitter.com/syanyakernytska/status/1567776502854418432</v>
      </c>
      <c r="AA39" s="76"/>
      <c r="AB39" s="76"/>
      <c r="AC39" s="81" t="s">
        <v>1239</v>
      </c>
      <c r="AD39" s="76"/>
      <c r="AE39" s="76" t="b">
        <v>0</v>
      </c>
      <c r="AF39" s="76">
        <v>0</v>
      </c>
      <c r="AG39" s="81" t="s">
        <v>1674</v>
      </c>
      <c r="AH39" s="76" t="b">
        <v>0</v>
      </c>
      <c r="AI39" s="76" t="s">
        <v>1772</v>
      </c>
      <c r="AJ39" s="76"/>
      <c r="AK39" s="81" t="s">
        <v>1674</v>
      </c>
      <c r="AL39" s="76" t="b">
        <v>0</v>
      </c>
      <c r="AM39" s="76">
        <v>9</v>
      </c>
      <c r="AN39" s="81" t="s">
        <v>1238</v>
      </c>
      <c r="AO39" s="81" t="s">
        <v>1807</v>
      </c>
      <c r="AP39" s="76" t="b">
        <v>0</v>
      </c>
      <c r="AQ39" s="81" t="s">
        <v>1238</v>
      </c>
      <c r="AR39" s="76" t="s">
        <v>219</v>
      </c>
      <c r="AS39" s="76">
        <v>0</v>
      </c>
      <c r="AT39" s="76">
        <v>0</v>
      </c>
      <c r="AU39" s="76"/>
      <c r="AV39" s="76"/>
      <c r="AW39" s="76"/>
      <c r="AX39" s="76"/>
      <c r="AY39" s="76"/>
      <c r="AZ39" s="76"/>
      <c r="BA39" s="76"/>
      <c r="BB39" s="76"/>
      <c r="BC39">
        <v>1</v>
      </c>
      <c r="BD39" s="75" t="str">
        <f>REPLACE(INDEX(GroupVertices[Group],MATCH(Edges[[#This Row],[Vertex 1]],GroupVertices[Vertex],0)),1,1,"")</f>
        <v>16</v>
      </c>
      <c r="BE39" s="75" t="str">
        <f>REPLACE(INDEX(GroupVertices[Group],MATCH(Edges[[#This Row],[Vertex 2]],GroupVertices[Vertex],0)),1,1,"")</f>
        <v>16</v>
      </c>
      <c r="BF39" s="45"/>
      <c r="BG39" s="46"/>
      <c r="BH39" s="45"/>
      <c r="BI39" s="46"/>
      <c r="BJ39" s="45"/>
      <c r="BK39" s="46"/>
      <c r="BL39" s="45"/>
      <c r="BM39" s="46"/>
      <c r="BN39" s="45"/>
    </row>
    <row r="40" spans="1:66" ht="15">
      <c r="A40" s="61" t="s">
        <v>265</v>
      </c>
      <c r="B40" s="61" t="s">
        <v>458</v>
      </c>
      <c r="C40" s="62" t="s">
        <v>4688</v>
      </c>
      <c r="D40" s="63">
        <v>5</v>
      </c>
      <c r="E40" s="62"/>
      <c r="F40" s="65">
        <v>50</v>
      </c>
      <c r="G40" s="62"/>
      <c r="H40" s="66"/>
      <c r="I40" s="67"/>
      <c r="J40" s="67"/>
      <c r="K40" s="31" t="s">
        <v>65</v>
      </c>
      <c r="L40" s="68">
        <v>40</v>
      </c>
      <c r="M40" s="68"/>
      <c r="N40" s="69"/>
      <c r="O40" s="76" t="s">
        <v>588</v>
      </c>
      <c r="P40" s="78">
        <v>44806.46244212963</v>
      </c>
      <c r="Q40" s="76" t="s">
        <v>601</v>
      </c>
      <c r="R40" s="76"/>
      <c r="S40" s="76"/>
      <c r="T40" s="81" t="s">
        <v>801</v>
      </c>
      <c r="U40" s="79" t="str">
        <f>HYPERLINK("https://pbs.twimg.com/media/FbpU_MOXgAAR7eK.jpg")</f>
        <v>https://pbs.twimg.com/media/FbpU_MOXgAAR7eK.jpg</v>
      </c>
      <c r="V40" s="79" t="str">
        <f>HYPERLINK("https://pbs.twimg.com/media/FbpU_MOXgAAR7eK.jpg")</f>
        <v>https://pbs.twimg.com/media/FbpU_MOXgAAR7eK.jpg</v>
      </c>
      <c r="W40" s="78">
        <v>44806.46244212963</v>
      </c>
      <c r="X40" s="84">
        <v>44806</v>
      </c>
      <c r="Y40" s="81" t="s">
        <v>907</v>
      </c>
      <c r="Z40" s="79" t="str">
        <f>HYPERLINK("https://twitter.com/chakhoyanandrew/status/1565657268326207488")</f>
        <v>https://twitter.com/chakhoyanandrew/status/1565657268326207488</v>
      </c>
      <c r="AA40" s="76"/>
      <c r="AB40" s="76"/>
      <c r="AC40" s="81" t="s">
        <v>1238</v>
      </c>
      <c r="AD40" s="81" t="s">
        <v>1572</v>
      </c>
      <c r="AE40" s="76" t="b">
        <v>0</v>
      </c>
      <c r="AF40" s="76">
        <v>84</v>
      </c>
      <c r="AG40" s="81" t="s">
        <v>1681</v>
      </c>
      <c r="AH40" s="76" t="b">
        <v>0</v>
      </c>
      <c r="AI40" s="76" t="s">
        <v>1772</v>
      </c>
      <c r="AJ40" s="76"/>
      <c r="AK40" s="81" t="s">
        <v>1674</v>
      </c>
      <c r="AL40" s="76" t="b">
        <v>0</v>
      </c>
      <c r="AM40" s="76">
        <v>9</v>
      </c>
      <c r="AN40" s="81" t="s">
        <v>1674</v>
      </c>
      <c r="AO40" s="81" t="s">
        <v>1809</v>
      </c>
      <c r="AP40" s="76" t="b">
        <v>0</v>
      </c>
      <c r="AQ40" s="81" t="s">
        <v>1572</v>
      </c>
      <c r="AR40" s="76" t="s">
        <v>586</v>
      </c>
      <c r="AS40" s="76">
        <v>0</v>
      </c>
      <c r="AT40" s="76">
        <v>0</v>
      </c>
      <c r="AU40" s="76"/>
      <c r="AV40" s="76"/>
      <c r="AW40" s="76"/>
      <c r="AX40" s="76"/>
      <c r="AY40" s="76"/>
      <c r="AZ40" s="76"/>
      <c r="BA40" s="76"/>
      <c r="BB40" s="76"/>
      <c r="BC40">
        <v>1</v>
      </c>
      <c r="BD40" s="75" t="str">
        <f>REPLACE(INDEX(GroupVertices[Group],MATCH(Edges[[#This Row],[Vertex 1]],GroupVertices[Vertex],0)),1,1,"")</f>
        <v>16</v>
      </c>
      <c r="BE40" s="75" t="str">
        <f>REPLACE(INDEX(GroupVertices[Group],MATCH(Edges[[#This Row],[Vertex 2]],GroupVertices[Vertex],0)),1,1,"")</f>
        <v>16</v>
      </c>
      <c r="BF40" s="45"/>
      <c r="BG40" s="46"/>
      <c r="BH40" s="45"/>
      <c r="BI40" s="46"/>
      <c r="BJ40" s="45"/>
      <c r="BK40" s="46"/>
      <c r="BL40" s="45"/>
      <c r="BM40" s="46"/>
      <c r="BN40" s="45"/>
    </row>
    <row r="41" spans="1:66" ht="15">
      <c r="A41" s="61" t="s">
        <v>265</v>
      </c>
      <c r="B41" s="61" t="s">
        <v>459</v>
      </c>
      <c r="C41" s="62" t="s">
        <v>4688</v>
      </c>
      <c r="D41" s="63">
        <v>5</v>
      </c>
      <c r="E41" s="62"/>
      <c r="F41" s="65">
        <v>50</v>
      </c>
      <c r="G41" s="62"/>
      <c r="H41" s="66"/>
      <c r="I41" s="67"/>
      <c r="J41" s="67"/>
      <c r="K41" s="31" t="s">
        <v>65</v>
      </c>
      <c r="L41" s="68">
        <v>41</v>
      </c>
      <c r="M41" s="68"/>
      <c r="N41" s="69"/>
      <c r="O41" s="76" t="s">
        <v>587</v>
      </c>
      <c r="P41" s="78">
        <v>44806.46244212963</v>
      </c>
      <c r="Q41" s="76" t="s">
        <v>601</v>
      </c>
      <c r="R41" s="76"/>
      <c r="S41" s="76"/>
      <c r="T41" s="81" t="s">
        <v>801</v>
      </c>
      <c r="U41" s="79" t="str">
        <f>HYPERLINK("https://pbs.twimg.com/media/FbpU_MOXgAAR7eK.jpg")</f>
        <v>https://pbs.twimg.com/media/FbpU_MOXgAAR7eK.jpg</v>
      </c>
      <c r="V41" s="79" t="str">
        <f>HYPERLINK("https://pbs.twimg.com/media/FbpU_MOXgAAR7eK.jpg")</f>
        <v>https://pbs.twimg.com/media/FbpU_MOXgAAR7eK.jpg</v>
      </c>
      <c r="W41" s="78">
        <v>44806.46244212963</v>
      </c>
      <c r="X41" s="84">
        <v>44806</v>
      </c>
      <c r="Y41" s="81" t="s">
        <v>907</v>
      </c>
      <c r="Z41" s="79" t="str">
        <f>HYPERLINK("https://twitter.com/chakhoyanandrew/status/1565657268326207488")</f>
        <v>https://twitter.com/chakhoyanandrew/status/1565657268326207488</v>
      </c>
      <c r="AA41" s="76"/>
      <c r="AB41" s="76"/>
      <c r="AC41" s="81" t="s">
        <v>1238</v>
      </c>
      <c r="AD41" s="81" t="s">
        <v>1572</v>
      </c>
      <c r="AE41" s="76" t="b">
        <v>0</v>
      </c>
      <c r="AF41" s="76">
        <v>84</v>
      </c>
      <c r="AG41" s="81" t="s">
        <v>1681</v>
      </c>
      <c r="AH41" s="76" t="b">
        <v>0</v>
      </c>
      <c r="AI41" s="76" t="s">
        <v>1772</v>
      </c>
      <c r="AJ41" s="76"/>
      <c r="AK41" s="81" t="s">
        <v>1674</v>
      </c>
      <c r="AL41" s="76" t="b">
        <v>0</v>
      </c>
      <c r="AM41" s="76">
        <v>9</v>
      </c>
      <c r="AN41" s="81" t="s">
        <v>1674</v>
      </c>
      <c r="AO41" s="81" t="s">
        <v>1809</v>
      </c>
      <c r="AP41" s="76" t="b">
        <v>0</v>
      </c>
      <c r="AQ41" s="81" t="s">
        <v>1572</v>
      </c>
      <c r="AR41" s="76" t="s">
        <v>586</v>
      </c>
      <c r="AS41" s="76">
        <v>0</v>
      </c>
      <c r="AT41" s="76">
        <v>0</v>
      </c>
      <c r="AU41" s="76"/>
      <c r="AV41" s="76"/>
      <c r="AW41" s="76"/>
      <c r="AX41" s="76"/>
      <c r="AY41" s="76"/>
      <c r="AZ41" s="76"/>
      <c r="BA41" s="76"/>
      <c r="BB41" s="76"/>
      <c r="BC41">
        <v>1</v>
      </c>
      <c r="BD41" s="75" t="str">
        <f>REPLACE(INDEX(GroupVertices[Group],MATCH(Edges[[#This Row],[Vertex 1]],GroupVertices[Vertex],0)),1,1,"")</f>
        <v>16</v>
      </c>
      <c r="BE41" s="75" t="str">
        <f>REPLACE(INDEX(GroupVertices[Group],MATCH(Edges[[#This Row],[Vertex 2]],GroupVertices[Vertex],0)),1,1,"")</f>
        <v>16</v>
      </c>
      <c r="BF41" s="45">
        <v>0</v>
      </c>
      <c r="BG41" s="46">
        <v>0</v>
      </c>
      <c r="BH41" s="45">
        <v>1</v>
      </c>
      <c r="BI41" s="46">
        <v>6.25</v>
      </c>
      <c r="BJ41" s="45">
        <v>0</v>
      </c>
      <c r="BK41" s="46">
        <v>0</v>
      </c>
      <c r="BL41" s="45">
        <v>15</v>
      </c>
      <c r="BM41" s="46">
        <v>93.75</v>
      </c>
      <c r="BN41" s="45">
        <v>16</v>
      </c>
    </row>
    <row r="42" spans="1:66" ht="15">
      <c r="A42" s="61" t="s">
        <v>266</v>
      </c>
      <c r="B42" s="61" t="s">
        <v>265</v>
      </c>
      <c r="C42" s="62" t="s">
        <v>4688</v>
      </c>
      <c r="D42" s="63">
        <v>5</v>
      </c>
      <c r="E42" s="62"/>
      <c r="F42" s="65">
        <v>50</v>
      </c>
      <c r="G42" s="62"/>
      <c r="H42" s="66"/>
      <c r="I42" s="67"/>
      <c r="J42" s="67"/>
      <c r="K42" s="31" t="s">
        <v>65</v>
      </c>
      <c r="L42" s="68">
        <v>42</v>
      </c>
      <c r="M42" s="68"/>
      <c r="N42" s="69"/>
      <c r="O42" s="76" t="s">
        <v>586</v>
      </c>
      <c r="P42" s="78">
        <v>44812.31041666667</v>
      </c>
      <c r="Q42" s="76" t="s">
        <v>601</v>
      </c>
      <c r="R42" s="76"/>
      <c r="S42" s="76"/>
      <c r="T42" s="81" t="s">
        <v>801</v>
      </c>
      <c r="U42" s="79" t="str">
        <f>HYPERLINK("https://pbs.twimg.com/media/FbpU_MOXgAAR7eK.jpg")</f>
        <v>https://pbs.twimg.com/media/FbpU_MOXgAAR7eK.jpg</v>
      </c>
      <c r="V42" s="79" t="str">
        <f>HYPERLINK("https://pbs.twimg.com/media/FbpU_MOXgAAR7eK.jpg")</f>
        <v>https://pbs.twimg.com/media/FbpU_MOXgAAR7eK.jpg</v>
      </c>
      <c r="W42" s="78">
        <v>44812.31041666667</v>
      </c>
      <c r="X42" s="84">
        <v>44812</v>
      </c>
      <c r="Y42" s="81" t="s">
        <v>908</v>
      </c>
      <c r="Z42" s="79" t="str">
        <f>HYPERLINK("https://twitter.com/syanyakernytska/status/1567776502854418432")</f>
        <v>https://twitter.com/syanyakernytska/status/1567776502854418432</v>
      </c>
      <c r="AA42" s="76"/>
      <c r="AB42" s="76"/>
      <c r="AC42" s="81" t="s">
        <v>1239</v>
      </c>
      <c r="AD42" s="76"/>
      <c r="AE42" s="76" t="b">
        <v>0</v>
      </c>
      <c r="AF42" s="76">
        <v>0</v>
      </c>
      <c r="AG42" s="81" t="s">
        <v>1674</v>
      </c>
      <c r="AH42" s="76" t="b">
        <v>0</v>
      </c>
      <c r="AI42" s="76" t="s">
        <v>1772</v>
      </c>
      <c r="AJ42" s="76"/>
      <c r="AK42" s="81" t="s">
        <v>1674</v>
      </c>
      <c r="AL42" s="76" t="b">
        <v>0</v>
      </c>
      <c r="AM42" s="76">
        <v>9</v>
      </c>
      <c r="AN42" s="81" t="s">
        <v>1238</v>
      </c>
      <c r="AO42" s="81" t="s">
        <v>1807</v>
      </c>
      <c r="AP42" s="76" t="b">
        <v>0</v>
      </c>
      <c r="AQ42" s="81" t="s">
        <v>1238</v>
      </c>
      <c r="AR42" s="76" t="s">
        <v>219</v>
      </c>
      <c r="AS42" s="76">
        <v>0</v>
      </c>
      <c r="AT42" s="76">
        <v>0</v>
      </c>
      <c r="AU42" s="76"/>
      <c r="AV42" s="76"/>
      <c r="AW42" s="76"/>
      <c r="AX42" s="76"/>
      <c r="AY42" s="76"/>
      <c r="AZ42" s="76"/>
      <c r="BA42" s="76"/>
      <c r="BB42" s="76"/>
      <c r="BC42">
        <v>1</v>
      </c>
      <c r="BD42" s="75" t="str">
        <f>REPLACE(INDEX(GroupVertices[Group],MATCH(Edges[[#This Row],[Vertex 1]],GroupVertices[Vertex],0)),1,1,"")</f>
        <v>16</v>
      </c>
      <c r="BE42" s="75" t="str">
        <f>REPLACE(INDEX(GroupVertices[Group],MATCH(Edges[[#This Row],[Vertex 2]],GroupVertices[Vertex],0)),1,1,"")</f>
        <v>16</v>
      </c>
      <c r="BF42" s="45"/>
      <c r="BG42" s="46"/>
      <c r="BH42" s="45"/>
      <c r="BI42" s="46"/>
      <c r="BJ42" s="45"/>
      <c r="BK42" s="46"/>
      <c r="BL42" s="45"/>
      <c r="BM42" s="46"/>
      <c r="BN42" s="45"/>
    </row>
    <row r="43" spans="1:66" ht="15">
      <c r="A43" s="61" t="s">
        <v>266</v>
      </c>
      <c r="B43" s="61" t="s">
        <v>459</v>
      </c>
      <c r="C43" s="62" t="s">
        <v>4688</v>
      </c>
      <c r="D43" s="63">
        <v>5</v>
      </c>
      <c r="E43" s="62"/>
      <c r="F43" s="65">
        <v>50</v>
      </c>
      <c r="G43" s="62"/>
      <c r="H43" s="66"/>
      <c r="I43" s="67"/>
      <c r="J43" s="67"/>
      <c r="K43" s="31" t="s">
        <v>65</v>
      </c>
      <c r="L43" s="68">
        <v>43</v>
      </c>
      <c r="M43" s="68"/>
      <c r="N43" s="69"/>
      <c r="O43" s="76" t="s">
        <v>587</v>
      </c>
      <c r="P43" s="78">
        <v>44812.31041666667</v>
      </c>
      <c r="Q43" s="76" t="s">
        <v>601</v>
      </c>
      <c r="R43" s="76"/>
      <c r="S43" s="76"/>
      <c r="T43" s="81" t="s">
        <v>801</v>
      </c>
      <c r="U43" s="79" t="str">
        <f>HYPERLINK("https://pbs.twimg.com/media/FbpU_MOXgAAR7eK.jpg")</f>
        <v>https://pbs.twimg.com/media/FbpU_MOXgAAR7eK.jpg</v>
      </c>
      <c r="V43" s="79" t="str">
        <f>HYPERLINK("https://pbs.twimg.com/media/FbpU_MOXgAAR7eK.jpg")</f>
        <v>https://pbs.twimg.com/media/FbpU_MOXgAAR7eK.jpg</v>
      </c>
      <c r="W43" s="78">
        <v>44812.31041666667</v>
      </c>
      <c r="X43" s="84">
        <v>44812</v>
      </c>
      <c r="Y43" s="81" t="s">
        <v>908</v>
      </c>
      <c r="Z43" s="79" t="str">
        <f>HYPERLINK("https://twitter.com/syanyakernytska/status/1567776502854418432")</f>
        <v>https://twitter.com/syanyakernytska/status/1567776502854418432</v>
      </c>
      <c r="AA43" s="76"/>
      <c r="AB43" s="76"/>
      <c r="AC43" s="81" t="s">
        <v>1239</v>
      </c>
      <c r="AD43" s="76"/>
      <c r="AE43" s="76" t="b">
        <v>0</v>
      </c>
      <c r="AF43" s="76">
        <v>0</v>
      </c>
      <c r="AG43" s="81" t="s">
        <v>1674</v>
      </c>
      <c r="AH43" s="76" t="b">
        <v>0</v>
      </c>
      <c r="AI43" s="76" t="s">
        <v>1772</v>
      </c>
      <c r="AJ43" s="76"/>
      <c r="AK43" s="81" t="s">
        <v>1674</v>
      </c>
      <c r="AL43" s="76" t="b">
        <v>0</v>
      </c>
      <c r="AM43" s="76">
        <v>9</v>
      </c>
      <c r="AN43" s="81" t="s">
        <v>1238</v>
      </c>
      <c r="AO43" s="81" t="s">
        <v>1807</v>
      </c>
      <c r="AP43" s="76" t="b">
        <v>0</v>
      </c>
      <c r="AQ43" s="81" t="s">
        <v>1238</v>
      </c>
      <c r="AR43" s="76" t="s">
        <v>219</v>
      </c>
      <c r="AS43" s="76">
        <v>0</v>
      </c>
      <c r="AT43" s="76">
        <v>0</v>
      </c>
      <c r="AU43" s="76"/>
      <c r="AV43" s="76"/>
      <c r="AW43" s="76"/>
      <c r="AX43" s="76"/>
      <c r="AY43" s="76"/>
      <c r="AZ43" s="76"/>
      <c r="BA43" s="76"/>
      <c r="BB43" s="76"/>
      <c r="BC43">
        <v>1</v>
      </c>
      <c r="BD43" s="75" t="str">
        <f>REPLACE(INDEX(GroupVertices[Group],MATCH(Edges[[#This Row],[Vertex 1]],GroupVertices[Vertex],0)),1,1,"")</f>
        <v>16</v>
      </c>
      <c r="BE43" s="75" t="str">
        <f>REPLACE(INDEX(GroupVertices[Group],MATCH(Edges[[#This Row],[Vertex 2]],GroupVertices[Vertex],0)),1,1,"")</f>
        <v>16</v>
      </c>
      <c r="BF43" s="45">
        <v>0</v>
      </c>
      <c r="BG43" s="46">
        <v>0</v>
      </c>
      <c r="BH43" s="45">
        <v>1</v>
      </c>
      <c r="BI43" s="46">
        <v>6.25</v>
      </c>
      <c r="BJ43" s="45">
        <v>0</v>
      </c>
      <c r="BK43" s="46">
        <v>0</v>
      </c>
      <c r="BL43" s="45">
        <v>15</v>
      </c>
      <c r="BM43" s="46">
        <v>93.75</v>
      </c>
      <c r="BN43" s="45">
        <v>16</v>
      </c>
    </row>
    <row r="44" spans="1:66" ht="15">
      <c r="A44" s="61" t="s">
        <v>266</v>
      </c>
      <c r="B44" s="61" t="s">
        <v>458</v>
      </c>
      <c r="C44" s="62" t="s">
        <v>4688</v>
      </c>
      <c r="D44" s="63">
        <v>5</v>
      </c>
      <c r="E44" s="62"/>
      <c r="F44" s="65">
        <v>50</v>
      </c>
      <c r="G44" s="62"/>
      <c r="H44" s="66"/>
      <c r="I44" s="67"/>
      <c r="J44" s="67"/>
      <c r="K44" s="31" t="s">
        <v>65</v>
      </c>
      <c r="L44" s="68">
        <v>44</v>
      </c>
      <c r="M44" s="68"/>
      <c r="N44" s="69"/>
      <c r="O44" s="76" t="s">
        <v>585</v>
      </c>
      <c r="P44" s="78">
        <v>44812.31041666667</v>
      </c>
      <c r="Q44" s="76" t="s">
        <v>601</v>
      </c>
      <c r="R44" s="76"/>
      <c r="S44" s="76"/>
      <c r="T44" s="81" t="s">
        <v>801</v>
      </c>
      <c r="U44" s="79" t="str">
        <f>HYPERLINK("https://pbs.twimg.com/media/FbpU_MOXgAAR7eK.jpg")</f>
        <v>https://pbs.twimg.com/media/FbpU_MOXgAAR7eK.jpg</v>
      </c>
      <c r="V44" s="79" t="str">
        <f>HYPERLINK("https://pbs.twimg.com/media/FbpU_MOXgAAR7eK.jpg")</f>
        <v>https://pbs.twimg.com/media/FbpU_MOXgAAR7eK.jpg</v>
      </c>
      <c r="W44" s="78">
        <v>44812.31041666667</v>
      </c>
      <c r="X44" s="84">
        <v>44812</v>
      </c>
      <c r="Y44" s="81" t="s">
        <v>908</v>
      </c>
      <c r="Z44" s="79" t="str">
        <f>HYPERLINK("https://twitter.com/syanyakernytska/status/1567776502854418432")</f>
        <v>https://twitter.com/syanyakernytska/status/1567776502854418432</v>
      </c>
      <c r="AA44" s="76"/>
      <c r="AB44" s="76"/>
      <c r="AC44" s="81" t="s">
        <v>1239</v>
      </c>
      <c r="AD44" s="76"/>
      <c r="AE44" s="76" t="b">
        <v>0</v>
      </c>
      <c r="AF44" s="76">
        <v>0</v>
      </c>
      <c r="AG44" s="81" t="s">
        <v>1674</v>
      </c>
      <c r="AH44" s="76" t="b">
        <v>0</v>
      </c>
      <c r="AI44" s="76" t="s">
        <v>1772</v>
      </c>
      <c r="AJ44" s="76"/>
      <c r="AK44" s="81" t="s">
        <v>1674</v>
      </c>
      <c r="AL44" s="76" t="b">
        <v>0</v>
      </c>
      <c r="AM44" s="76">
        <v>9</v>
      </c>
      <c r="AN44" s="81" t="s">
        <v>1238</v>
      </c>
      <c r="AO44" s="81" t="s">
        <v>1807</v>
      </c>
      <c r="AP44" s="76" t="b">
        <v>0</v>
      </c>
      <c r="AQ44" s="81" t="s">
        <v>1238</v>
      </c>
      <c r="AR44" s="76" t="s">
        <v>219</v>
      </c>
      <c r="AS44" s="76">
        <v>0</v>
      </c>
      <c r="AT44" s="76">
        <v>0</v>
      </c>
      <c r="AU44" s="76"/>
      <c r="AV44" s="76"/>
      <c r="AW44" s="76"/>
      <c r="AX44" s="76"/>
      <c r="AY44" s="76"/>
      <c r="AZ44" s="76"/>
      <c r="BA44" s="76"/>
      <c r="BB44" s="76"/>
      <c r="BC44">
        <v>1</v>
      </c>
      <c r="BD44" s="75" t="str">
        <f>REPLACE(INDEX(GroupVertices[Group],MATCH(Edges[[#This Row],[Vertex 1]],GroupVertices[Vertex],0)),1,1,"")</f>
        <v>16</v>
      </c>
      <c r="BE44" s="75" t="str">
        <f>REPLACE(INDEX(GroupVertices[Group],MATCH(Edges[[#This Row],[Vertex 2]],GroupVertices[Vertex],0)),1,1,"")</f>
        <v>16</v>
      </c>
      <c r="BF44" s="45"/>
      <c r="BG44" s="46"/>
      <c r="BH44" s="45"/>
      <c r="BI44" s="46"/>
      <c r="BJ44" s="45"/>
      <c r="BK44" s="46"/>
      <c r="BL44" s="45"/>
      <c r="BM44" s="46"/>
      <c r="BN44" s="45"/>
    </row>
    <row r="45" spans="1:66" ht="15">
      <c r="A45" s="61" t="s">
        <v>267</v>
      </c>
      <c r="B45" s="61" t="s">
        <v>280</v>
      </c>
      <c r="C45" s="62" t="s">
        <v>4688</v>
      </c>
      <c r="D45" s="63">
        <v>5</v>
      </c>
      <c r="E45" s="62"/>
      <c r="F45" s="65">
        <v>50</v>
      </c>
      <c r="G45" s="62"/>
      <c r="H45" s="66"/>
      <c r="I45" s="67"/>
      <c r="J45" s="67"/>
      <c r="K45" s="31" t="s">
        <v>65</v>
      </c>
      <c r="L45" s="68">
        <v>45</v>
      </c>
      <c r="M45" s="68"/>
      <c r="N45" s="69"/>
      <c r="O45" s="76" t="s">
        <v>586</v>
      </c>
      <c r="P45" s="78">
        <v>44812.32496527778</v>
      </c>
      <c r="Q45" s="76" t="s">
        <v>602</v>
      </c>
      <c r="R45" s="76"/>
      <c r="S45" s="76"/>
      <c r="T45" s="81" t="s">
        <v>802</v>
      </c>
      <c r="U45" s="79" t="str">
        <f>HYPERLINK("https://pbs.twimg.com/media/FcHevsMXkAEnkIC.jpg")</f>
        <v>https://pbs.twimg.com/media/FcHevsMXkAEnkIC.jpg</v>
      </c>
      <c r="V45" s="79" t="str">
        <f>HYPERLINK("https://pbs.twimg.com/media/FcHevsMXkAEnkIC.jpg")</f>
        <v>https://pbs.twimg.com/media/FcHevsMXkAEnkIC.jpg</v>
      </c>
      <c r="W45" s="78">
        <v>44812.32496527778</v>
      </c>
      <c r="X45" s="84">
        <v>44812</v>
      </c>
      <c r="Y45" s="81" t="s">
        <v>909</v>
      </c>
      <c r="Z45" s="79" t="str">
        <f>HYPERLINK("https://twitter.com/therealrsbonn/status/1567781774821920769")</f>
        <v>https://twitter.com/therealrsbonn/status/1567781774821920769</v>
      </c>
      <c r="AA45" s="76"/>
      <c r="AB45" s="76"/>
      <c r="AC45" s="81" t="s">
        <v>1240</v>
      </c>
      <c r="AD45" s="76"/>
      <c r="AE45" s="76" t="b">
        <v>0</v>
      </c>
      <c r="AF45" s="76">
        <v>0</v>
      </c>
      <c r="AG45" s="81" t="s">
        <v>1674</v>
      </c>
      <c r="AH45" s="76" t="b">
        <v>0</v>
      </c>
      <c r="AI45" s="76" t="s">
        <v>1774</v>
      </c>
      <c r="AJ45" s="76"/>
      <c r="AK45" s="81" t="s">
        <v>1674</v>
      </c>
      <c r="AL45" s="76" t="b">
        <v>0</v>
      </c>
      <c r="AM45" s="76">
        <v>2</v>
      </c>
      <c r="AN45" s="81" t="s">
        <v>1253</v>
      </c>
      <c r="AO45" s="81" t="s">
        <v>1809</v>
      </c>
      <c r="AP45" s="76" t="b">
        <v>0</v>
      </c>
      <c r="AQ45" s="81" t="s">
        <v>1253</v>
      </c>
      <c r="AR45" s="76" t="s">
        <v>219</v>
      </c>
      <c r="AS45" s="76">
        <v>0</v>
      </c>
      <c r="AT45" s="76">
        <v>0</v>
      </c>
      <c r="AU45" s="76"/>
      <c r="AV45" s="76"/>
      <c r="AW45" s="76"/>
      <c r="AX45" s="76"/>
      <c r="AY45" s="76"/>
      <c r="AZ45" s="76"/>
      <c r="BA45" s="76"/>
      <c r="BB45" s="76"/>
      <c r="BC45">
        <v>1</v>
      </c>
      <c r="BD45" s="75" t="str">
        <f>REPLACE(INDEX(GroupVertices[Group],MATCH(Edges[[#This Row],[Vertex 1]],GroupVertices[Vertex],0)),1,1,"")</f>
        <v>19</v>
      </c>
      <c r="BE45" s="75" t="str">
        <f>REPLACE(INDEX(GroupVertices[Group],MATCH(Edges[[#This Row],[Vertex 2]],GroupVertices[Vertex],0)),1,1,"")</f>
        <v>19</v>
      </c>
      <c r="BF45" s="45">
        <v>0</v>
      </c>
      <c r="BG45" s="46">
        <v>0</v>
      </c>
      <c r="BH45" s="45">
        <v>2</v>
      </c>
      <c r="BI45" s="46">
        <v>7.407407407407407</v>
      </c>
      <c r="BJ45" s="45">
        <v>0</v>
      </c>
      <c r="BK45" s="46">
        <v>0</v>
      </c>
      <c r="BL45" s="45">
        <v>25</v>
      </c>
      <c r="BM45" s="46">
        <v>92.5925925925926</v>
      </c>
      <c r="BN45" s="45">
        <v>27</v>
      </c>
    </row>
    <row r="46" spans="1:66" ht="15">
      <c r="A46" s="61" t="s">
        <v>268</v>
      </c>
      <c r="B46" s="61" t="s">
        <v>280</v>
      </c>
      <c r="C46" s="62" t="s">
        <v>4688</v>
      </c>
      <c r="D46" s="63">
        <v>5</v>
      </c>
      <c r="E46" s="62"/>
      <c r="F46" s="65">
        <v>50</v>
      </c>
      <c r="G46" s="62"/>
      <c r="H46" s="66"/>
      <c r="I46" s="67"/>
      <c r="J46" s="67"/>
      <c r="K46" s="31" t="s">
        <v>65</v>
      </c>
      <c r="L46" s="68">
        <v>46</v>
      </c>
      <c r="M46" s="68"/>
      <c r="N46" s="69"/>
      <c r="O46" s="76" t="s">
        <v>586</v>
      </c>
      <c r="P46" s="78">
        <v>44812.32738425926</v>
      </c>
      <c r="Q46" s="76" t="s">
        <v>602</v>
      </c>
      <c r="R46" s="76"/>
      <c r="S46" s="76"/>
      <c r="T46" s="81" t="s">
        <v>802</v>
      </c>
      <c r="U46" s="79" t="str">
        <f>HYPERLINK("https://pbs.twimg.com/media/FcHevsMXkAEnkIC.jpg")</f>
        <v>https://pbs.twimg.com/media/FcHevsMXkAEnkIC.jpg</v>
      </c>
      <c r="V46" s="79" t="str">
        <f>HYPERLINK("https://pbs.twimg.com/media/FcHevsMXkAEnkIC.jpg")</f>
        <v>https://pbs.twimg.com/media/FcHevsMXkAEnkIC.jpg</v>
      </c>
      <c r="W46" s="78">
        <v>44812.32738425926</v>
      </c>
      <c r="X46" s="84">
        <v>44812</v>
      </c>
      <c r="Y46" s="81" t="s">
        <v>910</v>
      </c>
      <c r="Z46" s="79" t="str">
        <f>HYPERLINK("https://twitter.com/1984_is_near/status/1567782650944917506")</f>
        <v>https://twitter.com/1984_is_near/status/1567782650944917506</v>
      </c>
      <c r="AA46" s="76"/>
      <c r="AB46" s="76"/>
      <c r="AC46" s="81" t="s">
        <v>1241</v>
      </c>
      <c r="AD46" s="76"/>
      <c r="AE46" s="76" t="b">
        <v>0</v>
      </c>
      <c r="AF46" s="76">
        <v>0</v>
      </c>
      <c r="AG46" s="81" t="s">
        <v>1674</v>
      </c>
      <c r="AH46" s="76" t="b">
        <v>0</v>
      </c>
      <c r="AI46" s="76" t="s">
        <v>1774</v>
      </c>
      <c r="AJ46" s="76"/>
      <c r="AK46" s="81" t="s">
        <v>1674</v>
      </c>
      <c r="AL46" s="76" t="b">
        <v>0</v>
      </c>
      <c r="AM46" s="76">
        <v>2</v>
      </c>
      <c r="AN46" s="81" t="s">
        <v>1253</v>
      </c>
      <c r="AO46" s="81" t="s">
        <v>1807</v>
      </c>
      <c r="AP46" s="76" t="b">
        <v>0</v>
      </c>
      <c r="AQ46" s="81" t="s">
        <v>1253</v>
      </c>
      <c r="AR46" s="76" t="s">
        <v>219</v>
      </c>
      <c r="AS46" s="76">
        <v>0</v>
      </c>
      <c r="AT46" s="76">
        <v>0</v>
      </c>
      <c r="AU46" s="76"/>
      <c r="AV46" s="76"/>
      <c r="AW46" s="76"/>
      <c r="AX46" s="76"/>
      <c r="AY46" s="76"/>
      <c r="AZ46" s="76"/>
      <c r="BA46" s="76"/>
      <c r="BB46" s="76"/>
      <c r="BC46">
        <v>1</v>
      </c>
      <c r="BD46" s="75" t="str">
        <f>REPLACE(INDEX(GroupVertices[Group],MATCH(Edges[[#This Row],[Vertex 1]],GroupVertices[Vertex],0)),1,1,"")</f>
        <v>19</v>
      </c>
      <c r="BE46" s="75" t="str">
        <f>REPLACE(INDEX(GroupVertices[Group],MATCH(Edges[[#This Row],[Vertex 2]],GroupVertices[Vertex],0)),1,1,"")</f>
        <v>19</v>
      </c>
      <c r="BF46" s="45">
        <v>0</v>
      </c>
      <c r="BG46" s="46">
        <v>0</v>
      </c>
      <c r="BH46" s="45">
        <v>2</v>
      </c>
      <c r="BI46" s="46">
        <v>7.407407407407407</v>
      </c>
      <c r="BJ46" s="45">
        <v>0</v>
      </c>
      <c r="BK46" s="46">
        <v>0</v>
      </c>
      <c r="BL46" s="45">
        <v>25</v>
      </c>
      <c r="BM46" s="46">
        <v>92.5925925925926</v>
      </c>
      <c r="BN46" s="45">
        <v>27</v>
      </c>
    </row>
    <row r="47" spans="1:66" ht="15">
      <c r="A47" s="61" t="s">
        <v>269</v>
      </c>
      <c r="B47" s="61" t="s">
        <v>460</v>
      </c>
      <c r="C47" s="62" t="s">
        <v>4688</v>
      </c>
      <c r="D47" s="63">
        <v>5</v>
      </c>
      <c r="E47" s="62"/>
      <c r="F47" s="65">
        <v>50</v>
      </c>
      <c r="G47" s="62"/>
      <c r="H47" s="66"/>
      <c r="I47" s="67"/>
      <c r="J47" s="67"/>
      <c r="K47" s="31" t="s">
        <v>65</v>
      </c>
      <c r="L47" s="68">
        <v>47</v>
      </c>
      <c r="M47" s="68"/>
      <c r="N47" s="69"/>
      <c r="O47" s="76" t="s">
        <v>585</v>
      </c>
      <c r="P47" s="78">
        <v>44812.35679398148</v>
      </c>
      <c r="Q47" s="76" t="s">
        <v>589</v>
      </c>
      <c r="R47" s="76"/>
      <c r="S47" s="76"/>
      <c r="T47" s="81" t="s">
        <v>792</v>
      </c>
      <c r="U47" s="79" t="str">
        <f>HYPERLINK("https://pbs.twimg.com/media/Fb6ZZsqWYAUww3Q.jpg")</f>
        <v>https://pbs.twimg.com/media/Fb6ZZsqWYAUww3Q.jpg</v>
      </c>
      <c r="V47" s="79" t="str">
        <f>HYPERLINK("https://pbs.twimg.com/media/Fb6ZZsqWYAUww3Q.jpg")</f>
        <v>https://pbs.twimg.com/media/Fb6ZZsqWYAUww3Q.jpg</v>
      </c>
      <c r="W47" s="78">
        <v>44812.35679398148</v>
      </c>
      <c r="X47" s="84">
        <v>44812</v>
      </c>
      <c r="Y47" s="81" t="s">
        <v>911</v>
      </c>
      <c r="Z47" s="79" t="str">
        <f>HYPERLINK("https://twitter.com/phacotte/status/1567793306544869378")</f>
        <v>https://twitter.com/phacotte/status/1567793306544869378</v>
      </c>
      <c r="AA47" s="76"/>
      <c r="AB47" s="76"/>
      <c r="AC47" s="81" t="s">
        <v>1242</v>
      </c>
      <c r="AD47" s="76"/>
      <c r="AE47" s="76" t="b">
        <v>0</v>
      </c>
      <c r="AF47" s="76">
        <v>0</v>
      </c>
      <c r="AG47" s="81" t="s">
        <v>1674</v>
      </c>
      <c r="AH47" s="76" t="b">
        <v>0</v>
      </c>
      <c r="AI47" s="76" t="s">
        <v>1770</v>
      </c>
      <c r="AJ47" s="76"/>
      <c r="AK47" s="81" t="s">
        <v>1674</v>
      </c>
      <c r="AL47" s="76" t="b">
        <v>0</v>
      </c>
      <c r="AM47" s="76">
        <v>35</v>
      </c>
      <c r="AN47" s="81" t="s">
        <v>1303</v>
      </c>
      <c r="AO47" s="81" t="s">
        <v>1808</v>
      </c>
      <c r="AP47" s="76" t="b">
        <v>0</v>
      </c>
      <c r="AQ47" s="81" t="s">
        <v>1303</v>
      </c>
      <c r="AR47" s="76" t="s">
        <v>219</v>
      </c>
      <c r="AS47" s="76">
        <v>0</v>
      </c>
      <c r="AT47" s="76">
        <v>0</v>
      </c>
      <c r="AU47" s="76"/>
      <c r="AV47" s="76"/>
      <c r="AW47" s="76"/>
      <c r="AX47" s="76"/>
      <c r="AY47" s="76"/>
      <c r="AZ47" s="76"/>
      <c r="BA47" s="76"/>
      <c r="BB47" s="76"/>
      <c r="BC47">
        <v>1</v>
      </c>
      <c r="BD47" s="75" t="str">
        <f>REPLACE(INDEX(GroupVertices[Group],MATCH(Edges[[#This Row],[Vertex 1]],GroupVertices[Vertex],0)),1,1,"")</f>
        <v>10</v>
      </c>
      <c r="BE47" s="75" t="str">
        <f>REPLACE(INDEX(GroupVertices[Group],MATCH(Edges[[#This Row],[Vertex 2]],GroupVertices[Vertex],0)),1,1,"")</f>
        <v>10</v>
      </c>
      <c r="BF47" s="45"/>
      <c r="BG47" s="46"/>
      <c r="BH47" s="45"/>
      <c r="BI47" s="46"/>
      <c r="BJ47" s="45"/>
      <c r="BK47" s="46"/>
      <c r="BL47" s="45"/>
      <c r="BM47" s="46"/>
      <c r="BN47" s="45"/>
    </row>
    <row r="48" spans="1:66" ht="15">
      <c r="A48" s="61" t="s">
        <v>269</v>
      </c>
      <c r="B48" s="61" t="s">
        <v>430</v>
      </c>
      <c r="C48" s="62" t="s">
        <v>4688</v>
      </c>
      <c r="D48" s="63">
        <v>5</v>
      </c>
      <c r="E48" s="62"/>
      <c r="F48" s="65">
        <v>50</v>
      </c>
      <c r="G48" s="62"/>
      <c r="H48" s="66"/>
      <c r="I48" s="67"/>
      <c r="J48" s="67"/>
      <c r="K48" s="31" t="s">
        <v>65</v>
      </c>
      <c r="L48" s="68">
        <v>48</v>
      </c>
      <c r="M48" s="68"/>
      <c r="N48" s="69"/>
      <c r="O48" s="76" t="s">
        <v>585</v>
      </c>
      <c r="P48" s="78">
        <v>44812.35679398148</v>
      </c>
      <c r="Q48" s="76" t="s">
        <v>589</v>
      </c>
      <c r="R48" s="76"/>
      <c r="S48" s="76"/>
      <c r="T48" s="81" t="s">
        <v>792</v>
      </c>
      <c r="U48" s="79" t="str">
        <f>HYPERLINK("https://pbs.twimg.com/media/Fb6ZZsqWYAUww3Q.jpg")</f>
        <v>https://pbs.twimg.com/media/Fb6ZZsqWYAUww3Q.jpg</v>
      </c>
      <c r="V48" s="79" t="str">
        <f>HYPERLINK("https://pbs.twimg.com/media/Fb6ZZsqWYAUww3Q.jpg")</f>
        <v>https://pbs.twimg.com/media/Fb6ZZsqWYAUww3Q.jpg</v>
      </c>
      <c r="W48" s="78">
        <v>44812.35679398148</v>
      </c>
      <c r="X48" s="84">
        <v>44812</v>
      </c>
      <c r="Y48" s="81" t="s">
        <v>911</v>
      </c>
      <c r="Z48" s="79" t="str">
        <f>HYPERLINK("https://twitter.com/phacotte/status/1567793306544869378")</f>
        <v>https://twitter.com/phacotte/status/1567793306544869378</v>
      </c>
      <c r="AA48" s="76"/>
      <c r="AB48" s="76"/>
      <c r="AC48" s="81" t="s">
        <v>1242</v>
      </c>
      <c r="AD48" s="76"/>
      <c r="AE48" s="76" t="b">
        <v>0</v>
      </c>
      <c r="AF48" s="76">
        <v>0</v>
      </c>
      <c r="AG48" s="81" t="s">
        <v>1674</v>
      </c>
      <c r="AH48" s="76" t="b">
        <v>0</v>
      </c>
      <c r="AI48" s="76" t="s">
        <v>1770</v>
      </c>
      <c r="AJ48" s="76"/>
      <c r="AK48" s="81" t="s">
        <v>1674</v>
      </c>
      <c r="AL48" s="76" t="b">
        <v>0</v>
      </c>
      <c r="AM48" s="76">
        <v>35</v>
      </c>
      <c r="AN48" s="81" t="s">
        <v>1303</v>
      </c>
      <c r="AO48" s="81" t="s">
        <v>1808</v>
      </c>
      <c r="AP48" s="76" t="b">
        <v>0</v>
      </c>
      <c r="AQ48" s="81" t="s">
        <v>1303</v>
      </c>
      <c r="AR48" s="76" t="s">
        <v>219</v>
      </c>
      <c r="AS48" s="76">
        <v>0</v>
      </c>
      <c r="AT48" s="76">
        <v>0</v>
      </c>
      <c r="AU48" s="76"/>
      <c r="AV48" s="76"/>
      <c r="AW48" s="76"/>
      <c r="AX48" s="76"/>
      <c r="AY48" s="76"/>
      <c r="AZ48" s="76"/>
      <c r="BA48" s="76"/>
      <c r="BB48" s="76"/>
      <c r="BC48">
        <v>1</v>
      </c>
      <c r="BD48" s="75" t="str">
        <f>REPLACE(INDEX(GroupVertices[Group],MATCH(Edges[[#This Row],[Vertex 1]],GroupVertices[Vertex],0)),1,1,"")</f>
        <v>10</v>
      </c>
      <c r="BE48" s="75" t="str">
        <f>REPLACE(INDEX(GroupVertices[Group],MATCH(Edges[[#This Row],[Vertex 2]],GroupVertices[Vertex],0)),1,1,"")</f>
        <v>10</v>
      </c>
      <c r="BF48" s="45"/>
      <c r="BG48" s="46"/>
      <c r="BH48" s="45"/>
      <c r="BI48" s="46"/>
      <c r="BJ48" s="45"/>
      <c r="BK48" s="46"/>
      <c r="BL48" s="45"/>
      <c r="BM48" s="46"/>
      <c r="BN48" s="45"/>
    </row>
    <row r="49" spans="1:66" ht="15">
      <c r="A49" s="61" t="s">
        <v>269</v>
      </c>
      <c r="B49" s="61" t="s">
        <v>431</v>
      </c>
      <c r="C49" s="62" t="s">
        <v>4688</v>
      </c>
      <c r="D49" s="63">
        <v>5</v>
      </c>
      <c r="E49" s="62"/>
      <c r="F49" s="65">
        <v>50</v>
      </c>
      <c r="G49" s="62"/>
      <c r="H49" s="66"/>
      <c r="I49" s="67"/>
      <c r="J49" s="67"/>
      <c r="K49" s="31" t="s">
        <v>65</v>
      </c>
      <c r="L49" s="68">
        <v>49</v>
      </c>
      <c r="M49" s="68"/>
      <c r="N49" s="69"/>
      <c r="O49" s="76" t="s">
        <v>585</v>
      </c>
      <c r="P49" s="78">
        <v>44812.35679398148</v>
      </c>
      <c r="Q49" s="76" t="s">
        <v>589</v>
      </c>
      <c r="R49" s="76"/>
      <c r="S49" s="76"/>
      <c r="T49" s="81" t="s">
        <v>792</v>
      </c>
      <c r="U49" s="79" t="str">
        <f>HYPERLINK("https://pbs.twimg.com/media/Fb6ZZsqWYAUww3Q.jpg")</f>
        <v>https://pbs.twimg.com/media/Fb6ZZsqWYAUww3Q.jpg</v>
      </c>
      <c r="V49" s="79" t="str">
        <f>HYPERLINK("https://pbs.twimg.com/media/Fb6ZZsqWYAUww3Q.jpg")</f>
        <v>https://pbs.twimg.com/media/Fb6ZZsqWYAUww3Q.jpg</v>
      </c>
      <c r="W49" s="78">
        <v>44812.35679398148</v>
      </c>
      <c r="X49" s="84">
        <v>44812</v>
      </c>
      <c r="Y49" s="81" t="s">
        <v>911</v>
      </c>
      <c r="Z49" s="79" t="str">
        <f>HYPERLINK("https://twitter.com/phacotte/status/1567793306544869378")</f>
        <v>https://twitter.com/phacotte/status/1567793306544869378</v>
      </c>
      <c r="AA49" s="76"/>
      <c r="AB49" s="76"/>
      <c r="AC49" s="81" t="s">
        <v>1242</v>
      </c>
      <c r="AD49" s="76"/>
      <c r="AE49" s="76" t="b">
        <v>0</v>
      </c>
      <c r="AF49" s="76">
        <v>0</v>
      </c>
      <c r="AG49" s="81" t="s">
        <v>1674</v>
      </c>
      <c r="AH49" s="76" t="b">
        <v>0</v>
      </c>
      <c r="AI49" s="76" t="s">
        <v>1770</v>
      </c>
      <c r="AJ49" s="76"/>
      <c r="AK49" s="81" t="s">
        <v>1674</v>
      </c>
      <c r="AL49" s="76" t="b">
        <v>0</v>
      </c>
      <c r="AM49" s="76">
        <v>35</v>
      </c>
      <c r="AN49" s="81" t="s">
        <v>1303</v>
      </c>
      <c r="AO49" s="81" t="s">
        <v>1808</v>
      </c>
      <c r="AP49" s="76" t="b">
        <v>0</v>
      </c>
      <c r="AQ49" s="81" t="s">
        <v>1303</v>
      </c>
      <c r="AR49" s="76" t="s">
        <v>219</v>
      </c>
      <c r="AS49" s="76">
        <v>0</v>
      </c>
      <c r="AT49" s="76">
        <v>0</v>
      </c>
      <c r="AU49" s="76"/>
      <c r="AV49" s="76"/>
      <c r="AW49" s="76"/>
      <c r="AX49" s="76"/>
      <c r="AY49" s="76"/>
      <c r="AZ49" s="76"/>
      <c r="BA49" s="76"/>
      <c r="BB49" s="76"/>
      <c r="BC49">
        <v>1</v>
      </c>
      <c r="BD49" s="75" t="str">
        <f>REPLACE(INDEX(GroupVertices[Group],MATCH(Edges[[#This Row],[Vertex 1]],GroupVertices[Vertex],0)),1,1,"")</f>
        <v>10</v>
      </c>
      <c r="BE49" s="75" t="str">
        <f>REPLACE(INDEX(GroupVertices[Group],MATCH(Edges[[#This Row],[Vertex 2]],GroupVertices[Vertex],0)),1,1,"")</f>
        <v>10</v>
      </c>
      <c r="BF49" s="45"/>
      <c r="BG49" s="46"/>
      <c r="BH49" s="45"/>
      <c r="BI49" s="46"/>
      <c r="BJ49" s="45"/>
      <c r="BK49" s="46"/>
      <c r="BL49" s="45"/>
      <c r="BM49" s="46"/>
      <c r="BN49" s="45"/>
    </row>
    <row r="50" spans="1:66" ht="15">
      <c r="A50" s="61" t="s">
        <v>269</v>
      </c>
      <c r="B50" s="61" t="s">
        <v>318</v>
      </c>
      <c r="C50" s="62" t="s">
        <v>4688</v>
      </c>
      <c r="D50" s="63">
        <v>5</v>
      </c>
      <c r="E50" s="62"/>
      <c r="F50" s="65">
        <v>50</v>
      </c>
      <c r="G50" s="62"/>
      <c r="H50" s="66"/>
      <c r="I50" s="67"/>
      <c r="J50" s="67"/>
      <c r="K50" s="31" t="s">
        <v>65</v>
      </c>
      <c r="L50" s="68">
        <v>50</v>
      </c>
      <c r="M50" s="68"/>
      <c r="N50" s="69"/>
      <c r="O50" s="76" t="s">
        <v>586</v>
      </c>
      <c r="P50" s="78">
        <v>44812.35679398148</v>
      </c>
      <c r="Q50" s="76" t="s">
        <v>589</v>
      </c>
      <c r="R50" s="76"/>
      <c r="S50" s="76"/>
      <c r="T50" s="81" t="s">
        <v>792</v>
      </c>
      <c r="U50" s="79" t="str">
        <f>HYPERLINK("https://pbs.twimg.com/media/Fb6ZZsqWYAUww3Q.jpg")</f>
        <v>https://pbs.twimg.com/media/Fb6ZZsqWYAUww3Q.jpg</v>
      </c>
      <c r="V50" s="79" t="str">
        <f>HYPERLINK("https://pbs.twimg.com/media/Fb6ZZsqWYAUww3Q.jpg")</f>
        <v>https://pbs.twimg.com/media/Fb6ZZsqWYAUww3Q.jpg</v>
      </c>
      <c r="W50" s="78">
        <v>44812.35679398148</v>
      </c>
      <c r="X50" s="84">
        <v>44812</v>
      </c>
      <c r="Y50" s="81" t="s">
        <v>911</v>
      </c>
      <c r="Z50" s="79" t="str">
        <f>HYPERLINK("https://twitter.com/phacotte/status/1567793306544869378")</f>
        <v>https://twitter.com/phacotte/status/1567793306544869378</v>
      </c>
      <c r="AA50" s="76"/>
      <c r="AB50" s="76"/>
      <c r="AC50" s="81" t="s">
        <v>1242</v>
      </c>
      <c r="AD50" s="76"/>
      <c r="AE50" s="76" t="b">
        <v>0</v>
      </c>
      <c r="AF50" s="76">
        <v>0</v>
      </c>
      <c r="AG50" s="81" t="s">
        <v>1674</v>
      </c>
      <c r="AH50" s="76" t="b">
        <v>0</v>
      </c>
      <c r="AI50" s="76" t="s">
        <v>1770</v>
      </c>
      <c r="AJ50" s="76"/>
      <c r="AK50" s="81" t="s">
        <v>1674</v>
      </c>
      <c r="AL50" s="76" t="b">
        <v>0</v>
      </c>
      <c r="AM50" s="76">
        <v>35</v>
      </c>
      <c r="AN50" s="81" t="s">
        <v>1303</v>
      </c>
      <c r="AO50" s="81" t="s">
        <v>1808</v>
      </c>
      <c r="AP50" s="76" t="b">
        <v>0</v>
      </c>
      <c r="AQ50" s="81" t="s">
        <v>1303</v>
      </c>
      <c r="AR50" s="76" t="s">
        <v>219</v>
      </c>
      <c r="AS50" s="76">
        <v>0</v>
      </c>
      <c r="AT50" s="76">
        <v>0</v>
      </c>
      <c r="AU50" s="76"/>
      <c r="AV50" s="76"/>
      <c r="AW50" s="76"/>
      <c r="AX50" s="76"/>
      <c r="AY50" s="76"/>
      <c r="AZ50" s="76"/>
      <c r="BA50" s="76"/>
      <c r="BB50" s="76"/>
      <c r="BC50">
        <v>1</v>
      </c>
      <c r="BD50" s="75" t="str">
        <f>REPLACE(INDEX(GroupVertices[Group],MATCH(Edges[[#This Row],[Vertex 1]],GroupVertices[Vertex],0)),1,1,"")</f>
        <v>10</v>
      </c>
      <c r="BE50" s="75" t="str">
        <f>REPLACE(INDEX(GroupVertices[Group],MATCH(Edges[[#This Row],[Vertex 2]],GroupVertices[Vertex],0)),1,1,"")</f>
        <v>10</v>
      </c>
      <c r="BF50" s="45">
        <v>0</v>
      </c>
      <c r="BG50" s="46">
        <v>0</v>
      </c>
      <c r="BH50" s="45">
        <v>1</v>
      </c>
      <c r="BI50" s="46">
        <v>2.7777777777777777</v>
      </c>
      <c r="BJ50" s="45">
        <v>0</v>
      </c>
      <c r="BK50" s="46">
        <v>0</v>
      </c>
      <c r="BL50" s="45">
        <v>35</v>
      </c>
      <c r="BM50" s="46">
        <v>97.22222222222223</v>
      </c>
      <c r="BN50" s="45">
        <v>36</v>
      </c>
    </row>
    <row r="51" spans="1:66" ht="15">
      <c r="A51" s="61" t="s">
        <v>270</v>
      </c>
      <c r="B51" s="61" t="s">
        <v>461</v>
      </c>
      <c r="C51" s="62" t="s">
        <v>4688</v>
      </c>
      <c r="D51" s="63">
        <v>5</v>
      </c>
      <c r="E51" s="62"/>
      <c r="F51" s="65">
        <v>50</v>
      </c>
      <c r="G51" s="62"/>
      <c r="H51" s="66"/>
      <c r="I51" s="67"/>
      <c r="J51" s="67"/>
      <c r="K51" s="31" t="s">
        <v>65</v>
      </c>
      <c r="L51" s="68">
        <v>51</v>
      </c>
      <c r="M51" s="68"/>
      <c r="N51" s="69"/>
      <c r="O51" s="76" t="s">
        <v>587</v>
      </c>
      <c r="P51" s="78">
        <v>44685.389814814815</v>
      </c>
      <c r="Q51" s="76" t="s">
        <v>603</v>
      </c>
      <c r="R51" s="76"/>
      <c r="S51" s="76"/>
      <c r="T51" s="81" t="s">
        <v>803</v>
      </c>
      <c r="U51" s="79" t="str">
        <f>HYPERLINK("https://pbs.twimg.com/media/FR50lv2XEAEY2ZT.jpg")</f>
        <v>https://pbs.twimg.com/media/FR50lv2XEAEY2ZT.jpg</v>
      </c>
      <c r="V51" s="79" t="str">
        <f>HYPERLINK("https://pbs.twimg.com/media/FR50lv2XEAEY2ZT.jpg")</f>
        <v>https://pbs.twimg.com/media/FR50lv2XEAEY2ZT.jpg</v>
      </c>
      <c r="W51" s="78">
        <v>44685.389814814815</v>
      </c>
      <c r="X51" s="84">
        <v>44685</v>
      </c>
      <c r="Y51" s="81" t="s">
        <v>912</v>
      </c>
      <c r="Z51" s="79" t="str">
        <f>HYPERLINK("https://twitter.com/markwol64553906/status/1521782016643153921")</f>
        <v>https://twitter.com/markwol64553906/status/1521782016643153921</v>
      </c>
      <c r="AA51" s="76"/>
      <c r="AB51" s="76"/>
      <c r="AC51" s="81" t="s">
        <v>1243</v>
      </c>
      <c r="AD51" s="76"/>
      <c r="AE51" s="76" t="b">
        <v>0</v>
      </c>
      <c r="AF51" s="76">
        <v>4</v>
      </c>
      <c r="AG51" s="81" t="s">
        <v>1682</v>
      </c>
      <c r="AH51" s="76" t="b">
        <v>0</v>
      </c>
      <c r="AI51" s="76" t="s">
        <v>1775</v>
      </c>
      <c r="AJ51" s="76"/>
      <c r="AK51" s="81" t="s">
        <v>1674</v>
      </c>
      <c r="AL51" s="76" t="b">
        <v>0</v>
      </c>
      <c r="AM51" s="76">
        <v>2</v>
      </c>
      <c r="AN51" s="81" t="s">
        <v>1674</v>
      </c>
      <c r="AO51" s="81" t="s">
        <v>1808</v>
      </c>
      <c r="AP51" s="76" t="b">
        <v>0</v>
      </c>
      <c r="AQ51" s="81" t="s">
        <v>1243</v>
      </c>
      <c r="AR51" s="76" t="s">
        <v>586</v>
      </c>
      <c r="AS51" s="76">
        <v>0</v>
      </c>
      <c r="AT51" s="76">
        <v>0</v>
      </c>
      <c r="AU51" s="76"/>
      <c r="AV51" s="76"/>
      <c r="AW51" s="76"/>
      <c r="AX51" s="76"/>
      <c r="AY51" s="76"/>
      <c r="AZ51" s="76"/>
      <c r="BA51" s="76"/>
      <c r="BB51" s="76"/>
      <c r="BC51">
        <v>1</v>
      </c>
      <c r="BD51" s="75" t="str">
        <f>REPLACE(INDEX(GroupVertices[Group],MATCH(Edges[[#This Row],[Vertex 1]],GroupVertices[Vertex],0)),1,1,"")</f>
        <v>38</v>
      </c>
      <c r="BE51" s="75" t="str">
        <f>REPLACE(INDEX(GroupVertices[Group],MATCH(Edges[[#This Row],[Vertex 2]],GroupVertices[Vertex],0)),1,1,"")</f>
        <v>38</v>
      </c>
      <c r="BF51" s="45">
        <v>0</v>
      </c>
      <c r="BG51" s="46">
        <v>0</v>
      </c>
      <c r="BH51" s="45">
        <v>0</v>
      </c>
      <c r="BI51" s="46">
        <v>0</v>
      </c>
      <c r="BJ51" s="45">
        <v>0</v>
      </c>
      <c r="BK51" s="46">
        <v>0</v>
      </c>
      <c r="BL51" s="45">
        <v>12</v>
      </c>
      <c r="BM51" s="46">
        <v>100</v>
      </c>
      <c r="BN51" s="45">
        <v>12</v>
      </c>
    </row>
    <row r="52" spans="1:66" ht="15">
      <c r="A52" s="61" t="s">
        <v>271</v>
      </c>
      <c r="B52" s="61" t="s">
        <v>270</v>
      </c>
      <c r="C52" s="62" t="s">
        <v>4688</v>
      </c>
      <c r="D52" s="63">
        <v>5</v>
      </c>
      <c r="E52" s="62"/>
      <c r="F52" s="65">
        <v>50</v>
      </c>
      <c r="G52" s="62"/>
      <c r="H52" s="66"/>
      <c r="I52" s="67"/>
      <c r="J52" s="67"/>
      <c r="K52" s="31" t="s">
        <v>65</v>
      </c>
      <c r="L52" s="68">
        <v>52</v>
      </c>
      <c r="M52" s="68"/>
      <c r="N52" s="69"/>
      <c r="O52" s="76" t="s">
        <v>586</v>
      </c>
      <c r="P52" s="78">
        <v>44812.38795138889</v>
      </c>
      <c r="Q52" s="76" t="s">
        <v>603</v>
      </c>
      <c r="R52" s="76"/>
      <c r="S52" s="76"/>
      <c r="T52" s="81" t="s">
        <v>803</v>
      </c>
      <c r="U52" s="79" t="str">
        <f>HYPERLINK("https://pbs.twimg.com/media/FR50lv2XEAEY2ZT.jpg")</f>
        <v>https://pbs.twimg.com/media/FR50lv2XEAEY2ZT.jpg</v>
      </c>
      <c r="V52" s="79" t="str">
        <f>HYPERLINK("https://pbs.twimg.com/media/FR50lv2XEAEY2ZT.jpg")</f>
        <v>https://pbs.twimg.com/media/FR50lv2XEAEY2ZT.jpg</v>
      </c>
      <c r="W52" s="78">
        <v>44812.38795138889</v>
      </c>
      <c r="X52" s="84">
        <v>44812</v>
      </c>
      <c r="Y52" s="81" t="s">
        <v>913</v>
      </c>
      <c r="Z52" s="79" t="str">
        <f>HYPERLINK("https://twitter.com/shxtcowboy/status/1567804599079243778")</f>
        <v>https://twitter.com/shxtcowboy/status/1567804599079243778</v>
      </c>
      <c r="AA52" s="76"/>
      <c r="AB52" s="76"/>
      <c r="AC52" s="81" t="s">
        <v>1244</v>
      </c>
      <c r="AD52" s="76"/>
      <c r="AE52" s="76" t="b">
        <v>0</v>
      </c>
      <c r="AF52" s="76">
        <v>0</v>
      </c>
      <c r="AG52" s="81" t="s">
        <v>1674</v>
      </c>
      <c r="AH52" s="76" t="b">
        <v>0</v>
      </c>
      <c r="AI52" s="76" t="s">
        <v>1775</v>
      </c>
      <c r="AJ52" s="76"/>
      <c r="AK52" s="81" t="s">
        <v>1674</v>
      </c>
      <c r="AL52" s="76" t="b">
        <v>0</v>
      </c>
      <c r="AM52" s="76">
        <v>2</v>
      </c>
      <c r="AN52" s="81" t="s">
        <v>1243</v>
      </c>
      <c r="AO52" s="81" t="s">
        <v>1807</v>
      </c>
      <c r="AP52" s="76" t="b">
        <v>0</v>
      </c>
      <c r="AQ52" s="81" t="s">
        <v>1243</v>
      </c>
      <c r="AR52" s="76" t="s">
        <v>219</v>
      </c>
      <c r="AS52" s="76">
        <v>0</v>
      </c>
      <c r="AT52" s="76">
        <v>0</v>
      </c>
      <c r="AU52" s="76"/>
      <c r="AV52" s="76"/>
      <c r="AW52" s="76"/>
      <c r="AX52" s="76"/>
      <c r="AY52" s="76"/>
      <c r="AZ52" s="76"/>
      <c r="BA52" s="76"/>
      <c r="BB52" s="76"/>
      <c r="BC52">
        <v>1</v>
      </c>
      <c r="BD52" s="75" t="str">
        <f>REPLACE(INDEX(GroupVertices[Group],MATCH(Edges[[#This Row],[Vertex 1]],GroupVertices[Vertex],0)),1,1,"")</f>
        <v>38</v>
      </c>
      <c r="BE52" s="75" t="str">
        <f>REPLACE(INDEX(GroupVertices[Group],MATCH(Edges[[#This Row],[Vertex 2]],GroupVertices[Vertex],0)),1,1,"")</f>
        <v>38</v>
      </c>
      <c r="BF52" s="45"/>
      <c r="BG52" s="46"/>
      <c r="BH52" s="45"/>
      <c r="BI52" s="46"/>
      <c r="BJ52" s="45"/>
      <c r="BK52" s="46"/>
      <c r="BL52" s="45"/>
      <c r="BM52" s="46"/>
      <c r="BN52" s="45"/>
    </row>
    <row r="53" spans="1:66" ht="15">
      <c r="A53" s="61" t="s">
        <v>271</v>
      </c>
      <c r="B53" s="61" t="s">
        <v>461</v>
      </c>
      <c r="C53" s="62" t="s">
        <v>4688</v>
      </c>
      <c r="D53" s="63">
        <v>5</v>
      </c>
      <c r="E53" s="62"/>
      <c r="F53" s="65">
        <v>50</v>
      </c>
      <c r="G53" s="62"/>
      <c r="H53" s="66"/>
      <c r="I53" s="67"/>
      <c r="J53" s="67"/>
      <c r="K53" s="31" t="s">
        <v>65</v>
      </c>
      <c r="L53" s="68">
        <v>53</v>
      </c>
      <c r="M53" s="68"/>
      <c r="N53" s="69"/>
      <c r="O53" s="76" t="s">
        <v>587</v>
      </c>
      <c r="P53" s="78">
        <v>44812.38795138889</v>
      </c>
      <c r="Q53" s="76" t="s">
        <v>603</v>
      </c>
      <c r="R53" s="76"/>
      <c r="S53" s="76"/>
      <c r="T53" s="81" t="s">
        <v>803</v>
      </c>
      <c r="U53" s="79" t="str">
        <f>HYPERLINK("https://pbs.twimg.com/media/FR50lv2XEAEY2ZT.jpg")</f>
        <v>https://pbs.twimg.com/media/FR50lv2XEAEY2ZT.jpg</v>
      </c>
      <c r="V53" s="79" t="str">
        <f>HYPERLINK("https://pbs.twimg.com/media/FR50lv2XEAEY2ZT.jpg")</f>
        <v>https://pbs.twimg.com/media/FR50lv2XEAEY2ZT.jpg</v>
      </c>
      <c r="W53" s="78">
        <v>44812.38795138889</v>
      </c>
      <c r="X53" s="84">
        <v>44812</v>
      </c>
      <c r="Y53" s="81" t="s">
        <v>913</v>
      </c>
      <c r="Z53" s="79" t="str">
        <f>HYPERLINK("https://twitter.com/shxtcowboy/status/1567804599079243778")</f>
        <v>https://twitter.com/shxtcowboy/status/1567804599079243778</v>
      </c>
      <c r="AA53" s="76"/>
      <c r="AB53" s="76"/>
      <c r="AC53" s="81" t="s">
        <v>1244</v>
      </c>
      <c r="AD53" s="76"/>
      <c r="AE53" s="76" t="b">
        <v>0</v>
      </c>
      <c r="AF53" s="76">
        <v>0</v>
      </c>
      <c r="AG53" s="81" t="s">
        <v>1674</v>
      </c>
      <c r="AH53" s="76" t="b">
        <v>0</v>
      </c>
      <c r="AI53" s="76" t="s">
        <v>1775</v>
      </c>
      <c r="AJ53" s="76"/>
      <c r="AK53" s="81" t="s">
        <v>1674</v>
      </c>
      <c r="AL53" s="76" t="b">
        <v>0</v>
      </c>
      <c r="AM53" s="76">
        <v>2</v>
      </c>
      <c r="AN53" s="81" t="s">
        <v>1243</v>
      </c>
      <c r="AO53" s="81" t="s">
        <v>1807</v>
      </c>
      <c r="AP53" s="76" t="b">
        <v>0</v>
      </c>
      <c r="AQ53" s="81" t="s">
        <v>1243</v>
      </c>
      <c r="AR53" s="76" t="s">
        <v>219</v>
      </c>
      <c r="AS53" s="76">
        <v>0</v>
      </c>
      <c r="AT53" s="76">
        <v>0</v>
      </c>
      <c r="AU53" s="76"/>
      <c r="AV53" s="76"/>
      <c r="AW53" s="76"/>
      <c r="AX53" s="76"/>
      <c r="AY53" s="76"/>
      <c r="AZ53" s="76"/>
      <c r="BA53" s="76"/>
      <c r="BB53" s="76"/>
      <c r="BC53">
        <v>1</v>
      </c>
      <c r="BD53" s="75" t="str">
        <f>REPLACE(INDEX(GroupVertices[Group],MATCH(Edges[[#This Row],[Vertex 1]],GroupVertices[Vertex],0)),1,1,"")</f>
        <v>38</v>
      </c>
      <c r="BE53" s="75" t="str">
        <f>REPLACE(INDEX(GroupVertices[Group],MATCH(Edges[[#This Row],[Vertex 2]],GroupVertices[Vertex],0)),1,1,"")</f>
        <v>38</v>
      </c>
      <c r="BF53" s="45">
        <v>0</v>
      </c>
      <c r="BG53" s="46">
        <v>0</v>
      </c>
      <c r="BH53" s="45">
        <v>0</v>
      </c>
      <c r="BI53" s="46">
        <v>0</v>
      </c>
      <c r="BJ53" s="45">
        <v>0</v>
      </c>
      <c r="BK53" s="46">
        <v>0</v>
      </c>
      <c r="BL53" s="45">
        <v>12</v>
      </c>
      <c r="BM53" s="46">
        <v>100</v>
      </c>
      <c r="BN53" s="45">
        <v>12</v>
      </c>
    </row>
    <row r="54" spans="1:66" ht="15">
      <c r="A54" s="61" t="s">
        <v>272</v>
      </c>
      <c r="B54" s="61" t="s">
        <v>462</v>
      </c>
      <c r="C54" s="62" t="s">
        <v>4688</v>
      </c>
      <c r="D54" s="63">
        <v>5</v>
      </c>
      <c r="E54" s="62"/>
      <c r="F54" s="65">
        <v>50</v>
      </c>
      <c r="G54" s="62"/>
      <c r="H54" s="66"/>
      <c r="I54" s="67"/>
      <c r="J54" s="67"/>
      <c r="K54" s="31" t="s">
        <v>65</v>
      </c>
      <c r="L54" s="68">
        <v>54</v>
      </c>
      <c r="M54" s="68"/>
      <c r="N54" s="69"/>
      <c r="O54" s="76" t="s">
        <v>587</v>
      </c>
      <c r="P54" s="78">
        <v>44812.44431712963</v>
      </c>
      <c r="Q54" s="76" t="s">
        <v>604</v>
      </c>
      <c r="R54" s="76"/>
      <c r="S54" s="76"/>
      <c r="T54" s="81" t="s">
        <v>804</v>
      </c>
      <c r="U54" s="76"/>
      <c r="V54" s="79" t="str">
        <f>HYPERLINK("https://pbs.twimg.com/profile_images/1466090085032603648/C5YhkJ5q_normal.jpg")</f>
        <v>https://pbs.twimg.com/profile_images/1466090085032603648/C5YhkJ5q_normal.jpg</v>
      </c>
      <c r="W54" s="78">
        <v>44812.44431712963</v>
      </c>
      <c r="X54" s="84">
        <v>44812</v>
      </c>
      <c r="Y54" s="81" t="s">
        <v>914</v>
      </c>
      <c r="Z54" s="79" t="str">
        <f>HYPERLINK("https://twitter.com/benkutowski/status/1567825024781885441")</f>
        <v>https://twitter.com/benkutowski/status/1567825024781885441</v>
      </c>
      <c r="AA54" s="76"/>
      <c r="AB54" s="76"/>
      <c r="AC54" s="81" t="s">
        <v>1245</v>
      </c>
      <c r="AD54" s="81" t="s">
        <v>1573</v>
      </c>
      <c r="AE54" s="76" t="b">
        <v>0</v>
      </c>
      <c r="AF54" s="76">
        <v>0</v>
      </c>
      <c r="AG54" s="81" t="s">
        <v>1683</v>
      </c>
      <c r="AH54" s="76" t="b">
        <v>0</v>
      </c>
      <c r="AI54" s="76" t="s">
        <v>1773</v>
      </c>
      <c r="AJ54" s="76"/>
      <c r="AK54" s="81" t="s">
        <v>1674</v>
      </c>
      <c r="AL54" s="76" t="b">
        <v>0</v>
      </c>
      <c r="AM54" s="76">
        <v>0</v>
      </c>
      <c r="AN54" s="81" t="s">
        <v>1674</v>
      </c>
      <c r="AO54" s="81" t="s">
        <v>1809</v>
      </c>
      <c r="AP54" s="76" t="b">
        <v>0</v>
      </c>
      <c r="AQ54" s="81" t="s">
        <v>1573</v>
      </c>
      <c r="AR54" s="76" t="s">
        <v>219</v>
      </c>
      <c r="AS54" s="76">
        <v>0</v>
      </c>
      <c r="AT54" s="76">
        <v>0</v>
      </c>
      <c r="AU54" s="76"/>
      <c r="AV54" s="76"/>
      <c r="AW54" s="76"/>
      <c r="AX54" s="76"/>
      <c r="AY54" s="76"/>
      <c r="AZ54" s="76"/>
      <c r="BA54" s="76"/>
      <c r="BB54" s="76"/>
      <c r="BC54">
        <v>1</v>
      </c>
      <c r="BD54" s="75" t="str">
        <f>REPLACE(INDEX(GroupVertices[Group],MATCH(Edges[[#This Row],[Vertex 1]],GroupVertices[Vertex],0)),1,1,"")</f>
        <v>37</v>
      </c>
      <c r="BE54" s="75" t="str">
        <f>REPLACE(INDEX(GroupVertices[Group],MATCH(Edges[[#This Row],[Vertex 2]],GroupVertices[Vertex],0)),1,1,"")</f>
        <v>37</v>
      </c>
      <c r="BF54" s="45">
        <v>0</v>
      </c>
      <c r="BG54" s="46">
        <v>0</v>
      </c>
      <c r="BH54" s="45">
        <v>0</v>
      </c>
      <c r="BI54" s="46">
        <v>0</v>
      </c>
      <c r="BJ54" s="45">
        <v>0</v>
      </c>
      <c r="BK54" s="46">
        <v>0</v>
      </c>
      <c r="BL54" s="45">
        <v>3</v>
      </c>
      <c r="BM54" s="46">
        <v>100</v>
      </c>
      <c r="BN54" s="45">
        <v>3</v>
      </c>
    </row>
    <row r="55" spans="1:66" ht="15">
      <c r="A55" s="61" t="s">
        <v>273</v>
      </c>
      <c r="B55" s="61" t="s">
        <v>462</v>
      </c>
      <c r="C55" s="62" t="s">
        <v>4688</v>
      </c>
      <c r="D55" s="63">
        <v>5</v>
      </c>
      <c r="E55" s="62"/>
      <c r="F55" s="65">
        <v>50</v>
      </c>
      <c r="G55" s="62"/>
      <c r="H55" s="66"/>
      <c r="I55" s="67"/>
      <c r="J55" s="67"/>
      <c r="K55" s="31" t="s">
        <v>65</v>
      </c>
      <c r="L55" s="68">
        <v>55</v>
      </c>
      <c r="M55" s="68"/>
      <c r="N55" s="69"/>
      <c r="O55" s="76" t="s">
        <v>587</v>
      </c>
      <c r="P55" s="78">
        <v>44812.58555555555</v>
      </c>
      <c r="Q55" s="76" t="s">
        <v>605</v>
      </c>
      <c r="R55" s="76"/>
      <c r="S55" s="76"/>
      <c r="T55" s="81" t="s">
        <v>795</v>
      </c>
      <c r="U55" s="76"/>
      <c r="V55" s="79" t="str">
        <f>HYPERLINK("https://pbs.twimg.com/profile_images/1308352213249597442/Cpmq1oOm_normal.jpg")</f>
        <v>https://pbs.twimg.com/profile_images/1308352213249597442/Cpmq1oOm_normal.jpg</v>
      </c>
      <c r="W55" s="78">
        <v>44812.58555555555</v>
      </c>
      <c r="X55" s="84">
        <v>44812</v>
      </c>
      <c r="Y55" s="81" t="s">
        <v>915</v>
      </c>
      <c r="Z55" s="79" t="str">
        <f>HYPERLINK("https://twitter.com/nilhrevan/status/1567876208657850368")</f>
        <v>https://twitter.com/nilhrevan/status/1567876208657850368</v>
      </c>
      <c r="AA55" s="76"/>
      <c r="AB55" s="76"/>
      <c r="AC55" s="81" t="s">
        <v>1246</v>
      </c>
      <c r="AD55" s="81" t="s">
        <v>1573</v>
      </c>
      <c r="AE55" s="76" t="b">
        <v>0</v>
      </c>
      <c r="AF55" s="76">
        <v>0</v>
      </c>
      <c r="AG55" s="81" t="s">
        <v>1683</v>
      </c>
      <c r="AH55" s="76" t="b">
        <v>0</v>
      </c>
      <c r="AI55" s="76" t="s">
        <v>1773</v>
      </c>
      <c r="AJ55" s="76"/>
      <c r="AK55" s="81" t="s">
        <v>1674</v>
      </c>
      <c r="AL55" s="76" t="b">
        <v>0</v>
      </c>
      <c r="AM55" s="76">
        <v>0</v>
      </c>
      <c r="AN55" s="81" t="s">
        <v>1674</v>
      </c>
      <c r="AO55" s="81" t="s">
        <v>1809</v>
      </c>
      <c r="AP55" s="76" t="b">
        <v>0</v>
      </c>
      <c r="AQ55" s="81" t="s">
        <v>1573</v>
      </c>
      <c r="AR55" s="76" t="s">
        <v>219</v>
      </c>
      <c r="AS55" s="76">
        <v>0</v>
      </c>
      <c r="AT55" s="76">
        <v>0</v>
      </c>
      <c r="AU55" s="76"/>
      <c r="AV55" s="76"/>
      <c r="AW55" s="76"/>
      <c r="AX55" s="76"/>
      <c r="AY55" s="76"/>
      <c r="AZ55" s="76"/>
      <c r="BA55" s="76"/>
      <c r="BB55" s="76"/>
      <c r="BC55">
        <v>1</v>
      </c>
      <c r="BD55" s="75" t="str">
        <f>REPLACE(INDEX(GroupVertices[Group],MATCH(Edges[[#This Row],[Vertex 1]],GroupVertices[Vertex],0)),1,1,"")</f>
        <v>37</v>
      </c>
      <c r="BE55" s="75" t="str">
        <f>REPLACE(INDEX(GroupVertices[Group],MATCH(Edges[[#This Row],[Vertex 2]],GroupVertices[Vertex],0)),1,1,"")</f>
        <v>37</v>
      </c>
      <c r="BF55" s="45">
        <v>0</v>
      </c>
      <c r="BG55" s="46">
        <v>0</v>
      </c>
      <c r="BH55" s="45">
        <v>0</v>
      </c>
      <c r="BI55" s="46">
        <v>0</v>
      </c>
      <c r="BJ55" s="45">
        <v>0</v>
      </c>
      <c r="BK55" s="46">
        <v>0</v>
      </c>
      <c r="BL55" s="45">
        <v>2</v>
      </c>
      <c r="BM55" s="46">
        <v>100</v>
      </c>
      <c r="BN55" s="45">
        <v>2</v>
      </c>
    </row>
    <row r="56" spans="1:66" ht="15">
      <c r="A56" s="61" t="s">
        <v>274</v>
      </c>
      <c r="B56" s="61" t="s">
        <v>274</v>
      </c>
      <c r="C56" s="62" t="s">
        <v>4688</v>
      </c>
      <c r="D56" s="63">
        <v>5</v>
      </c>
      <c r="E56" s="62"/>
      <c r="F56" s="65">
        <v>50</v>
      </c>
      <c r="G56" s="62"/>
      <c r="H56" s="66"/>
      <c r="I56" s="67"/>
      <c r="J56" s="67"/>
      <c r="K56" s="31" t="s">
        <v>65</v>
      </c>
      <c r="L56" s="68">
        <v>56</v>
      </c>
      <c r="M56" s="68"/>
      <c r="N56" s="69"/>
      <c r="O56" s="76" t="s">
        <v>219</v>
      </c>
      <c r="P56" s="78">
        <v>44812.59005787037</v>
      </c>
      <c r="Q56" s="76" t="s">
        <v>606</v>
      </c>
      <c r="R56" s="79" t="str">
        <f>HYPERLINK("https://twitter.com/ArthurM40330824/status/1567605573222277121")</f>
        <v>https://twitter.com/ArthurM40330824/status/1567605573222277121</v>
      </c>
      <c r="S56" s="76" t="s">
        <v>783</v>
      </c>
      <c r="T56" s="81" t="s">
        <v>795</v>
      </c>
      <c r="U56" s="76"/>
      <c r="V56" s="79" t="str">
        <f>HYPERLINK("https://pbs.twimg.com/profile_images/1566170548262129665/uuqxKJyS_normal.jpg")</f>
        <v>https://pbs.twimg.com/profile_images/1566170548262129665/uuqxKJyS_normal.jpg</v>
      </c>
      <c r="W56" s="78">
        <v>44812.59005787037</v>
      </c>
      <c r="X56" s="84">
        <v>44812</v>
      </c>
      <c r="Y56" s="81" t="s">
        <v>916</v>
      </c>
      <c r="Z56" s="79" t="str">
        <f>HYPERLINK("https://twitter.com/thetruth222222/status/1567877842007883776")</f>
        <v>https://twitter.com/thetruth222222/status/1567877842007883776</v>
      </c>
      <c r="AA56" s="76"/>
      <c r="AB56" s="76"/>
      <c r="AC56" s="81" t="s">
        <v>1247</v>
      </c>
      <c r="AD56" s="76"/>
      <c r="AE56" s="76" t="b">
        <v>0</v>
      </c>
      <c r="AF56" s="76">
        <v>2</v>
      </c>
      <c r="AG56" s="81" t="s">
        <v>1674</v>
      </c>
      <c r="AH56" s="76" t="b">
        <v>1</v>
      </c>
      <c r="AI56" s="76" t="s">
        <v>1772</v>
      </c>
      <c r="AJ56" s="76"/>
      <c r="AK56" s="81" t="s">
        <v>1787</v>
      </c>
      <c r="AL56" s="76" t="b">
        <v>0</v>
      </c>
      <c r="AM56" s="76">
        <v>0</v>
      </c>
      <c r="AN56" s="81" t="s">
        <v>1674</v>
      </c>
      <c r="AO56" s="81" t="s">
        <v>1807</v>
      </c>
      <c r="AP56" s="76" t="b">
        <v>0</v>
      </c>
      <c r="AQ56" s="81" t="s">
        <v>1247</v>
      </c>
      <c r="AR56" s="76" t="s">
        <v>219</v>
      </c>
      <c r="AS56" s="76">
        <v>0</v>
      </c>
      <c r="AT56" s="76">
        <v>0</v>
      </c>
      <c r="AU56" s="76"/>
      <c r="AV56" s="76"/>
      <c r="AW56" s="76"/>
      <c r="AX56" s="76"/>
      <c r="AY56" s="76"/>
      <c r="AZ56" s="76"/>
      <c r="BA56" s="76"/>
      <c r="BB56" s="76"/>
      <c r="BC56">
        <v>1</v>
      </c>
      <c r="BD56" s="75" t="str">
        <f>REPLACE(INDEX(GroupVertices[Group],MATCH(Edges[[#This Row],[Vertex 1]],GroupVertices[Vertex],0)),1,1,"")</f>
        <v>2</v>
      </c>
      <c r="BE56" s="75" t="str">
        <f>REPLACE(INDEX(GroupVertices[Group],MATCH(Edges[[#This Row],[Vertex 2]],GroupVertices[Vertex],0)),1,1,"")</f>
        <v>2</v>
      </c>
      <c r="BF56" s="45">
        <v>0</v>
      </c>
      <c r="BG56" s="46">
        <v>0</v>
      </c>
      <c r="BH56" s="45">
        <v>0</v>
      </c>
      <c r="BI56" s="46">
        <v>0</v>
      </c>
      <c r="BJ56" s="45">
        <v>0</v>
      </c>
      <c r="BK56" s="46">
        <v>0</v>
      </c>
      <c r="BL56" s="45">
        <v>3</v>
      </c>
      <c r="BM56" s="46">
        <v>100</v>
      </c>
      <c r="BN56" s="45">
        <v>3</v>
      </c>
    </row>
    <row r="57" spans="1:66" ht="15">
      <c r="A57" s="61" t="s">
        <v>275</v>
      </c>
      <c r="B57" s="61" t="s">
        <v>280</v>
      </c>
      <c r="C57" s="62" t="s">
        <v>4688</v>
      </c>
      <c r="D57" s="63">
        <v>5</v>
      </c>
      <c r="E57" s="62"/>
      <c r="F57" s="65">
        <v>50</v>
      </c>
      <c r="G57" s="62"/>
      <c r="H57" s="66"/>
      <c r="I57" s="67"/>
      <c r="J57" s="67"/>
      <c r="K57" s="31" t="s">
        <v>65</v>
      </c>
      <c r="L57" s="68">
        <v>57</v>
      </c>
      <c r="M57" s="68"/>
      <c r="N57" s="69"/>
      <c r="O57" s="76" t="s">
        <v>586</v>
      </c>
      <c r="P57" s="78">
        <v>44812.65605324074</v>
      </c>
      <c r="Q57" s="76" t="s">
        <v>607</v>
      </c>
      <c r="R57" s="76"/>
      <c r="S57" s="76"/>
      <c r="T57" s="81" t="s">
        <v>805</v>
      </c>
      <c r="U57" s="79" t="str">
        <f>HYPERLINK("https://pbs.twimg.com/media/FcHk5KpX0AER_Nj.jpg")</f>
        <v>https://pbs.twimg.com/media/FcHk5KpX0AER_Nj.jpg</v>
      </c>
      <c r="V57" s="79" t="str">
        <f>HYPERLINK("https://pbs.twimg.com/media/FcHk5KpX0AER_Nj.jpg")</f>
        <v>https://pbs.twimg.com/media/FcHk5KpX0AER_Nj.jpg</v>
      </c>
      <c r="W57" s="78">
        <v>44812.65605324074</v>
      </c>
      <c r="X57" s="84">
        <v>44812</v>
      </c>
      <c r="Y57" s="81" t="s">
        <v>917</v>
      </c>
      <c r="Z57" s="79" t="str">
        <f>HYPERLINK("https://twitter.com/realfantomas/status/1567901755081654272")</f>
        <v>https://twitter.com/realfantomas/status/1567901755081654272</v>
      </c>
      <c r="AA57" s="76"/>
      <c r="AB57" s="76"/>
      <c r="AC57" s="81" t="s">
        <v>1248</v>
      </c>
      <c r="AD57" s="76"/>
      <c r="AE57" s="76" t="b">
        <v>0</v>
      </c>
      <c r="AF57" s="76">
        <v>0</v>
      </c>
      <c r="AG57" s="81" t="s">
        <v>1674</v>
      </c>
      <c r="AH57" s="76" t="b">
        <v>0</v>
      </c>
      <c r="AI57" s="76" t="s">
        <v>1774</v>
      </c>
      <c r="AJ57" s="76"/>
      <c r="AK57" s="81" t="s">
        <v>1674</v>
      </c>
      <c r="AL57" s="76" t="b">
        <v>0</v>
      </c>
      <c r="AM57" s="76">
        <v>2</v>
      </c>
      <c r="AN57" s="81" t="s">
        <v>1254</v>
      </c>
      <c r="AO57" s="81" t="s">
        <v>1808</v>
      </c>
      <c r="AP57" s="76" t="b">
        <v>0</v>
      </c>
      <c r="AQ57" s="81" t="s">
        <v>1254</v>
      </c>
      <c r="AR57" s="76" t="s">
        <v>219</v>
      </c>
      <c r="AS57" s="76">
        <v>0</v>
      </c>
      <c r="AT57" s="76">
        <v>0</v>
      </c>
      <c r="AU57" s="76"/>
      <c r="AV57" s="76"/>
      <c r="AW57" s="76"/>
      <c r="AX57" s="76"/>
      <c r="AY57" s="76"/>
      <c r="AZ57" s="76"/>
      <c r="BA57" s="76"/>
      <c r="BB57" s="76"/>
      <c r="BC57">
        <v>1</v>
      </c>
      <c r="BD57" s="75" t="str">
        <f>REPLACE(INDEX(GroupVertices[Group],MATCH(Edges[[#This Row],[Vertex 1]],GroupVertices[Vertex],0)),1,1,"")</f>
        <v>19</v>
      </c>
      <c r="BE57" s="75" t="str">
        <f>REPLACE(INDEX(GroupVertices[Group],MATCH(Edges[[#This Row],[Vertex 2]],GroupVertices[Vertex],0)),1,1,"")</f>
        <v>19</v>
      </c>
      <c r="BF57" s="45">
        <v>0</v>
      </c>
      <c r="BG57" s="46">
        <v>0</v>
      </c>
      <c r="BH57" s="45">
        <v>0</v>
      </c>
      <c r="BI57" s="46">
        <v>0</v>
      </c>
      <c r="BJ57" s="45">
        <v>0</v>
      </c>
      <c r="BK57" s="46">
        <v>0</v>
      </c>
      <c r="BL57" s="45">
        <v>34</v>
      </c>
      <c r="BM57" s="46">
        <v>100</v>
      </c>
      <c r="BN57" s="45">
        <v>34</v>
      </c>
    </row>
    <row r="58" spans="1:66" ht="15">
      <c r="A58" s="61" t="s">
        <v>276</v>
      </c>
      <c r="B58" s="61" t="s">
        <v>463</v>
      </c>
      <c r="C58" s="62" t="s">
        <v>4688</v>
      </c>
      <c r="D58" s="63">
        <v>5</v>
      </c>
      <c r="E58" s="62"/>
      <c r="F58" s="65">
        <v>50</v>
      </c>
      <c r="G58" s="62"/>
      <c r="H58" s="66"/>
      <c r="I58" s="67"/>
      <c r="J58" s="67"/>
      <c r="K58" s="31" t="s">
        <v>65</v>
      </c>
      <c r="L58" s="68">
        <v>58</v>
      </c>
      <c r="M58" s="68"/>
      <c r="N58" s="69"/>
      <c r="O58" s="76" t="s">
        <v>587</v>
      </c>
      <c r="P58" s="78">
        <v>44812.664189814815</v>
      </c>
      <c r="Q58" s="76" t="s">
        <v>608</v>
      </c>
      <c r="R58" s="76"/>
      <c r="S58" s="76"/>
      <c r="T58" s="81" t="s">
        <v>806</v>
      </c>
      <c r="U58" s="76"/>
      <c r="V58" s="79" t="str">
        <f>HYPERLINK("https://pbs.twimg.com/profile_images/1507020421836808193/Bv1yFFuF_normal.jpg")</f>
        <v>https://pbs.twimg.com/profile_images/1507020421836808193/Bv1yFFuF_normal.jpg</v>
      </c>
      <c r="W58" s="78">
        <v>44812.664189814815</v>
      </c>
      <c r="X58" s="84">
        <v>44812</v>
      </c>
      <c r="Y58" s="81" t="s">
        <v>918</v>
      </c>
      <c r="Z58" s="79" t="str">
        <f>HYPERLINK("https://twitter.com/miky3881/status/1567904706206515200")</f>
        <v>https://twitter.com/miky3881/status/1567904706206515200</v>
      </c>
      <c r="AA58" s="76"/>
      <c r="AB58" s="76"/>
      <c r="AC58" s="81" t="s">
        <v>1249</v>
      </c>
      <c r="AD58" s="81" t="s">
        <v>1574</v>
      </c>
      <c r="AE58" s="76" t="b">
        <v>0</v>
      </c>
      <c r="AF58" s="76">
        <v>4</v>
      </c>
      <c r="AG58" s="81" t="s">
        <v>1684</v>
      </c>
      <c r="AH58" s="76" t="b">
        <v>0</v>
      </c>
      <c r="AI58" s="76" t="s">
        <v>1776</v>
      </c>
      <c r="AJ58" s="76"/>
      <c r="AK58" s="81" t="s">
        <v>1674</v>
      </c>
      <c r="AL58" s="76" t="b">
        <v>0</v>
      </c>
      <c r="AM58" s="76">
        <v>0</v>
      </c>
      <c r="AN58" s="81" t="s">
        <v>1674</v>
      </c>
      <c r="AO58" s="81" t="s">
        <v>1810</v>
      </c>
      <c r="AP58" s="76" t="b">
        <v>0</v>
      </c>
      <c r="AQ58" s="81" t="s">
        <v>1574</v>
      </c>
      <c r="AR58" s="76" t="s">
        <v>219</v>
      </c>
      <c r="AS58" s="76">
        <v>0</v>
      </c>
      <c r="AT58" s="76">
        <v>0</v>
      </c>
      <c r="AU58" s="76"/>
      <c r="AV58" s="76"/>
      <c r="AW58" s="76"/>
      <c r="AX58" s="76"/>
      <c r="AY58" s="76"/>
      <c r="AZ58" s="76"/>
      <c r="BA58" s="76"/>
      <c r="BB58" s="76"/>
      <c r="BC58">
        <v>1</v>
      </c>
      <c r="BD58" s="75" t="str">
        <f>REPLACE(INDEX(GroupVertices[Group],MATCH(Edges[[#This Row],[Vertex 1]],GroupVertices[Vertex],0)),1,1,"")</f>
        <v>57</v>
      </c>
      <c r="BE58" s="75" t="str">
        <f>REPLACE(INDEX(GroupVertices[Group],MATCH(Edges[[#This Row],[Vertex 2]],GroupVertices[Vertex],0)),1,1,"")</f>
        <v>57</v>
      </c>
      <c r="BF58" s="45">
        <v>0</v>
      </c>
      <c r="BG58" s="46">
        <v>0</v>
      </c>
      <c r="BH58" s="45">
        <v>0</v>
      </c>
      <c r="BI58" s="46">
        <v>0</v>
      </c>
      <c r="BJ58" s="45">
        <v>0</v>
      </c>
      <c r="BK58" s="46">
        <v>0</v>
      </c>
      <c r="BL58" s="45">
        <v>33</v>
      </c>
      <c r="BM58" s="46">
        <v>100</v>
      </c>
      <c r="BN58" s="45">
        <v>33</v>
      </c>
    </row>
    <row r="59" spans="1:66" ht="15">
      <c r="A59" s="61" t="s">
        <v>277</v>
      </c>
      <c r="B59" s="61" t="s">
        <v>464</v>
      </c>
      <c r="C59" s="62" t="s">
        <v>4688</v>
      </c>
      <c r="D59" s="63">
        <v>5</v>
      </c>
      <c r="E59" s="62"/>
      <c r="F59" s="65">
        <v>50</v>
      </c>
      <c r="G59" s="62"/>
      <c r="H59" s="66"/>
      <c r="I59" s="67"/>
      <c r="J59" s="67"/>
      <c r="K59" s="31" t="s">
        <v>65</v>
      </c>
      <c r="L59" s="68">
        <v>59</v>
      </c>
      <c r="M59" s="68"/>
      <c r="N59" s="69"/>
      <c r="O59" s="76" t="s">
        <v>587</v>
      </c>
      <c r="P59" s="78">
        <v>44812.71675925926</v>
      </c>
      <c r="Q59" s="76" t="s">
        <v>609</v>
      </c>
      <c r="R59" s="76"/>
      <c r="S59" s="76"/>
      <c r="T59" s="81" t="s">
        <v>795</v>
      </c>
      <c r="U59" s="76"/>
      <c r="V59" s="79" t="str">
        <f>HYPERLINK("https://pbs.twimg.com/profile_images/1568323910650707968/_BKm3e_r_normal.jpg")</f>
        <v>https://pbs.twimg.com/profile_images/1568323910650707968/_BKm3e_r_normal.jpg</v>
      </c>
      <c r="W59" s="78">
        <v>44812.71675925926</v>
      </c>
      <c r="X59" s="84">
        <v>44812</v>
      </c>
      <c r="Y59" s="81" t="s">
        <v>919</v>
      </c>
      <c r="Z59" s="79" t="str">
        <f>HYPERLINK("https://twitter.com/poseidon325_/status/1567923755959349258")</f>
        <v>https://twitter.com/poseidon325_/status/1567923755959349258</v>
      </c>
      <c r="AA59" s="76"/>
      <c r="AB59" s="76"/>
      <c r="AC59" s="81" t="s">
        <v>1250</v>
      </c>
      <c r="AD59" s="81" t="s">
        <v>1575</v>
      </c>
      <c r="AE59" s="76" t="b">
        <v>0</v>
      </c>
      <c r="AF59" s="76">
        <v>0</v>
      </c>
      <c r="AG59" s="81" t="s">
        <v>1685</v>
      </c>
      <c r="AH59" s="76" t="b">
        <v>0</v>
      </c>
      <c r="AI59" s="76" t="s">
        <v>1773</v>
      </c>
      <c r="AJ59" s="76"/>
      <c r="AK59" s="81" t="s">
        <v>1674</v>
      </c>
      <c r="AL59" s="76" t="b">
        <v>0</v>
      </c>
      <c r="AM59" s="76">
        <v>0</v>
      </c>
      <c r="AN59" s="81" t="s">
        <v>1674</v>
      </c>
      <c r="AO59" s="81" t="s">
        <v>1807</v>
      </c>
      <c r="AP59" s="76" t="b">
        <v>0</v>
      </c>
      <c r="AQ59" s="81" t="s">
        <v>1575</v>
      </c>
      <c r="AR59" s="76" t="s">
        <v>219</v>
      </c>
      <c r="AS59" s="76">
        <v>0</v>
      </c>
      <c r="AT59" s="76">
        <v>0</v>
      </c>
      <c r="AU59" s="76"/>
      <c r="AV59" s="76"/>
      <c r="AW59" s="76"/>
      <c r="AX59" s="76"/>
      <c r="AY59" s="76"/>
      <c r="AZ59" s="76"/>
      <c r="BA59" s="76"/>
      <c r="BB59" s="76"/>
      <c r="BC59">
        <v>1</v>
      </c>
      <c r="BD59" s="75" t="str">
        <f>REPLACE(INDEX(GroupVertices[Group],MATCH(Edges[[#This Row],[Vertex 1]],GroupVertices[Vertex],0)),1,1,"")</f>
        <v>56</v>
      </c>
      <c r="BE59" s="75" t="str">
        <f>REPLACE(INDEX(GroupVertices[Group],MATCH(Edges[[#This Row],[Vertex 2]],GroupVertices[Vertex],0)),1,1,"")</f>
        <v>56</v>
      </c>
      <c r="BF59" s="45">
        <v>0</v>
      </c>
      <c r="BG59" s="46">
        <v>0</v>
      </c>
      <c r="BH59" s="45">
        <v>0</v>
      </c>
      <c r="BI59" s="46">
        <v>0</v>
      </c>
      <c r="BJ59" s="45">
        <v>0</v>
      </c>
      <c r="BK59" s="46">
        <v>0</v>
      </c>
      <c r="BL59" s="45">
        <v>2</v>
      </c>
      <c r="BM59" s="46">
        <v>100</v>
      </c>
      <c r="BN59" s="45">
        <v>2</v>
      </c>
    </row>
    <row r="60" spans="1:66" ht="15">
      <c r="A60" s="61" t="s">
        <v>278</v>
      </c>
      <c r="B60" s="61" t="s">
        <v>278</v>
      </c>
      <c r="C60" s="62" t="s">
        <v>4688</v>
      </c>
      <c r="D60" s="63">
        <v>5</v>
      </c>
      <c r="E60" s="62"/>
      <c r="F60" s="65">
        <v>50</v>
      </c>
      <c r="G60" s="62"/>
      <c r="H60" s="66"/>
      <c r="I60" s="67"/>
      <c r="J60" s="67"/>
      <c r="K60" s="31" t="s">
        <v>65</v>
      </c>
      <c r="L60" s="68">
        <v>60</v>
      </c>
      <c r="M60" s="68"/>
      <c r="N60" s="69"/>
      <c r="O60" s="76" t="s">
        <v>219</v>
      </c>
      <c r="P60" s="78">
        <v>44812.76280092593</v>
      </c>
      <c r="Q60" s="76" t="s">
        <v>610</v>
      </c>
      <c r="R60" s="76"/>
      <c r="S60" s="76"/>
      <c r="T60" s="81" t="s">
        <v>807</v>
      </c>
      <c r="U60" s="79" t="str">
        <f>HYPERLINK("https://pbs.twimg.com/ext_tw_video_thumb/1567940385816576000/pu/img/xIs4ewXCw7Ea4ljE.jpg")</f>
        <v>https://pbs.twimg.com/ext_tw_video_thumb/1567940385816576000/pu/img/xIs4ewXCw7Ea4ljE.jpg</v>
      </c>
      <c r="V60" s="79" t="str">
        <f>HYPERLINK("https://pbs.twimg.com/ext_tw_video_thumb/1567940385816576000/pu/img/xIs4ewXCw7Ea4ljE.jpg")</f>
        <v>https://pbs.twimg.com/ext_tw_video_thumb/1567940385816576000/pu/img/xIs4ewXCw7Ea4ljE.jpg</v>
      </c>
      <c r="W60" s="78">
        <v>44812.76280092593</v>
      </c>
      <c r="X60" s="84">
        <v>44812</v>
      </c>
      <c r="Y60" s="81" t="s">
        <v>920</v>
      </c>
      <c r="Z60" s="79" t="str">
        <f>HYPERLINK("https://twitter.com/saifullahalipti/status/1567940441689190400")</f>
        <v>https://twitter.com/saifullahalipti/status/1567940441689190400</v>
      </c>
      <c r="AA60" s="76"/>
      <c r="AB60" s="76"/>
      <c r="AC60" s="81" t="s">
        <v>1251</v>
      </c>
      <c r="AD60" s="76"/>
      <c r="AE60" s="76" t="b">
        <v>0</v>
      </c>
      <c r="AF60" s="76">
        <v>1</v>
      </c>
      <c r="AG60" s="81" t="s">
        <v>1674</v>
      </c>
      <c r="AH60" s="76" t="b">
        <v>0</v>
      </c>
      <c r="AI60" s="76" t="s">
        <v>1777</v>
      </c>
      <c r="AJ60" s="76"/>
      <c r="AK60" s="81" t="s">
        <v>1674</v>
      </c>
      <c r="AL60" s="76" t="b">
        <v>0</v>
      </c>
      <c r="AM60" s="76">
        <v>1</v>
      </c>
      <c r="AN60" s="81" t="s">
        <v>1674</v>
      </c>
      <c r="AO60" s="81" t="s">
        <v>1807</v>
      </c>
      <c r="AP60" s="76" t="b">
        <v>0</v>
      </c>
      <c r="AQ60" s="81" t="s">
        <v>1251</v>
      </c>
      <c r="AR60" s="76" t="s">
        <v>219</v>
      </c>
      <c r="AS60" s="76">
        <v>0</v>
      </c>
      <c r="AT60" s="76">
        <v>0</v>
      </c>
      <c r="AU60" s="76" t="s">
        <v>1812</v>
      </c>
      <c r="AV60" s="76" t="s">
        <v>1813</v>
      </c>
      <c r="AW60" s="76" t="s">
        <v>1814</v>
      </c>
      <c r="AX60" s="76" t="s">
        <v>1815</v>
      </c>
      <c r="AY60" s="76" t="s">
        <v>1816</v>
      </c>
      <c r="AZ60" s="76" t="s">
        <v>1815</v>
      </c>
      <c r="BA60" s="76" t="s">
        <v>1817</v>
      </c>
      <c r="BB60" s="79" t="str">
        <f>HYPERLINK("https://api.twitter.com/1.1/geo/id/7589e3f2b73287da.json")</f>
        <v>https://api.twitter.com/1.1/geo/id/7589e3f2b73287da.json</v>
      </c>
      <c r="BC60">
        <v>1</v>
      </c>
      <c r="BD60" s="75" t="str">
        <f>REPLACE(INDEX(GroupVertices[Group],MATCH(Edges[[#This Row],[Vertex 1]],GroupVertices[Vertex],0)),1,1,"")</f>
        <v>55</v>
      </c>
      <c r="BE60" s="75" t="str">
        <f>REPLACE(INDEX(GroupVertices[Group],MATCH(Edges[[#This Row],[Vertex 2]],GroupVertices[Vertex],0)),1,1,"")</f>
        <v>55</v>
      </c>
      <c r="BF60" s="45">
        <v>0</v>
      </c>
      <c r="BG60" s="46">
        <v>0</v>
      </c>
      <c r="BH60" s="45">
        <v>0</v>
      </c>
      <c r="BI60" s="46">
        <v>0</v>
      </c>
      <c r="BJ60" s="45">
        <v>0</v>
      </c>
      <c r="BK60" s="46">
        <v>0</v>
      </c>
      <c r="BL60" s="45">
        <v>7</v>
      </c>
      <c r="BM60" s="46">
        <v>100</v>
      </c>
      <c r="BN60" s="45">
        <v>7</v>
      </c>
    </row>
    <row r="61" spans="1:66" ht="15">
      <c r="A61" s="61" t="s">
        <v>279</v>
      </c>
      <c r="B61" s="61" t="s">
        <v>278</v>
      </c>
      <c r="C61" s="62" t="s">
        <v>4688</v>
      </c>
      <c r="D61" s="63">
        <v>5</v>
      </c>
      <c r="E61" s="62"/>
      <c r="F61" s="65">
        <v>50</v>
      </c>
      <c r="G61" s="62"/>
      <c r="H61" s="66"/>
      <c r="I61" s="67"/>
      <c r="J61" s="67"/>
      <c r="K61" s="31" t="s">
        <v>65</v>
      </c>
      <c r="L61" s="68">
        <v>61</v>
      </c>
      <c r="M61" s="68"/>
      <c r="N61" s="69"/>
      <c r="O61" s="76" t="s">
        <v>586</v>
      </c>
      <c r="P61" s="78">
        <v>44812.76349537037</v>
      </c>
      <c r="Q61" s="76" t="s">
        <v>610</v>
      </c>
      <c r="R61" s="76"/>
      <c r="S61" s="76"/>
      <c r="T61" s="81" t="s">
        <v>807</v>
      </c>
      <c r="U61" s="79" t="str">
        <f>HYPERLINK("https://pbs.twimg.com/ext_tw_video_thumb/1567940385816576000/pu/img/xIs4ewXCw7Ea4ljE.jpg")</f>
        <v>https://pbs.twimg.com/ext_tw_video_thumb/1567940385816576000/pu/img/xIs4ewXCw7Ea4ljE.jpg</v>
      </c>
      <c r="V61" s="79" t="str">
        <f>HYPERLINK("https://pbs.twimg.com/ext_tw_video_thumb/1567940385816576000/pu/img/xIs4ewXCw7Ea4ljE.jpg")</f>
        <v>https://pbs.twimg.com/ext_tw_video_thumb/1567940385816576000/pu/img/xIs4ewXCw7Ea4ljE.jpg</v>
      </c>
      <c r="W61" s="78">
        <v>44812.76349537037</v>
      </c>
      <c r="X61" s="84">
        <v>44812</v>
      </c>
      <c r="Y61" s="81" t="s">
        <v>921</v>
      </c>
      <c r="Z61" s="79" t="str">
        <f>HYPERLINK("https://twitter.com/dilkash_1/status/1567940692822949890")</f>
        <v>https://twitter.com/dilkash_1/status/1567940692822949890</v>
      </c>
      <c r="AA61" s="76"/>
      <c r="AB61" s="76"/>
      <c r="AC61" s="81" t="s">
        <v>1252</v>
      </c>
      <c r="AD61" s="76"/>
      <c r="AE61" s="76" t="b">
        <v>0</v>
      </c>
      <c r="AF61" s="76">
        <v>0</v>
      </c>
      <c r="AG61" s="81" t="s">
        <v>1674</v>
      </c>
      <c r="AH61" s="76" t="b">
        <v>0</v>
      </c>
      <c r="AI61" s="76" t="s">
        <v>1777</v>
      </c>
      <c r="AJ61" s="76"/>
      <c r="AK61" s="81" t="s">
        <v>1674</v>
      </c>
      <c r="AL61" s="76" t="b">
        <v>0</v>
      </c>
      <c r="AM61" s="76">
        <v>1</v>
      </c>
      <c r="AN61" s="81" t="s">
        <v>1251</v>
      </c>
      <c r="AO61" s="81" t="s">
        <v>1807</v>
      </c>
      <c r="AP61" s="76" t="b">
        <v>0</v>
      </c>
      <c r="AQ61" s="81" t="s">
        <v>1251</v>
      </c>
      <c r="AR61" s="76" t="s">
        <v>219</v>
      </c>
      <c r="AS61" s="76">
        <v>0</v>
      </c>
      <c r="AT61" s="76">
        <v>0</v>
      </c>
      <c r="AU61" s="76"/>
      <c r="AV61" s="76"/>
      <c r="AW61" s="76"/>
      <c r="AX61" s="76"/>
      <c r="AY61" s="76"/>
      <c r="AZ61" s="76"/>
      <c r="BA61" s="76"/>
      <c r="BB61" s="76"/>
      <c r="BC61">
        <v>1</v>
      </c>
      <c r="BD61" s="75" t="str">
        <f>REPLACE(INDEX(GroupVertices[Group],MATCH(Edges[[#This Row],[Vertex 1]],GroupVertices[Vertex],0)),1,1,"")</f>
        <v>55</v>
      </c>
      <c r="BE61" s="75" t="str">
        <f>REPLACE(INDEX(GroupVertices[Group],MATCH(Edges[[#This Row],[Vertex 2]],GroupVertices[Vertex],0)),1,1,"")</f>
        <v>55</v>
      </c>
      <c r="BF61" s="45">
        <v>0</v>
      </c>
      <c r="BG61" s="46">
        <v>0</v>
      </c>
      <c r="BH61" s="45">
        <v>0</v>
      </c>
      <c r="BI61" s="46">
        <v>0</v>
      </c>
      <c r="BJ61" s="45">
        <v>0</v>
      </c>
      <c r="BK61" s="46">
        <v>0</v>
      </c>
      <c r="BL61" s="45">
        <v>7</v>
      </c>
      <c r="BM61" s="46">
        <v>100</v>
      </c>
      <c r="BN61" s="45">
        <v>7</v>
      </c>
    </row>
    <row r="62" spans="1:66" ht="15">
      <c r="A62" s="61" t="s">
        <v>280</v>
      </c>
      <c r="B62" s="61" t="s">
        <v>280</v>
      </c>
      <c r="C62" s="62" t="s">
        <v>4689</v>
      </c>
      <c r="D62" s="63">
        <v>5.416666666666667</v>
      </c>
      <c r="E62" s="62"/>
      <c r="F62" s="65">
        <v>47.083333333333336</v>
      </c>
      <c r="G62" s="62"/>
      <c r="H62" s="66"/>
      <c r="I62" s="67"/>
      <c r="J62" s="67"/>
      <c r="K62" s="31" t="s">
        <v>65</v>
      </c>
      <c r="L62" s="68">
        <v>62</v>
      </c>
      <c r="M62" s="68"/>
      <c r="N62" s="69"/>
      <c r="O62" s="76" t="s">
        <v>219</v>
      </c>
      <c r="P62" s="78">
        <v>44812.31747685185</v>
      </c>
      <c r="Q62" s="76" t="s">
        <v>602</v>
      </c>
      <c r="R62" s="76"/>
      <c r="S62" s="76"/>
      <c r="T62" s="81" t="s">
        <v>802</v>
      </c>
      <c r="U62" s="79" t="str">
        <f>HYPERLINK("https://pbs.twimg.com/media/FcHevsMXkAEnkIC.jpg")</f>
        <v>https://pbs.twimg.com/media/FcHevsMXkAEnkIC.jpg</v>
      </c>
      <c r="V62" s="79" t="str">
        <f>HYPERLINK("https://pbs.twimg.com/media/FcHevsMXkAEnkIC.jpg")</f>
        <v>https://pbs.twimg.com/media/FcHevsMXkAEnkIC.jpg</v>
      </c>
      <c r="W62" s="78">
        <v>44812.31747685185</v>
      </c>
      <c r="X62" s="84">
        <v>44812</v>
      </c>
      <c r="Y62" s="81" t="s">
        <v>922</v>
      </c>
      <c r="Z62" s="79" t="str">
        <f>HYPERLINK("https://twitter.com/stegnerralle/status/1567779061618843648")</f>
        <v>https://twitter.com/stegnerralle/status/1567779061618843648</v>
      </c>
      <c r="AA62" s="76"/>
      <c r="AB62" s="76"/>
      <c r="AC62" s="81" t="s">
        <v>1253</v>
      </c>
      <c r="AD62" s="76"/>
      <c r="AE62" s="76" t="b">
        <v>0</v>
      </c>
      <c r="AF62" s="76">
        <v>2</v>
      </c>
      <c r="AG62" s="81" t="s">
        <v>1674</v>
      </c>
      <c r="AH62" s="76" t="b">
        <v>0</v>
      </c>
      <c r="AI62" s="76" t="s">
        <v>1774</v>
      </c>
      <c r="AJ62" s="76"/>
      <c r="AK62" s="81" t="s">
        <v>1674</v>
      </c>
      <c r="AL62" s="76" t="b">
        <v>0</v>
      </c>
      <c r="AM62" s="76">
        <v>2</v>
      </c>
      <c r="AN62" s="81" t="s">
        <v>1674</v>
      </c>
      <c r="AO62" s="81" t="s">
        <v>1807</v>
      </c>
      <c r="AP62" s="76" t="b">
        <v>0</v>
      </c>
      <c r="AQ62" s="81" t="s">
        <v>1253</v>
      </c>
      <c r="AR62" s="76" t="s">
        <v>219</v>
      </c>
      <c r="AS62" s="76">
        <v>0</v>
      </c>
      <c r="AT62" s="76">
        <v>0</v>
      </c>
      <c r="AU62" s="76"/>
      <c r="AV62" s="76"/>
      <c r="AW62" s="76"/>
      <c r="AX62" s="76"/>
      <c r="AY62" s="76"/>
      <c r="AZ62" s="76"/>
      <c r="BA62" s="76"/>
      <c r="BB62" s="76"/>
      <c r="BC62">
        <v>2</v>
      </c>
      <c r="BD62" s="75" t="str">
        <f>REPLACE(INDEX(GroupVertices[Group],MATCH(Edges[[#This Row],[Vertex 1]],GroupVertices[Vertex],0)),1,1,"")</f>
        <v>19</v>
      </c>
      <c r="BE62" s="75" t="str">
        <f>REPLACE(INDEX(GroupVertices[Group],MATCH(Edges[[#This Row],[Vertex 2]],GroupVertices[Vertex],0)),1,1,"")</f>
        <v>19</v>
      </c>
      <c r="BF62" s="45">
        <v>0</v>
      </c>
      <c r="BG62" s="46">
        <v>0</v>
      </c>
      <c r="BH62" s="45">
        <v>2</v>
      </c>
      <c r="BI62" s="46">
        <v>7.407407407407407</v>
      </c>
      <c r="BJ62" s="45">
        <v>0</v>
      </c>
      <c r="BK62" s="46">
        <v>0</v>
      </c>
      <c r="BL62" s="45">
        <v>25</v>
      </c>
      <c r="BM62" s="46">
        <v>92.5925925925926</v>
      </c>
      <c r="BN62" s="45">
        <v>27</v>
      </c>
    </row>
    <row r="63" spans="1:66" ht="15">
      <c r="A63" s="61" t="s">
        <v>280</v>
      </c>
      <c r="B63" s="61" t="s">
        <v>280</v>
      </c>
      <c r="C63" s="62" t="s">
        <v>4689</v>
      </c>
      <c r="D63" s="63">
        <v>5.416666666666667</v>
      </c>
      <c r="E63" s="62"/>
      <c r="F63" s="65">
        <v>47.083333333333336</v>
      </c>
      <c r="G63" s="62"/>
      <c r="H63" s="66"/>
      <c r="I63" s="67"/>
      <c r="J63" s="67"/>
      <c r="K63" s="31" t="s">
        <v>65</v>
      </c>
      <c r="L63" s="68">
        <v>63</v>
      </c>
      <c r="M63" s="68"/>
      <c r="N63" s="69"/>
      <c r="O63" s="76" t="s">
        <v>219</v>
      </c>
      <c r="P63" s="78">
        <v>44812.33613425926</v>
      </c>
      <c r="Q63" s="76" t="s">
        <v>607</v>
      </c>
      <c r="R63" s="76"/>
      <c r="S63" s="76"/>
      <c r="T63" s="81" t="s">
        <v>805</v>
      </c>
      <c r="U63" s="79" t="str">
        <f>HYPERLINK("https://pbs.twimg.com/media/FcHk5KpX0AER_Nj.jpg")</f>
        <v>https://pbs.twimg.com/media/FcHk5KpX0AER_Nj.jpg</v>
      </c>
      <c r="V63" s="79" t="str">
        <f>HYPERLINK("https://pbs.twimg.com/media/FcHk5KpX0AER_Nj.jpg")</f>
        <v>https://pbs.twimg.com/media/FcHk5KpX0AER_Nj.jpg</v>
      </c>
      <c r="W63" s="78">
        <v>44812.33613425926</v>
      </c>
      <c r="X63" s="84">
        <v>44812</v>
      </c>
      <c r="Y63" s="81" t="s">
        <v>923</v>
      </c>
      <c r="Z63" s="79" t="str">
        <f>HYPERLINK("https://twitter.com/stegnerralle/status/1567785821926735877")</f>
        <v>https://twitter.com/stegnerralle/status/1567785821926735877</v>
      </c>
      <c r="AA63" s="76"/>
      <c r="AB63" s="76"/>
      <c r="AC63" s="81" t="s">
        <v>1254</v>
      </c>
      <c r="AD63" s="76"/>
      <c r="AE63" s="76" t="b">
        <v>0</v>
      </c>
      <c r="AF63" s="76">
        <v>6</v>
      </c>
      <c r="AG63" s="81" t="s">
        <v>1674</v>
      </c>
      <c r="AH63" s="76" t="b">
        <v>0</v>
      </c>
      <c r="AI63" s="76" t="s">
        <v>1774</v>
      </c>
      <c r="AJ63" s="76"/>
      <c r="AK63" s="81" t="s">
        <v>1674</v>
      </c>
      <c r="AL63" s="76" t="b">
        <v>0</v>
      </c>
      <c r="AM63" s="76">
        <v>2</v>
      </c>
      <c r="AN63" s="81" t="s">
        <v>1674</v>
      </c>
      <c r="AO63" s="81" t="s">
        <v>1807</v>
      </c>
      <c r="AP63" s="76" t="b">
        <v>0</v>
      </c>
      <c r="AQ63" s="81" t="s">
        <v>1254</v>
      </c>
      <c r="AR63" s="76" t="s">
        <v>219</v>
      </c>
      <c r="AS63" s="76">
        <v>0</v>
      </c>
      <c r="AT63" s="76">
        <v>0</v>
      </c>
      <c r="AU63" s="76"/>
      <c r="AV63" s="76"/>
      <c r="AW63" s="76"/>
      <c r="AX63" s="76"/>
      <c r="AY63" s="76"/>
      <c r="AZ63" s="76"/>
      <c r="BA63" s="76"/>
      <c r="BB63" s="76"/>
      <c r="BC63">
        <v>2</v>
      </c>
      <c r="BD63" s="75" t="str">
        <f>REPLACE(INDEX(GroupVertices[Group],MATCH(Edges[[#This Row],[Vertex 1]],GroupVertices[Vertex],0)),1,1,"")</f>
        <v>19</v>
      </c>
      <c r="BE63" s="75" t="str">
        <f>REPLACE(INDEX(GroupVertices[Group],MATCH(Edges[[#This Row],[Vertex 2]],GroupVertices[Vertex],0)),1,1,"")</f>
        <v>19</v>
      </c>
      <c r="BF63" s="45">
        <v>0</v>
      </c>
      <c r="BG63" s="46">
        <v>0</v>
      </c>
      <c r="BH63" s="45">
        <v>0</v>
      </c>
      <c r="BI63" s="46">
        <v>0</v>
      </c>
      <c r="BJ63" s="45">
        <v>0</v>
      </c>
      <c r="BK63" s="46">
        <v>0</v>
      </c>
      <c r="BL63" s="45">
        <v>34</v>
      </c>
      <c r="BM63" s="46">
        <v>100</v>
      </c>
      <c r="BN63" s="45">
        <v>34</v>
      </c>
    </row>
    <row r="64" spans="1:66" ht="15">
      <c r="A64" s="61" t="s">
        <v>281</v>
      </c>
      <c r="B64" s="61" t="s">
        <v>280</v>
      </c>
      <c r="C64" s="62" t="s">
        <v>4688</v>
      </c>
      <c r="D64" s="63">
        <v>5</v>
      </c>
      <c r="E64" s="62"/>
      <c r="F64" s="65">
        <v>50</v>
      </c>
      <c r="G64" s="62"/>
      <c r="H64" s="66"/>
      <c r="I64" s="67"/>
      <c r="J64" s="67"/>
      <c r="K64" s="31" t="s">
        <v>65</v>
      </c>
      <c r="L64" s="68">
        <v>64</v>
      </c>
      <c r="M64" s="68"/>
      <c r="N64" s="69"/>
      <c r="O64" s="76" t="s">
        <v>586</v>
      </c>
      <c r="P64" s="78">
        <v>44812.81762731481</v>
      </c>
      <c r="Q64" s="76" t="s">
        <v>607</v>
      </c>
      <c r="R64" s="76"/>
      <c r="S64" s="76"/>
      <c r="T64" s="81" t="s">
        <v>805</v>
      </c>
      <c r="U64" s="79" t="str">
        <f>HYPERLINK("https://pbs.twimg.com/media/FcHk5KpX0AER_Nj.jpg")</f>
        <v>https://pbs.twimg.com/media/FcHk5KpX0AER_Nj.jpg</v>
      </c>
      <c r="V64" s="79" t="str">
        <f>HYPERLINK("https://pbs.twimg.com/media/FcHk5KpX0AER_Nj.jpg")</f>
        <v>https://pbs.twimg.com/media/FcHk5KpX0AER_Nj.jpg</v>
      </c>
      <c r="W64" s="78">
        <v>44812.81762731481</v>
      </c>
      <c r="X64" s="84">
        <v>44812</v>
      </c>
      <c r="Y64" s="81" t="s">
        <v>924</v>
      </c>
      <c r="Z64" s="79" t="str">
        <f>HYPERLINK("https://twitter.com/achguck/status/1567960310459383810")</f>
        <v>https://twitter.com/achguck/status/1567960310459383810</v>
      </c>
      <c r="AA64" s="76"/>
      <c r="AB64" s="76"/>
      <c r="AC64" s="81" t="s">
        <v>1255</v>
      </c>
      <c r="AD64" s="76"/>
      <c r="AE64" s="76" t="b">
        <v>0</v>
      </c>
      <c r="AF64" s="76">
        <v>0</v>
      </c>
      <c r="AG64" s="81" t="s">
        <v>1674</v>
      </c>
      <c r="AH64" s="76" t="b">
        <v>0</v>
      </c>
      <c r="AI64" s="76" t="s">
        <v>1774</v>
      </c>
      <c r="AJ64" s="76"/>
      <c r="AK64" s="81" t="s">
        <v>1674</v>
      </c>
      <c r="AL64" s="76" t="b">
        <v>0</v>
      </c>
      <c r="AM64" s="76">
        <v>2</v>
      </c>
      <c r="AN64" s="81" t="s">
        <v>1254</v>
      </c>
      <c r="AO64" s="81" t="s">
        <v>1808</v>
      </c>
      <c r="AP64" s="76" t="b">
        <v>0</v>
      </c>
      <c r="AQ64" s="81" t="s">
        <v>1254</v>
      </c>
      <c r="AR64" s="76" t="s">
        <v>219</v>
      </c>
      <c r="AS64" s="76">
        <v>0</v>
      </c>
      <c r="AT64" s="76">
        <v>0</v>
      </c>
      <c r="AU64" s="76"/>
      <c r="AV64" s="76"/>
      <c r="AW64" s="76"/>
      <c r="AX64" s="76"/>
      <c r="AY64" s="76"/>
      <c r="AZ64" s="76"/>
      <c r="BA64" s="76"/>
      <c r="BB64" s="76"/>
      <c r="BC64">
        <v>1</v>
      </c>
      <c r="BD64" s="75" t="str">
        <f>REPLACE(INDEX(GroupVertices[Group],MATCH(Edges[[#This Row],[Vertex 1]],GroupVertices[Vertex],0)),1,1,"")</f>
        <v>19</v>
      </c>
      <c r="BE64" s="75" t="str">
        <f>REPLACE(INDEX(GroupVertices[Group],MATCH(Edges[[#This Row],[Vertex 2]],GroupVertices[Vertex],0)),1,1,"")</f>
        <v>19</v>
      </c>
      <c r="BF64" s="45">
        <v>0</v>
      </c>
      <c r="BG64" s="46">
        <v>0</v>
      </c>
      <c r="BH64" s="45">
        <v>0</v>
      </c>
      <c r="BI64" s="46">
        <v>0</v>
      </c>
      <c r="BJ64" s="45">
        <v>0</v>
      </c>
      <c r="BK64" s="46">
        <v>0</v>
      </c>
      <c r="BL64" s="45">
        <v>34</v>
      </c>
      <c r="BM64" s="46">
        <v>100</v>
      </c>
      <c r="BN64" s="45">
        <v>34</v>
      </c>
    </row>
    <row r="65" spans="1:66" ht="15">
      <c r="A65" s="61" t="s">
        <v>282</v>
      </c>
      <c r="B65" s="61" t="s">
        <v>460</v>
      </c>
      <c r="C65" s="62" t="s">
        <v>4688</v>
      </c>
      <c r="D65" s="63">
        <v>5</v>
      </c>
      <c r="E65" s="62"/>
      <c r="F65" s="65">
        <v>50</v>
      </c>
      <c r="G65" s="62"/>
      <c r="H65" s="66"/>
      <c r="I65" s="67"/>
      <c r="J65" s="67"/>
      <c r="K65" s="31" t="s">
        <v>65</v>
      </c>
      <c r="L65" s="68">
        <v>65</v>
      </c>
      <c r="M65" s="68"/>
      <c r="N65" s="69"/>
      <c r="O65" s="76" t="s">
        <v>585</v>
      </c>
      <c r="P65" s="78">
        <v>44812.91364583333</v>
      </c>
      <c r="Q65" s="76" t="s">
        <v>589</v>
      </c>
      <c r="R65" s="76"/>
      <c r="S65" s="76"/>
      <c r="T65" s="81" t="s">
        <v>792</v>
      </c>
      <c r="U65" s="79" t="str">
        <f>HYPERLINK("https://pbs.twimg.com/media/Fb6ZZsqWYAUww3Q.jpg")</f>
        <v>https://pbs.twimg.com/media/Fb6ZZsqWYAUww3Q.jpg</v>
      </c>
      <c r="V65" s="79" t="str">
        <f>HYPERLINK("https://pbs.twimg.com/media/Fb6ZZsqWYAUww3Q.jpg")</f>
        <v>https://pbs.twimg.com/media/Fb6ZZsqWYAUww3Q.jpg</v>
      </c>
      <c r="W65" s="78">
        <v>44812.91364583333</v>
      </c>
      <c r="X65" s="84">
        <v>44812</v>
      </c>
      <c r="Y65" s="81" t="s">
        <v>925</v>
      </c>
      <c r="Z65" s="79" t="str">
        <f>HYPERLINK("https://twitter.com/myriamjerome/status/1567995103184318464")</f>
        <v>https://twitter.com/myriamjerome/status/1567995103184318464</v>
      </c>
      <c r="AA65" s="76"/>
      <c r="AB65" s="76"/>
      <c r="AC65" s="81" t="s">
        <v>1256</v>
      </c>
      <c r="AD65" s="76"/>
      <c r="AE65" s="76" t="b">
        <v>0</v>
      </c>
      <c r="AF65" s="76">
        <v>0</v>
      </c>
      <c r="AG65" s="81" t="s">
        <v>1674</v>
      </c>
      <c r="AH65" s="76" t="b">
        <v>0</v>
      </c>
      <c r="AI65" s="76" t="s">
        <v>1770</v>
      </c>
      <c r="AJ65" s="76"/>
      <c r="AK65" s="81" t="s">
        <v>1674</v>
      </c>
      <c r="AL65" s="76" t="b">
        <v>0</v>
      </c>
      <c r="AM65" s="76">
        <v>35</v>
      </c>
      <c r="AN65" s="81" t="s">
        <v>1303</v>
      </c>
      <c r="AO65" s="81" t="s">
        <v>1807</v>
      </c>
      <c r="AP65" s="76" t="b">
        <v>0</v>
      </c>
      <c r="AQ65" s="81" t="s">
        <v>1303</v>
      </c>
      <c r="AR65" s="76" t="s">
        <v>219</v>
      </c>
      <c r="AS65" s="76">
        <v>0</v>
      </c>
      <c r="AT65" s="76">
        <v>0</v>
      </c>
      <c r="AU65" s="76"/>
      <c r="AV65" s="76"/>
      <c r="AW65" s="76"/>
      <c r="AX65" s="76"/>
      <c r="AY65" s="76"/>
      <c r="AZ65" s="76"/>
      <c r="BA65" s="76"/>
      <c r="BB65" s="76"/>
      <c r="BC65">
        <v>1</v>
      </c>
      <c r="BD65" s="75" t="str">
        <f>REPLACE(INDEX(GroupVertices[Group],MATCH(Edges[[#This Row],[Vertex 1]],GroupVertices[Vertex],0)),1,1,"")</f>
        <v>10</v>
      </c>
      <c r="BE65" s="75" t="str">
        <f>REPLACE(INDEX(GroupVertices[Group],MATCH(Edges[[#This Row],[Vertex 2]],GroupVertices[Vertex],0)),1,1,"")</f>
        <v>10</v>
      </c>
      <c r="BF65" s="45"/>
      <c r="BG65" s="46"/>
      <c r="BH65" s="45"/>
      <c r="BI65" s="46"/>
      <c r="BJ65" s="45"/>
      <c r="BK65" s="46"/>
      <c r="BL65" s="45"/>
      <c r="BM65" s="46"/>
      <c r="BN65" s="45"/>
    </row>
    <row r="66" spans="1:66" ht="15">
      <c r="A66" s="61" t="s">
        <v>282</v>
      </c>
      <c r="B66" s="61" t="s">
        <v>430</v>
      </c>
      <c r="C66" s="62" t="s">
        <v>4688</v>
      </c>
      <c r="D66" s="63">
        <v>5</v>
      </c>
      <c r="E66" s="62"/>
      <c r="F66" s="65">
        <v>50</v>
      </c>
      <c r="G66" s="62"/>
      <c r="H66" s="66"/>
      <c r="I66" s="67"/>
      <c r="J66" s="67"/>
      <c r="K66" s="31" t="s">
        <v>65</v>
      </c>
      <c r="L66" s="68">
        <v>66</v>
      </c>
      <c r="M66" s="68"/>
      <c r="N66" s="69"/>
      <c r="O66" s="76" t="s">
        <v>585</v>
      </c>
      <c r="P66" s="78">
        <v>44812.91364583333</v>
      </c>
      <c r="Q66" s="76" t="s">
        <v>589</v>
      </c>
      <c r="R66" s="76"/>
      <c r="S66" s="76"/>
      <c r="T66" s="81" t="s">
        <v>792</v>
      </c>
      <c r="U66" s="79" t="str">
        <f>HYPERLINK("https://pbs.twimg.com/media/Fb6ZZsqWYAUww3Q.jpg")</f>
        <v>https://pbs.twimg.com/media/Fb6ZZsqWYAUww3Q.jpg</v>
      </c>
      <c r="V66" s="79" t="str">
        <f>HYPERLINK("https://pbs.twimg.com/media/Fb6ZZsqWYAUww3Q.jpg")</f>
        <v>https://pbs.twimg.com/media/Fb6ZZsqWYAUww3Q.jpg</v>
      </c>
      <c r="W66" s="78">
        <v>44812.91364583333</v>
      </c>
      <c r="X66" s="84">
        <v>44812</v>
      </c>
      <c r="Y66" s="81" t="s">
        <v>925</v>
      </c>
      <c r="Z66" s="79" t="str">
        <f>HYPERLINK("https://twitter.com/myriamjerome/status/1567995103184318464")</f>
        <v>https://twitter.com/myriamjerome/status/1567995103184318464</v>
      </c>
      <c r="AA66" s="76"/>
      <c r="AB66" s="76"/>
      <c r="AC66" s="81" t="s">
        <v>1256</v>
      </c>
      <c r="AD66" s="76"/>
      <c r="AE66" s="76" t="b">
        <v>0</v>
      </c>
      <c r="AF66" s="76">
        <v>0</v>
      </c>
      <c r="AG66" s="81" t="s">
        <v>1674</v>
      </c>
      <c r="AH66" s="76" t="b">
        <v>0</v>
      </c>
      <c r="AI66" s="76" t="s">
        <v>1770</v>
      </c>
      <c r="AJ66" s="76"/>
      <c r="AK66" s="81" t="s">
        <v>1674</v>
      </c>
      <c r="AL66" s="76" t="b">
        <v>0</v>
      </c>
      <c r="AM66" s="76">
        <v>35</v>
      </c>
      <c r="AN66" s="81" t="s">
        <v>1303</v>
      </c>
      <c r="AO66" s="81" t="s">
        <v>1807</v>
      </c>
      <c r="AP66" s="76" t="b">
        <v>0</v>
      </c>
      <c r="AQ66" s="81" t="s">
        <v>1303</v>
      </c>
      <c r="AR66" s="76" t="s">
        <v>219</v>
      </c>
      <c r="AS66" s="76">
        <v>0</v>
      </c>
      <c r="AT66" s="76">
        <v>0</v>
      </c>
      <c r="AU66" s="76"/>
      <c r="AV66" s="76"/>
      <c r="AW66" s="76"/>
      <c r="AX66" s="76"/>
      <c r="AY66" s="76"/>
      <c r="AZ66" s="76"/>
      <c r="BA66" s="76"/>
      <c r="BB66" s="76"/>
      <c r="BC66">
        <v>1</v>
      </c>
      <c r="BD66" s="75" t="str">
        <f>REPLACE(INDEX(GroupVertices[Group],MATCH(Edges[[#This Row],[Vertex 1]],GroupVertices[Vertex],0)),1,1,"")</f>
        <v>10</v>
      </c>
      <c r="BE66" s="75" t="str">
        <f>REPLACE(INDEX(GroupVertices[Group],MATCH(Edges[[#This Row],[Vertex 2]],GroupVertices[Vertex],0)),1,1,"")</f>
        <v>10</v>
      </c>
      <c r="BF66" s="45"/>
      <c r="BG66" s="46"/>
      <c r="BH66" s="45"/>
      <c r="BI66" s="46"/>
      <c r="BJ66" s="45"/>
      <c r="BK66" s="46"/>
      <c r="BL66" s="45"/>
      <c r="BM66" s="46"/>
      <c r="BN66" s="45"/>
    </row>
    <row r="67" spans="1:66" ht="15">
      <c r="A67" s="61" t="s">
        <v>282</v>
      </c>
      <c r="B67" s="61" t="s">
        <v>431</v>
      </c>
      <c r="C67" s="62" t="s">
        <v>4688</v>
      </c>
      <c r="D67" s="63">
        <v>5</v>
      </c>
      <c r="E67" s="62"/>
      <c r="F67" s="65">
        <v>50</v>
      </c>
      <c r="G67" s="62"/>
      <c r="H67" s="66"/>
      <c r="I67" s="67"/>
      <c r="J67" s="67"/>
      <c r="K67" s="31" t="s">
        <v>65</v>
      </c>
      <c r="L67" s="68">
        <v>67</v>
      </c>
      <c r="M67" s="68"/>
      <c r="N67" s="69"/>
      <c r="O67" s="76" t="s">
        <v>585</v>
      </c>
      <c r="P67" s="78">
        <v>44812.91364583333</v>
      </c>
      <c r="Q67" s="76" t="s">
        <v>589</v>
      </c>
      <c r="R67" s="76"/>
      <c r="S67" s="76"/>
      <c r="T67" s="81" t="s">
        <v>792</v>
      </c>
      <c r="U67" s="79" t="str">
        <f>HYPERLINK("https://pbs.twimg.com/media/Fb6ZZsqWYAUww3Q.jpg")</f>
        <v>https://pbs.twimg.com/media/Fb6ZZsqWYAUww3Q.jpg</v>
      </c>
      <c r="V67" s="79" t="str">
        <f>HYPERLINK("https://pbs.twimg.com/media/Fb6ZZsqWYAUww3Q.jpg")</f>
        <v>https://pbs.twimg.com/media/Fb6ZZsqWYAUww3Q.jpg</v>
      </c>
      <c r="W67" s="78">
        <v>44812.91364583333</v>
      </c>
      <c r="X67" s="84">
        <v>44812</v>
      </c>
      <c r="Y67" s="81" t="s">
        <v>925</v>
      </c>
      <c r="Z67" s="79" t="str">
        <f>HYPERLINK("https://twitter.com/myriamjerome/status/1567995103184318464")</f>
        <v>https://twitter.com/myriamjerome/status/1567995103184318464</v>
      </c>
      <c r="AA67" s="76"/>
      <c r="AB67" s="76"/>
      <c r="AC67" s="81" t="s">
        <v>1256</v>
      </c>
      <c r="AD67" s="76"/>
      <c r="AE67" s="76" t="b">
        <v>0</v>
      </c>
      <c r="AF67" s="76">
        <v>0</v>
      </c>
      <c r="AG67" s="81" t="s">
        <v>1674</v>
      </c>
      <c r="AH67" s="76" t="b">
        <v>0</v>
      </c>
      <c r="AI67" s="76" t="s">
        <v>1770</v>
      </c>
      <c r="AJ67" s="76"/>
      <c r="AK67" s="81" t="s">
        <v>1674</v>
      </c>
      <c r="AL67" s="76" t="b">
        <v>0</v>
      </c>
      <c r="AM67" s="76">
        <v>35</v>
      </c>
      <c r="AN67" s="81" t="s">
        <v>1303</v>
      </c>
      <c r="AO67" s="81" t="s">
        <v>1807</v>
      </c>
      <c r="AP67" s="76" t="b">
        <v>0</v>
      </c>
      <c r="AQ67" s="81" t="s">
        <v>1303</v>
      </c>
      <c r="AR67" s="76" t="s">
        <v>219</v>
      </c>
      <c r="AS67" s="76">
        <v>0</v>
      </c>
      <c r="AT67" s="76">
        <v>0</v>
      </c>
      <c r="AU67" s="76"/>
      <c r="AV67" s="76"/>
      <c r="AW67" s="76"/>
      <c r="AX67" s="76"/>
      <c r="AY67" s="76"/>
      <c r="AZ67" s="76"/>
      <c r="BA67" s="76"/>
      <c r="BB67" s="76"/>
      <c r="BC67">
        <v>1</v>
      </c>
      <c r="BD67" s="75" t="str">
        <f>REPLACE(INDEX(GroupVertices[Group],MATCH(Edges[[#This Row],[Vertex 1]],GroupVertices[Vertex],0)),1,1,"")</f>
        <v>10</v>
      </c>
      <c r="BE67" s="75" t="str">
        <f>REPLACE(INDEX(GroupVertices[Group],MATCH(Edges[[#This Row],[Vertex 2]],GroupVertices[Vertex],0)),1,1,"")</f>
        <v>10</v>
      </c>
      <c r="BF67" s="45"/>
      <c r="BG67" s="46"/>
      <c r="BH67" s="45"/>
      <c r="BI67" s="46"/>
      <c r="BJ67" s="45"/>
      <c r="BK67" s="46"/>
      <c r="BL67" s="45"/>
      <c r="BM67" s="46"/>
      <c r="BN67" s="45"/>
    </row>
    <row r="68" spans="1:66" ht="15">
      <c r="A68" s="61" t="s">
        <v>282</v>
      </c>
      <c r="B68" s="61" t="s">
        <v>318</v>
      </c>
      <c r="C68" s="62" t="s">
        <v>4688</v>
      </c>
      <c r="D68" s="63">
        <v>5</v>
      </c>
      <c r="E68" s="62"/>
      <c r="F68" s="65">
        <v>50</v>
      </c>
      <c r="G68" s="62"/>
      <c r="H68" s="66"/>
      <c r="I68" s="67"/>
      <c r="J68" s="67"/>
      <c r="K68" s="31" t="s">
        <v>65</v>
      </c>
      <c r="L68" s="68">
        <v>68</v>
      </c>
      <c r="M68" s="68"/>
      <c r="N68" s="69"/>
      <c r="O68" s="76" t="s">
        <v>586</v>
      </c>
      <c r="P68" s="78">
        <v>44812.91364583333</v>
      </c>
      <c r="Q68" s="76" t="s">
        <v>589</v>
      </c>
      <c r="R68" s="76"/>
      <c r="S68" s="76"/>
      <c r="T68" s="81" t="s">
        <v>792</v>
      </c>
      <c r="U68" s="79" t="str">
        <f>HYPERLINK("https://pbs.twimg.com/media/Fb6ZZsqWYAUww3Q.jpg")</f>
        <v>https://pbs.twimg.com/media/Fb6ZZsqWYAUww3Q.jpg</v>
      </c>
      <c r="V68" s="79" t="str">
        <f>HYPERLINK("https://pbs.twimg.com/media/Fb6ZZsqWYAUww3Q.jpg")</f>
        <v>https://pbs.twimg.com/media/Fb6ZZsqWYAUww3Q.jpg</v>
      </c>
      <c r="W68" s="78">
        <v>44812.91364583333</v>
      </c>
      <c r="X68" s="84">
        <v>44812</v>
      </c>
      <c r="Y68" s="81" t="s">
        <v>925</v>
      </c>
      <c r="Z68" s="79" t="str">
        <f>HYPERLINK("https://twitter.com/myriamjerome/status/1567995103184318464")</f>
        <v>https://twitter.com/myriamjerome/status/1567995103184318464</v>
      </c>
      <c r="AA68" s="76"/>
      <c r="AB68" s="76"/>
      <c r="AC68" s="81" t="s">
        <v>1256</v>
      </c>
      <c r="AD68" s="76"/>
      <c r="AE68" s="76" t="b">
        <v>0</v>
      </c>
      <c r="AF68" s="76">
        <v>0</v>
      </c>
      <c r="AG68" s="81" t="s">
        <v>1674</v>
      </c>
      <c r="AH68" s="76" t="b">
        <v>0</v>
      </c>
      <c r="AI68" s="76" t="s">
        <v>1770</v>
      </c>
      <c r="AJ68" s="76"/>
      <c r="AK68" s="81" t="s">
        <v>1674</v>
      </c>
      <c r="AL68" s="76" t="b">
        <v>0</v>
      </c>
      <c r="AM68" s="76">
        <v>35</v>
      </c>
      <c r="AN68" s="81" t="s">
        <v>1303</v>
      </c>
      <c r="AO68" s="81" t="s">
        <v>1807</v>
      </c>
      <c r="AP68" s="76" t="b">
        <v>0</v>
      </c>
      <c r="AQ68" s="81" t="s">
        <v>1303</v>
      </c>
      <c r="AR68" s="76" t="s">
        <v>219</v>
      </c>
      <c r="AS68" s="76">
        <v>0</v>
      </c>
      <c r="AT68" s="76">
        <v>0</v>
      </c>
      <c r="AU68" s="76"/>
      <c r="AV68" s="76"/>
      <c r="AW68" s="76"/>
      <c r="AX68" s="76"/>
      <c r="AY68" s="76"/>
      <c r="AZ68" s="76"/>
      <c r="BA68" s="76"/>
      <c r="BB68" s="76"/>
      <c r="BC68">
        <v>1</v>
      </c>
      <c r="BD68" s="75" t="str">
        <f>REPLACE(INDEX(GroupVertices[Group],MATCH(Edges[[#This Row],[Vertex 1]],GroupVertices[Vertex],0)),1,1,"")</f>
        <v>10</v>
      </c>
      <c r="BE68" s="75" t="str">
        <f>REPLACE(INDEX(GroupVertices[Group],MATCH(Edges[[#This Row],[Vertex 2]],GroupVertices[Vertex],0)),1,1,"")</f>
        <v>10</v>
      </c>
      <c r="BF68" s="45">
        <v>0</v>
      </c>
      <c r="BG68" s="46">
        <v>0</v>
      </c>
      <c r="BH68" s="45">
        <v>1</v>
      </c>
      <c r="BI68" s="46">
        <v>2.7777777777777777</v>
      </c>
      <c r="BJ68" s="45">
        <v>0</v>
      </c>
      <c r="BK68" s="46">
        <v>0</v>
      </c>
      <c r="BL68" s="45">
        <v>35</v>
      </c>
      <c r="BM68" s="46">
        <v>97.22222222222223</v>
      </c>
      <c r="BN68" s="45">
        <v>36</v>
      </c>
    </row>
    <row r="69" spans="1:66" ht="15">
      <c r="A69" s="61" t="s">
        <v>283</v>
      </c>
      <c r="B69" s="61" t="s">
        <v>311</v>
      </c>
      <c r="C69" s="62" t="s">
        <v>4688</v>
      </c>
      <c r="D69" s="63">
        <v>5</v>
      </c>
      <c r="E69" s="62"/>
      <c r="F69" s="65">
        <v>50</v>
      </c>
      <c r="G69" s="62"/>
      <c r="H69" s="66"/>
      <c r="I69" s="67"/>
      <c r="J69" s="67"/>
      <c r="K69" s="31" t="s">
        <v>65</v>
      </c>
      <c r="L69" s="68">
        <v>69</v>
      </c>
      <c r="M69" s="68"/>
      <c r="N69" s="69"/>
      <c r="O69" s="76" t="s">
        <v>586</v>
      </c>
      <c r="P69" s="78">
        <v>44813.47939814815</v>
      </c>
      <c r="Q69" s="76" t="s">
        <v>611</v>
      </c>
      <c r="R69" s="76"/>
      <c r="S69" s="76"/>
      <c r="T69" s="81" t="s">
        <v>808</v>
      </c>
      <c r="U69" s="79" t="str">
        <f>HYPERLINK("https://pbs.twimg.com/ext_tw_video_thumb/1568199549256175617/pu/img/Ysr1rE83e5hn0twR.jpg")</f>
        <v>https://pbs.twimg.com/ext_tw_video_thumb/1568199549256175617/pu/img/Ysr1rE83e5hn0twR.jpg</v>
      </c>
      <c r="V69" s="79" t="str">
        <f>HYPERLINK("https://pbs.twimg.com/ext_tw_video_thumb/1568199549256175617/pu/img/Ysr1rE83e5hn0twR.jpg")</f>
        <v>https://pbs.twimg.com/ext_tw_video_thumb/1568199549256175617/pu/img/Ysr1rE83e5hn0twR.jpg</v>
      </c>
      <c r="W69" s="78">
        <v>44813.47939814815</v>
      </c>
      <c r="X69" s="84">
        <v>44813</v>
      </c>
      <c r="Y69" s="81" t="s">
        <v>926</v>
      </c>
      <c r="Z69" s="79" t="str">
        <f>HYPERLINK("https://twitter.com/betelabassa/status/1568200127340322816")</f>
        <v>https://twitter.com/betelabassa/status/1568200127340322816</v>
      </c>
      <c r="AA69" s="76"/>
      <c r="AB69" s="76"/>
      <c r="AC69" s="81" t="s">
        <v>1257</v>
      </c>
      <c r="AD69" s="76"/>
      <c r="AE69" s="76" t="b">
        <v>0</v>
      </c>
      <c r="AF69" s="76">
        <v>0</v>
      </c>
      <c r="AG69" s="81" t="s">
        <v>1674</v>
      </c>
      <c r="AH69" s="76" t="b">
        <v>0</v>
      </c>
      <c r="AI69" s="76" t="s">
        <v>1772</v>
      </c>
      <c r="AJ69" s="76"/>
      <c r="AK69" s="81" t="s">
        <v>1674</v>
      </c>
      <c r="AL69" s="76" t="b">
        <v>0</v>
      </c>
      <c r="AM69" s="76">
        <v>16</v>
      </c>
      <c r="AN69" s="81" t="s">
        <v>1295</v>
      </c>
      <c r="AO69" s="81" t="s">
        <v>1808</v>
      </c>
      <c r="AP69" s="76" t="b">
        <v>0</v>
      </c>
      <c r="AQ69" s="81" t="s">
        <v>1295</v>
      </c>
      <c r="AR69" s="76" t="s">
        <v>219</v>
      </c>
      <c r="AS69" s="76">
        <v>0</v>
      </c>
      <c r="AT69" s="76">
        <v>0</v>
      </c>
      <c r="AU69" s="76"/>
      <c r="AV69" s="76"/>
      <c r="AW69" s="76"/>
      <c r="AX69" s="76"/>
      <c r="AY69" s="76"/>
      <c r="AZ69" s="76"/>
      <c r="BA69" s="76"/>
      <c r="BB69" s="76"/>
      <c r="BC69">
        <v>1</v>
      </c>
      <c r="BD69" s="75" t="str">
        <f>REPLACE(INDEX(GroupVertices[Group],MATCH(Edges[[#This Row],[Vertex 1]],GroupVertices[Vertex],0)),1,1,"")</f>
        <v>5</v>
      </c>
      <c r="BE69" s="75" t="str">
        <f>REPLACE(INDEX(GroupVertices[Group],MATCH(Edges[[#This Row],[Vertex 2]],GroupVertices[Vertex],0)),1,1,"")</f>
        <v>5</v>
      </c>
      <c r="BF69" s="45">
        <v>1</v>
      </c>
      <c r="BG69" s="46">
        <v>2.5641025641025643</v>
      </c>
      <c r="BH69" s="45">
        <v>0</v>
      </c>
      <c r="BI69" s="46">
        <v>0</v>
      </c>
      <c r="BJ69" s="45">
        <v>0</v>
      </c>
      <c r="BK69" s="46">
        <v>0</v>
      </c>
      <c r="BL69" s="45">
        <v>38</v>
      </c>
      <c r="BM69" s="46">
        <v>97.43589743589743</v>
      </c>
      <c r="BN69" s="45">
        <v>39</v>
      </c>
    </row>
    <row r="70" spans="1:66" ht="15">
      <c r="A70" s="61" t="s">
        <v>284</v>
      </c>
      <c r="B70" s="61" t="s">
        <v>311</v>
      </c>
      <c r="C70" s="62" t="s">
        <v>4688</v>
      </c>
      <c r="D70" s="63">
        <v>5</v>
      </c>
      <c r="E70" s="62"/>
      <c r="F70" s="65">
        <v>50</v>
      </c>
      <c r="G70" s="62"/>
      <c r="H70" s="66"/>
      <c r="I70" s="67"/>
      <c r="J70" s="67"/>
      <c r="K70" s="31" t="s">
        <v>65</v>
      </c>
      <c r="L70" s="68">
        <v>70</v>
      </c>
      <c r="M70" s="68"/>
      <c r="N70" s="69"/>
      <c r="O70" s="76" t="s">
        <v>586</v>
      </c>
      <c r="P70" s="78">
        <v>44813.48391203704</v>
      </c>
      <c r="Q70" s="76" t="s">
        <v>611</v>
      </c>
      <c r="R70" s="76"/>
      <c r="S70" s="76"/>
      <c r="T70" s="81" t="s">
        <v>808</v>
      </c>
      <c r="U70" s="79" t="str">
        <f>HYPERLINK("https://pbs.twimg.com/ext_tw_video_thumb/1568199549256175617/pu/img/Ysr1rE83e5hn0twR.jpg")</f>
        <v>https://pbs.twimg.com/ext_tw_video_thumb/1568199549256175617/pu/img/Ysr1rE83e5hn0twR.jpg</v>
      </c>
      <c r="V70" s="79" t="str">
        <f>HYPERLINK("https://pbs.twimg.com/ext_tw_video_thumb/1568199549256175617/pu/img/Ysr1rE83e5hn0twR.jpg")</f>
        <v>https://pbs.twimg.com/ext_tw_video_thumb/1568199549256175617/pu/img/Ysr1rE83e5hn0twR.jpg</v>
      </c>
      <c r="W70" s="78">
        <v>44813.48391203704</v>
      </c>
      <c r="X70" s="84">
        <v>44813</v>
      </c>
      <c r="Y70" s="81" t="s">
        <v>927</v>
      </c>
      <c r="Z70" s="79" t="str">
        <f>HYPERLINK("https://twitter.com/ruinin_football/status/1568201762321956868")</f>
        <v>https://twitter.com/ruinin_football/status/1568201762321956868</v>
      </c>
      <c r="AA70" s="76"/>
      <c r="AB70" s="76"/>
      <c r="AC70" s="81" t="s">
        <v>1258</v>
      </c>
      <c r="AD70" s="76"/>
      <c r="AE70" s="76" t="b">
        <v>0</v>
      </c>
      <c r="AF70" s="76">
        <v>0</v>
      </c>
      <c r="AG70" s="81" t="s">
        <v>1674</v>
      </c>
      <c r="AH70" s="76" t="b">
        <v>0</v>
      </c>
      <c r="AI70" s="76" t="s">
        <v>1772</v>
      </c>
      <c r="AJ70" s="76"/>
      <c r="AK70" s="81" t="s">
        <v>1674</v>
      </c>
      <c r="AL70" s="76" t="b">
        <v>0</v>
      </c>
      <c r="AM70" s="76">
        <v>16</v>
      </c>
      <c r="AN70" s="81" t="s">
        <v>1295</v>
      </c>
      <c r="AO70" s="81" t="s">
        <v>1807</v>
      </c>
      <c r="AP70" s="76" t="b">
        <v>0</v>
      </c>
      <c r="AQ70" s="81" t="s">
        <v>1295</v>
      </c>
      <c r="AR70" s="76" t="s">
        <v>219</v>
      </c>
      <c r="AS70" s="76">
        <v>0</v>
      </c>
      <c r="AT70" s="76">
        <v>0</v>
      </c>
      <c r="AU70" s="76"/>
      <c r="AV70" s="76"/>
      <c r="AW70" s="76"/>
      <c r="AX70" s="76"/>
      <c r="AY70" s="76"/>
      <c r="AZ70" s="76"/>
      <c r="BA70" s="76"/>
      <c r="BB70" s="76"/>
      <c r="BC70">
        <v>1</v>
      </c>
      <c r="BD70" s="75" t="str">
        <f>REPLACE(INDEX(GroupVertices[Group],MATCH(Edges[[#This Row],[Vertex 1]],GroupVertices[Vertex],0)),1,1,"")</f>
        <v>5</v>
      </c>
      <c r="BE70" s="75" t="str">
        <f>REPLACE(INDEX(GroupVertices[Group],MATCH(Edges[[#This Row],[Vertex 2]],GroupVertices[Vertex],0)),1,1,"")</f>
        <v>5</v>
      </c>
      <c r="BF70" s="45">
        <v>1</v>
      </c>
      <c r="BG70" s="46">
        <v>2.5641025641025643</v>
      </c>
      <c r="BH70" s="45">
        <v>0</v>
      </c>
      <c r="BI70" s="46">
        <v>0</v>
      </c>
      <c r="BJ70" s="45">
        <v>0</v>
      </c>
      <c r="BK70" s="46">
        <v>0</v>
      </c>
      <c r="BL70" s="45">
        <v>38</v>
      </c>
      <c r="BM70" s="46">
        <v>97.43589743589743</v>
      </c>
      <c r="BN70" s="45">
        <v>39</v>
      </c>
    </row>
    <row r="71" spans="1:66" ht="15">
      <c r="A71" s="61" t="s">
        <v>285</v>
      </c>
      <c r="B71" s="61" t="s">
        <v>465</v>
      </c>
      <c r="C71" s="62" t="s">
        <v>4688</v>
      </c>
      <c r="D71" s="63">
        <v>5</v>
      </c>
      <c r="E71" s="62"/>
      <c r="F71" s="65">
        <v>50</v>
      </c>
      <c r="G71" s="62"/>
      <c r="H71" s="66"/>
      <c r="I71" s="67"/>
      <c r="J71" s="67"/>
      <c r="K71" s="31" t="s">
        <v>65</v>
      </c>
      <c r="L71" s="68">
        <v>71</v>
      </c>
      <c r="M71" s="68"/>
      <c r="N71" s="69"/>
      <c r="O71" s="76" t="s">
        <v>588</v>
      </c>
      <c r="P71" s="78">
        <v>44813.486759259256</v>
      </c>
      <c r="Q71" s="76" t="s">
        <v>612</v>
      </c>
      <c r="R71" s="79" t="str">
        <f>HYPERLINK("https://twitter.com/MelnykAndrij/status/1568195866107813888")</f>
        <v>https://twitter.com/MelnykAndrij/status/1568195866107813888</v>
      </c>
      <c r="S71" s="76" t="s">
        <v>783</v>
      </c>
      <c r="T71" s="81" t="s">
        <v>795</v>
      </c>
      <c r="U71" s="76"/>
      <c r="V71" s="79" t="str">
        <f>HYPERLINK("https://pbs.twimg.com/profile_images/1560524767714746368/vz7Iht4b_normal.jpg")</f>
        <v>https://pbs.twimg.com/profile_images/1560524767714746368/vz7Iht4b_normal.jpg</v>
      </c>
      <c r="W71" s="78">
        <v>44813.486759259256</v>
      </c>
      <c r="X71" s="84">
        <v>44813</v>
      </c>
      <c r="Y71" s="81" t="s">
        <v>928</v>
      </c>
      <c r="Z71" s="79" t="str">
        <f>HYPERLINK("https://twitter.com/sujall13/status/1568202791771930627")</f>
        <v>https://twitter.com/sujall13/status/1568202791771930627</v>
      </c>
      <c r="AA71" s="76"/>
      <c r="AB71" s="76"/>
      <c r="AC71" s="81" t="s">
        <v>1259</v>
      </c>
      <c r="AD71" s="76"/>
      <c r="AE71" s="76" t="b">
        <v>0</v>
      </c>
      <c r="AF71" s="76">
        <v>0</v>
      </c>
      <c r="AG71" s="81" t="s">
        <v>1674</v>
      </c>
      <c r="AH71" s="76" t="b">
        <v>1</v>
      </c>
      <c r="AI71" s="76" t="s">
        <v>1774</v>
      </c>
      <c r="AJ71" s="76"/>
      <c r="AK71" s="81" t="s">
        <v>1788</v>
      </c>
      <c r="AL71" s="76" t="b">
        <v>0</v>
      </c>
      <c r="AM71" s="76">
        <v>0</v>
      </c>
      <c r="AN71" s="81" t="s">
        <v>1674</v>
      </c>
      <c r="AO71" s="81" t="s">
        <v>1809</v>
      </c>
      <c r="AP71" s="76" t="b">
        <v>0</v>
      </c>
      <c r="AQ71" s="81" t="s">
        <v>1259</v>
      </c>
      <c r="AR71" s="76" t="s">
        <v>219</v>
      </c>
      <c r="AS71" s="76">
        <v>0</v>
      </c>
      <c r="AT71" s="76">
        <v>0</v>
      </c>
      <c r="AU71" s="76"/>
      <c r="AV71" s="76"/>
      <c r="AW71" s="76"/>
      <c r="AX71" s="76"/>
      <c r="AY71" s="76"/>
      <c r="AZ71" s="76"/>
      <c r="BA71" s="76"/>
      <c r="BB71" s="76"/>
      <c r="BC71">
        <v>1</v>
      </c>
      <c r="BD71" s="75" t="str">
        <f>REPLACE(INDEX(GroupVertices[Group],MATCH(Edges[[#This Row],[Vertex 1]],GroupVertices[Vertex],0)),1,1,"")</f>
        <v>54</v>
      </c>
      <c r="BE71" s="75" t="str">
        <f>REPLACE(INDEX(GroupVertices[Group],MATCH(Edges[[#This Row],[Vertex 2]],GroupVertices[Vertex],0)),1,1,"")</f>
        <v>54</v>
      </c>
      <c r="BF71" s="45">
        <v>0</v>
      </c>
      <c r="BG71" s="46">
        <v>0</v>
      </c>
      <c r="BH71" s="45">
        <v>0</v>
      </c>
      <c r="BI71" s="46">
        <v>0</v>
      </c>
      <c r="BJ71" s="45">
        <v>0</v>
      </c>
      <c r="BK71" s="46">
        <v>0</v>
      </c>
      <c r="BL71" s="45">
        <v>3</v>
      </c>
      <c r="BM71" s="46">
        <v>100</v>
      </c>
      <c r="BN71" s="45">
        <v>3</v>
      </c>
    </row>
    <row r="72" spans="1:66" ht="15">
      <c r="A72" s="61" t="s">
        <v>286</v>
      </c>
      <c r="B72" s="61" t="s">
        <v>311</v>
      </c>
      <c r="C72" s="62" t="s">
        <v>4688</v>
      </c>
      <c r="D72" s="63">
        <v>5</v>
      </c>
      <c r="E72" s="62"/>
      <c r="F72" s="65">
        <v>50</v>
      </c>
      <c r="G72" s="62"/>
      <c r="H72" s="66"/>
      <c r="I72" s="67"/>
      <c r="J72" s="67"/>
      <c r="K72" s="31" t="s">
        <v>65</v>
      </c>
      <c r="L72" s="68">
        <v>72</v>
      </c>
      <c r="M72" s="68"/>
      <c r="N72" s="69"/>
      <c r="O72" s="76" t="s">
        <v>586</v>
      </c>
      <c r="P72" s="78">
        <v>44813.496458333335</v>
      </c>
      <c r="Q72" s="76" t="s">
        <v>611</v>
      </c>
      <c r="R72" s="76"/>
      <c r="S72" s="76"/>
      <c r="T72" s="81" t="s">
        <v>808</v>
      </c>
      <c r="U72" s="79" t="str">
        <f>HYPERLINK("https://pbs.twimg.com/ext_tw_video_thumb/1568199549256175617/pu/img/Ysr1rE83e5hn0twR.jpg")</f>
        <v>https://pbs.twimg.com/ext_tw_video_thumb/1568199549256175617/pu/img/Ysr1rE83e5hn0twR.jpg</v>
      </c>
      <c r="V72" s="79" t="str">
        <f>HYPERLINK("https://pbs.twimg.com/ext_tw_video_thumb/1568199549256175617/pu/img/Ysr1rE83e5hn0twR.jpg")</f>
        <v>https://pbs.twimg.com/ext_tw_video_thumb/1568199549256175617/pu/img/Ysr1rE83e5hn0twR.jpg</v>
      </c>
      <c r="W72" s="78">
        <v>44813.496458333335</v>
      </c>
      <c r="X72" s="84">
        <v>44813</v>
      </c>
      <c r="Y72" s="81" t="s">
        <v>929</v>
      </c>
      <c r="Z72" s="79" t="str">
        <f>HYPERLINK("https://twitter.com/mkebatu/status/1568206307953352706")</f>
        <v>https://twitter.com/mkebatu/status/1568206307953352706</v>
      </c>
      <c r="AA72" s="76"/>
      <c r="AB72" s="76"/>
      <c r="AC72" s="81" t="s">
        <v>1260</v>
      </c>
      <c r="AD72" s="76"/>
      <c r="AE72" s="76" t="b">
        <v>0</v>
      </c>
      <c r="AF72" s="76">
        <v>0</v>
      </c>
      <c r="AG72" s="81" t="s">
        <v>1674</v>
      </c>
      <c r="AH72" s="76" t="b">
        <v>0</v>
      </c>
      <c r="AI72" s="76" t="s">
        <v>1772</v>
      </c>
      <c r="AJ72" s="76"/>
      <c r="AK72" s="81" t="s">
        <v>1674</v>
      </c>
      <c r="AL72" s="76" t="b">
        <v>0</v>
      </c>
      <c r="AM72" s="76">
        <v>16</v>
      </c>
      <c r="AN72" s="81" t="s">
        <v>1295</v>
      </c>
      <c r="AO72" s="81" t="s">
        <v>1807</v>
      </c>
      <c r="AP72" s="76" t="b">
        <v>0</v>
      </c>
      <c r="AQ72" s="81" t="s">
        <v>1295</v>
      </c>
      <c r="AR72" s="76" t="s">
        <v>219</v>
      </c>
      <c r="AS72" s="76">
        <v>0</v>
      </c>
      <c r="AT72" s="76">
        <v>0</v>
      </c>
      <c r="AU72" s="76"/>
      <c r="AV72" s="76"/>
      <c r="AW72" s="76"/>
      <c r="AX72" s="76"/>
      <c r="AY72" s="76"/>
      <c r="AZ72" s="76"/>
      <c r="BA72" s="76"/>
      <c r="BB72" s="76"/>
      <c r="BC72">
        <v>1</v>
      </c>
      <c r="BD72" s="75" t="str">
        <f>REPLACE(INDEX(GroupVertices[Group],MATCH(Edges[[#This Row],[Vertex 1]],GroupVertices[Vertex],0)),1,1,"")</f>
        <v>5</v>
      </c>
      <c r="BE72" s="75" t="str">
        <f>REPLACE(INDEX(GroupVertices[Group],MATCH(Edges[[#This Row],[Vertex 2]],GroupVertices[Vertex],0)),1,1,"")</f>
        <v>5</v>
      </c>
      <c r="BF72" s="45">
        <v>1</v>
      </c>
      <c r="BG72" s="46">
        <v>2.5641025641025643</v>
      </c>
      <c r="BH72" s="45">
        <v>0</v>
      </c>
      <c r="BI72" s="46">
        <v>0</v>
      </c>
      <c r="BJ72" s="45">
        <v>0</v>
      </c>
      <c r="BK72" s="46">
        <v>0</v>
      </c>
      <c r="BL72" s="45">
        <v>38</v>
      </c>
      <c r="BM72" s="46">
        <v>97.43589743589743</v>
      </c>
      <c r="BN72" s="45">
        <v>39</v>
      </c>
    </row>
    <row r="73" spans="1:66" ht="15">
      <c r="A73" s="61" t="s">
        <v>287</v>
      </c>
      <c r="B73" s="61" t="s">
        <v>311</v>
      </c>
      <c r="C73" s="62" t="s">
        <v>4688</v>
      </c>
      <c r="D73" s="63">
        <v>5</v>
      </c>
      <c r="E73" s="62"/>
      <c r="F73" s="65">
        <v>50</v>
      </c>
      <c r="G73" s="62"/>
      <c r="H73" s="66"/>
      <c r="I73" s="67"/>
      <c r="J73" s="67"/>
      <c r="K73" s="31" t="s">
        <v>65</v>
      </c>
      <c r="L73" s="68">
        <v>73</v>
      </c>
      <c r="M73" s="68"/>
      <c r="N73" s="69"/>
      <c r="O73" s="76" t="s">
        <v>586</v>
      </c>
      <c r="P73" s="78">
        <v>44813.497349537036</v>
      </c>
      <c r="Q73" s="76" t="s">
        <v>611</v>
      </c>
      <c r="R73" s="76"/>
      <c r="S73" s="76"/>
      <c r="T73" s="81" t="s">
        <v>808</v>
      </c>
      <c r="U73" s="79" t="str">
        <f>HYPERLINK("https://pbs.twimg.com/ext_tw_video_thumb/1568199549256175617/pu/img/Ysr1rE83e5hn0twR.jpg")</f>
        <v>https://pbs.twimg.com/ext_tw_video_thumb/1568199549256175617/pu/img/Ysr1rE83e5hn0twR.jpg</v>
      </c>
      <c r="V73" s="79" t="str">
        <f>HYPERLINK("https://pbs.twimg.com/ext_tw_video_thumb/1568199549256175617/pu/img/Ysr1rE83e5hn0twR.jpg")</f>
        <v>https://pbs.twimg.com/ext_tw_video_thumb/1568199549256175617/pu/img/Ysr1rE83e5hn0twR.jpg</v>
      </c>
      <c r="W73" s="78">
        <v>44813.497349537036</v>
      </c>
      <c r="X73" s="84">
        <v>44813</v>
      </c>
      <c r="Y73" s="81" t="s">
        <v>930</v>
      </c>
      <c r="Z73" s="79" t="str">
        <f>HYPERLINK("https://twitter.com/messaymohammed/status/1568206630562537472")</f>
        <v>https://twitter.com/messaymohammed/status/1568206630562537472</v>
      </c>
      <c r="AA73" s="76"/>
      <c r="AB73" s="76"/>
      <c r="AC73" s="81" t="s">
        <v>1261</v>
      </c>
      <c r="AD73" s="76"/>
      <c r="AE73" s="76" t="b">
        <v>0</v>
      </c>
      <c r="AF73" s="76">
        <v>0</v>
      </c>
      <c r="AG73" s="81" t="s">
        <v>1674</v>
      </c>
      <c r="AH73" s="76" t="b">
        <v>0</v>
      </c>
      <c r="AI73" s="76" t="s">
        <v>1772</v>
      </c>
      <c r="AJ73" s="76"/>
      <c r="AK73" s="81" t="s">
        <v>1674</v>
      </c>
      <c r="AL73" s="76" t="b">
        <v>0</v>
      </c>
      <c r="AM73" s="76">
        <v>16</v>
      </c>
      <c r="AN73" s="81" t="s">
        <v>1295</v>
      </c>
      <c r="AO73" s="81" t="s">
        <v>1807</v>
      </c>
      <c r="AP73" s="76" t="b">
        <v>0</v>
      </c>
      <c r="AQ73" s="81" t="s">
        <v>1295</v>
      </c>
      <c r="AR73" s="76" t="s">
        <v>219</v>
      </c>
      <c r="AS73" s="76">
        <v>0</v>
      </c>
      <c r="AT73" s="76">
        <v>0</v>
      </c>
      <c r="AU73" s="76"/>
      <c r="AV73" s="76"/>
      <c r="AW73" s="76"/>
      <c r="AX73" s="76"/>
      <c r="AY73" s="76"/>
      <c r="AZ73" s="76"/>
      <c r="BA73" s="76"/>
      <c r="BB73" s="76"/>
      <c r="BC73">
        <v>1</v>
      </c>
      <c r="BD73" s="75" t="str">
        <f>REPLACE(INDEX(GroupVertices[Group],MATCH(Edges[[#This Row],[Vertex 1]],GroupVertices[Vertex],0)),1,1,"")</f>
        <v>5</v>
      </c>
      <c r="BE73" s="75" t="str">
        <f>REPLACE(INDEX(GroupVertices[Group],MATCH(Edges[[#This Row],[Vertex 2]],GroupVertices[Vertex],0)),1,1,"")</f>
        <v>5</v>
      </c>
      <c r="BF73" s="45">
        <v>1</v>
      </c>
      <c r="BG73" s="46">
        <v>2.5641025641025643</v>
      </c>
      <c r="BH73" s="45">
        <v>0</v>
      </c>
      <c r="BI73" s="46">
        <v>0</v>
      </c>
      <c r="BJ73" s="45">
        <v>0</v>
      </c>
      <c r="BK73" s="46">
        <v>0</v>
      </c>
      <c r="BL73" s="45">
        <v>38</v>
      </c>
      <c r="BM73" s="46">
        <v>97.43589743589743</v>
      </c>
      <c r="BN73" s="45">
        <v>39</v>
      </c>
    </row>
    <row r="74" spans="1:66" ht="15">
      <c r="A74" s="61" t="s">
        <v>288</v>
      </c>
      <c r="B74" s="61" t="s">
        <v>311</v>
      </c>
      <c r="C74" s="62" t="s">
        <v>4688</v>
      </c>
      <c r="D74" s="63">
        <v>5</v>
      </c>
      <c r="E74" s="62"/>
      <c r="F74" s="65">
        <v>50</v>
      </c>
      <c r="G74" s="62"/>
      <c r="H74" s="66"/>
      <c r="I74" s="67"/>
      <c r="J74" s="67"/>
      <c r="K74" s="31" t="s">
        <v>65</v>
      </c>
      <c r="L74" s="68">
        <v>74</v>
      </c>
      <c r="M74" s="68"/>
      <c r="N74" s="69"/>
      <c r="O74" s="76" t="s">
        <v>586</v>
      </c>
      <c r="P74" s="78">
        <v>44813.49836805555</v>
      </c>
      <c r="Q74" s="76" t="s">
        <v>611</v>
      </c>
      <c r="R74" s="76"/>
      <c r="S74" s="76"/>
      <c r="T74" s="81" t="s">
        <v>808</v>
      </c>
      <c r="U74" s="79" t="str">
        <f>HYPERLINK("https://pbs.twimg.com/ext_tw_video_thumb/1568199549256175617/pu/img/Ysr1rE83e5hn0twR.jpg")</f>
        <v>https://pbs.twimg.com/ext_tw_video_thumb/1568199549256175617/pu/img/Ysr1rE83e5hn0twR.jpg</v>
      </c>
      <c r="V74" s="79" t="str">
        <f>HYPERLINK("https://pbs.twimg.com/ext_tw_video_thumb/1568199549256175617/pu/img/Ysr1rE83e5hn0twR.jpg")</f>
        <v>https://pbs.twimg.com/ext_tw_video_thumb/1568199549256175617/pu/img/Ysr1rE83e5hn0twR.jpg</v>
      </c>
      <c r="W74" s="78">
        <v>44813.49836805555</v>
      </c>
      <c r="X74" s="84">
        <v>44813</v>
      </c>
      <c r="Y74" s="81" t="s">
        <v>931</v>
      </c>
      <c r="Z74" s="79" t="str">
        <f>HYPERLINK("https://twitter.com/teferradebebe/status/1568207001858998272")</f>
        <v>https://twitter.com/teferradebebe/status/1568207001858998272</v>
      </c>
      <c r="AA74" s="76"/>
      <c r="AB74" s="76"/>
      <c r="AC74" s="81" t="s">
        <v>1262</v>
      </c>
      <c r="AD74" s="76"/>
      <c r="AE74" s="76" t="b">
        <v>0</v>
      </c>
      <c r="AF74" s="76">
        <v>0</v>
      </c>
      <c r="AG74" s="81" t="s">
        <v>1674</v>
      </c>
      <c r="AH74" s="76" t="b">
        <v>0</v>
      </c>
      <c r="AI74" s="76" t="s">
        <v>1772</v>
      </c>
      <c r="AJ74" s="76"/>
      <c r="AK74" s="81" t="s">
        <v>1674</v>
      </c>
      <c r="AL74" s="76" t="b">
        <v>0</v>
      </c>
      <c r="AM74" s="76">
        <v>16</v>
      </c>
      <c r="AN74" s="81" t="s">
        <v>1295</v>
      </c>
      <c r="AO74" s="81" t="s">
        <v>1807</v>
      </c>
      <c r="AP74" s="76" t="b">
        <v>0</v>
      </c>
      <c r="AQ74" s="81" t="s">
        <v>1295</v>
      </c>
      <c r="AR74" s="76" t="s">
        <v>219</v>
      </c>
      <c r="AS74" s="76">
        <v>0</v>
      </c>
      <c r="AT74" s="76">
        <v>0</v>
      </c>
      <c r="AU74" s="76"/>
      <c r="AV74" s="76"/>
      <c r="AW74" s="76"/>
      <c r="AX74" s="76"/>
      <c r="AY74" s="76"/>
      <c r="AZ74" s="76"/>
      <c r="BA74" s="76"/>
      <c r="BB74" s="76"/>
      <c r="BC74">
        <v>1</v>
      </c>
      <c r="BD74" s="75" t="str">
        <f>REPLACE(INDEX(GroupVertices[Group],MATCH(Edges[[#This Row],[Vertex 1]],GroupVertices[Vertex],0)),1,1,"")</f>
        <v>5</v>
      </c>
      <c r="BE74" s="75" t="str">
        <f>REPLACE(INDEX(GroupVertices[Group],MATCH(Edges[[#This Row],[Vertex 2]],GroupVertices[Vertex],0)),1,1,"")</f>
        <v>5</v>
      </c>
      <c r="BF74" s="45">
        <v>1</v>
      </c>
      <c r="BG74" s="46">
        <v>2.5641025641025643</v>
      </c>
      <c r="BH74" s="45">
        <v>0</v>
      </c>
      <c r="BI74" s="46">
        <v>0</v>
      </c>
      <c r="BJ74" s="45">
        <v>0</v>
      </c>
      <c r="BK74" s="46">
        <v>0</v>
      </c>
      <c r="BL74" s="45">
        <v>38</v>
      </c>
      <c r="BM74" s="46">
        <v>97.43589743589743</v>
      </c>
      <c r="BN74" s="45">
        <v>39</v>
      </c>
    </row>
    <row r="75" spans="1:66" ht="15">
      <c r="A75" s="61" t="s">
        <v>289</v>
      </c>
      <c r="B75" s="61" t="s">
        <v>311</v>
      </c>
      <c r="C75" s="62" t="s">
        <v>4688</v>
      </c>
      <c r="D75" s="63">
        <v>5</v>
      </c>
      <c r="E75" s="62"/>
      <c r="F75" s="65">
        <v>50</v>
      </c>
      <c r="G75" s="62"/>
      <c r="H75" s="66"/>
      <c r="I75" s="67"/>
      <c r="J75" s="67"/>
      <c r="K75" s="31" t="s">
        <v>65</v>
      </c>
      <c r="L75" s="68">
        <v>75</v>
      </c>
      <c r="M75" s="68"/>
      <c r="N75" s="69"/>
      <c r="O75" s="76" t="s">
        <v>586</v>
      </c>
      <c r="P75" s="78">
        <v>44813.49912037037</v>
      </c>
      <c r="Q75" s="76" t="s">
        <v>611</v>
      </c>
      <c r="R75" s="76"/>
      <c r="S75" s="76"/>
      <c r="T75" s="81" t="s">
        <v>808</v>
      </c>
      <c r="U75" s="79" t="str">
        <f>HYPERLINK("https://pbs.twimg.com/ext_tw_video_thumb/1568199549256175617/pu/img/Ysr1rE83e5hn0twR.jpg")</f>
        <v>https://pbs.twimg.com/ext_tw_video_thumb/1568199549256175617/pu/img/Ysr1rE83e5hn0twR.jpg</v>
      </c>
      <c r="V75" s="79" t="str">
        <f>HYPERLINK("https://pbs.twimg.com/ext_tw_video_thumb/1568199549256175617/pu/img/Ysr1rE83e5hn0twR.jpg")</f>
        <v>https://pbs.twimg.com/ext_tw_video_thumb/1568199549256175617/pu/img/Ysr1rE83e5hn0twR.jpg</v>
      </c>
      <c r="W75" s="78">
        <v>44813.49912037037</v>
      </c>
      <c r="X75" s="84">
        <v>44813</v>
      </c>
      <c r="Y75" s="81" t="s">
        <v>932</v>
      </c>
      <c r="Z75" s="79" t="str">
        <f>HYPERLINK("https://twitter.com/habibhassen7180/status/1568207273037627392")</f>
        <v>https://twitter.com/habibhassen7180/status/1568207273037627392</v>
      </c>
      <c r="AA75" s="76"/>
      <c r="AB75" s="76"/>
      <c r="AC75" s="81" t="s">
        <v>1263</v>
      </c>
      <c r="AD75" s="76"/>
      <c r="AE75" s="76" t="b">
        <v>0</v>
      </c>
      <c r="AF75" s="76">
        <v>0</v>
      </c>
      <c r="AG75" s="81" t="s">
        <v>1674</v>
      </c>
      <c r="AH75" s="76" t="b">
        <v>0</v>
      </c>
      <c r="AI75" s="76" t="s">
        <v>1772</v>
      </c>
      <c r="AJ75" s="76"/>
      <c r="AK75" s="81" t="s">
        <v>1674</v>
      </c>
      <c r="AL75" s="76" t="b">
        <v>0</v>
      </c>
      <c r="AM75" s="76">
        <v>16</v>
      </c>
      <c r="AN75" s="81" t="s">
        <v>1295</v>
      </c>
      <c r="AO75" s="81" t="s">
        <v>1807</v>
      </c>
      <c r="AP75" s="76" t="b">
        <v>0</v>
      </c>
      <c r="AQ75" s="81" t="s">
        <v>1295</v>
      </c>
      <c r="AR75" s="76" t="s">
        <v>219</v>
      </c>
      <c r="AS75" s="76">
        <v>0</v>
      </c>
      <c r="AT75" s="76">
        <v>0</v>
      </c>
      <c r="AU75" s="76"/>
      <c r="AV75" s="76"/>
      <c r="AW75" s="76"/>
      <c r="AX75" s="76"/>
      <c r="AY75" s="76"/>
      <c r="AZ75" s="76"/>
      <c r="BA75" s="76"/>
      <c r="BB75" s="76"/>
      <c r="BC75">
        <v>1</v>
      </c>
      <c r="BD75" s="75" t="str">
        <f>REPLACE(INDEX(GroupVertices[Group],MATCH(Edges[[#This Row],[Vertex 1]],GroupVertices[Vertex],0)),1,1,"")</f>
        <v>5</v>
      </c>
      <c r="BE75" s="75" t="str">
        <f>REPLACE(INDEX(GroupVertices[Group],MATCH(Edges[[#This Row],[Vertex 2]],GroupVertices[Vertex],0)),1,1,"")</f>
        <v>5</v>
      </c>
      <c r="BF75" s="45">
        <v>1</v>
      </c>
      <c r="BG75" s="46">
        <v>2.5641025641025643</v>
      </c>
      <c r="BH75" s="45">
        <v>0</v>
      </c>
      <c r="BI75" s="46">
        <v>0</v>
      </c>
      <c r="BJ75" s="45">
        <v>0</v>
      </c>
      <c r="BK75" s="46">
        <v>0</v>
      </c>
      <c r="BL75" s="45">
        <v>38</v>
      </c>
      <c r="BM75" s="46">
        <v>97.43589743589743</v>
      </c>
      <c r="BN75" s="45">
        <v>39</v>
      </c>
    </row>
    <row r="76" spans="1:66" ht="15">
      <c r="A76" s="61" t="s">
        <v>290</v>
      </c>
      <c r="B76" s="61" t="s">
        <v>311</v>
      </c>
      <c r="C76" s="62" t="s">
        <v>4688</v>
      </c>
      <c r="D76" s="63">
        <v>5</v>
      </c>
      <c r="E76" s="62"/>
      <c r="F76" s="65">
        <v>50</v>
      </c>
      <c r="G76" s="62"/>
      <c r="H76" s="66"/>
      <c r="I76" s="67"/>
      <c r="J76" s="67"/>
      <c r="K76" s="31" t="s">
        <v>65</v>
      </c>
      <c r="L76" s="68">
        <v>76</v>
      </c>
      <c r="M76" s="68"/>
      <c r="N76" s="69"/>
      <c r="O76" s="76" t="s">
        <v>586</v>
      </c>
      <c r="P76" s="78">
        <v>44813.501851851855</v>
      </c>
      <c r="Q76" s="76" t="s">
        <v>611</v>
      </c>
      <c r="R76" s="76"/>
      <c r="S76" s="76"/>
      <c r="T76" s="81" t="s">
        <v>808</v>
      </c>
      <c r="U76" s="79" t="str">
        <f>HYPERLINK("https://pbs.twimg.com/ext_tw_video_thumb/1568199549256175617/pu/img/Ysr1rE83e5hn0twR.jpg")</f>
        <v>https://pbs.twimg.com/ext_tw_video_thumb/1568199549256175617/pu/img/Ysr1rE83e5hn0twR.jpg</v>
      </c>
      <c r="V76" s="79" t="str">
        <f>HYPERLINK("https://pbs.twimg.com/ext_tw_video_thumb/1568199549256175617/pu/img/Ysr1rE83e5hn0twR.jpg")</f>
        <v>https://pbs.twimg.com/ext_tw_video_thumb/1568199549256175617/pu/img/Ysr1rE83e5hn0twR.jpg</v>
      </c>
      <c r="W76" s="78">
        <v>44813.501851851855</v>
      </c>
      <c r="X76" s="84">
        <v>44813</v>
      </c>
      <c r="Y76" s="81" t="s">
        <v>933</v>
      </c>
      <c r="Z76" s="79" t="str">
        <f>HYPERLINK("https://twitter.com/wonde2014/status/1568208263149240325")</f>
        <v>https://twitter.com/wonde2014/status/1568208263149240325</v>
      </c>
      <c r="AA76" s="76"/>
      <c r="AB76" s="76"/>
      <c r="AC76" s="81" t="s">
        <v>1264</v>
      </c>
      <c r="AD76" s="76"/>
      <c r="AE76" s="76" t="b">
        <v>0</v>
      </c>
      <c r="AF76" s="76">
        <v>0</v>
      </c>
      <c r="AG76" s="81" t="s">
        <v>1674</v>
      </c>
      <c r="AH76" s="76" t="b">
        <v>0</v>
      </c>
      <c r="AI76" s="76" t="s">
        <v>1772</v>
      </c>
      <c r="AJ76" s="76"/>
      <c r="AK76" s="81" t="s">
        <v>1674</v>
      </c>
      <c r="AL76" s="76" t="b">
        <v>0</v>
      </c>
      <c r="AM76" s="76">
        <v>16</v>
      </c>
      <c r="AN76" s="81" t="s">
        <v>1295</v>
      </c>
      <c r="AO76" s="81" t="s">
        <v>1807</v>
      </c>
      <c r="AP76" s="76" t="b">
        <v>0</v>
      </c>
      <c r="AQ76" s="81" t="s">
        <v>1295</v>
      </c>
      <c r="AR76" s="76" t="s">
        <v>219</v>
      </c>
      <c r="AS76" s="76">
        <v>0</v>
      </c>
      <c r="AT76" s="76">
        <v>0</v>
      </c>
      <c r="AU76" s="76"/>
      <c r="AV76" s="76"/>
      <c r="AW76" s="76"/>
      <c r="AX76" s="76"/>
      <c r="AY76" s="76"/>
      <c r="AZ76" s="76"/>
      <c r="BA76" s="76"/>
      <c r="BB76" s="76"/>
      <c r="BC76">
        <v>1</v>
      </c>
      <c r="BD76" s="75" t="str">
        <f>REPLACE(INDEX(GroupVertices[Group],MATCH(Edges[[#This Row],[Vertex 1]],GroupVertices[Vertex],0)),1,1,"")</f>
        <v>5</v>
      </c>
      <c r="BE76" s="75" t="str">
        <f>REPLACE(INDEX(GroupVertices[Group],MATCH(Edges[[#This Row],[Vertex 2]],GroupVertices[Vertex],0)),1,1,"")</f>
        <v>5</v>
      </c>
      <c r="BF76" s="45">
        <v>1</v>
      </c>
      <c r="BG76" s="46">
        <v>2.5641025641025643</v>
      </c>
      <c r="BH76" s="45">
        <v>0</v>
      </c>
      <c r="BI76" s="46">
        <v>0</v>
      </c>
      <c r="BJ76" s="45">
        <v>0</v>
      </c>
      <c r="BK76" s="46">
        <v>0</v>
      </c>
      <c r="BL76" s="45">
        <v>38</v>
      </c>
      <c r="BM76" s="46">
        <v>97.43589743589743</v>
      </c>
      <c r="BN76" s="45">
        <v>39</v>
      </c>
    </row>
    <row r="77" spans="1:66" ht="15">
      <c r="A77" s="61" t="s">
        <v>291</v>
      </c>
      <c r="B77" s="61" t="s">
        <v>311</v>
      </c>
      <c r="C77" s="62" t="s">
        <v>4688</v>
      </c>
      <c r="D77" s="63">
        <v>5</v>
      </c>
      <c r="E77" s="62"/>
      <c r="F77" s="65">
        <v>50</v>
      </c>
      <c r="G77" s="62"/>
      <c r="H77" s="66"/>
      <c r="I77" s="67"/>
      <c r="J77" s="67"/>
      <c r="K77" s="31" t="s">
        <v>65</v>
      </c>
      <c r="L77" s="68">
        <v>77</v>
      </c>
      <c r="M77" s="68"/>
      <c r="N77" s="69"/>
      <c r="O77" s="76" t="s">
        <v>586</v>
      </c>
      <c r="P77" s="78">
        <v>44813.503599537034</v>
      </c>
      <c r="Q77" s="76" t="s">
        <v>611</v>
      </c>
      <c r="R77" s="76"/>
      <c r="S77" s="76"/>
      <c r="T77" s="81" t="s">
        <v>808</v>
      </c>
      <c r="U77" s="79" t="str">
        <f>HYPERLINK("https://pbs.twimg.com/ext_tw_video_thumb/1568199549256175617/pu/img/Ysr1rE83e5hn0twR.jpg")</f>
        <v>https://pbs.twimg.com/ext_tw_video_thumb/1568199549256175617/pu/img/Ysr1rE83e5hn0twR.jpg</v>
      </c>
      <c r="V77" s="79" t="str">
        <f>HYPERLINK("https://pbs.twimg.com/ext_tw_video_thumb/1568199549256175617/pu/img/Ysr1rE83e5hn0twR.jpg")</f>
        <v>https://pbs.twimg.com/ext_tw_video_thumb/1568199549256175617/pu/img/Ysr1rE83e5hn0twR.jpg</v>
      </c>
      <c r="W77" s="78">
        <v>44813.503599537034</v>
      </c>
      <c r="X77" s="84">
        <v>44813</v>
      </c>
      <c r="Y77" s="81" t="s">
        <v>934</v>
      </c>
      <c r="Z77" s="79" t="str">
        <f>HYPERLINK("https://twitter.com/ghedays/status/1568208894635266049")</f>
        <v>https://twitter.com/ghedays/status/1568208894635266049</v>
      </c>
      <c r="AA77" s="76"/>
      <c r="AB77" s="76"/>
      <c r="AC77" s="81" t="s">
        <v>1265</v>
      </c>
      <c r="AD77" s="76"/>
      <c r="AE77" s="76" t="b">
        <v>0</v>
      </c>
      <c r="AF77" s="76">
        <v>0</v>
      </c>
      <c r="AG77" s="81" t="s">
        <v>1674</v>
      </c>
      <c r="AH77" s="76" t="b">
        <v>0</v>
      </c>
      <c r="AI77" s="76" t="s">
        <v>1772</v>
      </c>
      <c r="AJ77" s="76"/>
      <c r="AK77" s="81" t="s">
        <v>1674</v>
      </c>
      <c r="AL77" s="76" t="b">
        <v>0</v>
      </c>
      <c r="AM77" s="76">
        <v>16</v>
      </c>
      <c r="AN77" s="81" t="s">
        <v>1295</v>
      </c>
      <c r="AO77" s="81" t="s">
        <v>1807</v>
      </c>
      <c r="AP77" s="76" t="b">
        <v>0</v>
      </c>
      <c r="AQ77" s="81" t="s">
        <v>1295</v>
      </c>
      <c r="AR77" s="76" t="s">
        <v>219</v>
      </c>
      <c r="AS77" s="76">
        <v>0</v>
      </c>
      <c r="AT77" s="76">
        <v>0</v>
      </c>
      <c r="AU77" s="76"/>
      <c r="AV77" s="76"/>
      <c r="AW77" s="76"/>
      <c r="AX77" s="76"/>
      <c r="AY77" s="76"/>
      <c r="AZ77" s="76"/>
      <c r="BA77" s="76"/>
      <c r="BB77" s="76"/>
      <c r="BC77">
        <v>1</v>
      </c>
      <c r="BD77" s="75" t="str">
        <f>REPLACE(INDEX(GroupVertices[Group],MATCH(Edges[[#This Row],[Vertex 1]],GroupVertices[Vertex],0)),1,1,"")</f>
        <v>5</v>
      </c>
      <c r="BE77" s="75" t="str">
        <f>REPLACE(INDEX(GroupVertices[Group],MATCH(Edges[[#This Row],[Vertex 2]],GroupVertices[Vertex],0)),1,1,"")</f>
        <v>5</v>
      </c>
      <c r="BF77" s="45">
        <v>1</v>
      </c>
      <c r="BG77" s="46">
        <v>2.5641025641025643</v>
      </c>
      <c r="BH77" s="45">
        <v>0</v>
      </c>
      <c r="BI77" s="46">
        <v>0</v>
      </c>
      <c r="BJ77" s="45">
        <v>0</v>
      </c>
      <c r="BK77" s="46">
        <v>0</v>
      </c>
      <c r="BL77" s="45">
        <v>38</v>
      </c>
      <c r="BM77" s="46">
        <v>97.43589743589743</v>
      </c>
      <c r="BN77" s="45">
        <v>39</v>
      </c>
    </row>
    <row r="78" spans="1:66" ht="15">
      <c r="A78" s="61" t="s">
        <v>292</v>
      </c>
      <c r="B78" s="61" t="s">
        <v>311</v>
      </c>
      <c r="C78" s="62" t="s">
        <v>4688</v>
      </c>
      <c r="D78" s="63">
        <v>5</v>
      </c>
      <c r="E78" s="62"/>
      <c r="F78" s="65">
        <v>50</v>
      </c>
      <c r="G78" s="62"/>
      <c r="H78" s="66"/>
      <c r="I78" s="67"/>
      <c r="J78" s="67"/>
      <c r="K78" s="31" t="s">
        <v>65</v>
      </c>
      <c r="L78" s="68">
        <v>78</v>
      </c>
      <c r="M78" s="68"/>
      <c r="N78" s="69"/>
      <c r="O78" s="76" t="s">
        <v>586</v>
      </c>
      <c r="P78" s="78">
        <v>44813.50400462963</v>
      </c>
      <c r="Q78" s="76" t="s">
        <v>611</v>
      </c>
      <c r="R78" s="76"/>
      <c r="S78" s="76"/>
      <c r="T78" s="81" t="s">
        <v>808</v>
      </c>
      <c r="U78" s="79" t="str">
        <f>HYPERLINK("https://pbs.twimg.com/ext_tw_video_thumb/1568199549256175617/pu/img/Ysr1rE83e5hn0twR.jpg")</f>
        <v>https://pbs.twimg.com/ext_tw_video_thumb/1568199549256175617/pu/img/Ysr1rE83e5hn0twR.jpg</v>
      </c>
      <c r="V78" s="79" t="str">
        <f>HYPERLINK("https://pbs.twimg.com/ext_tw_video_thumb/1568199549256175617/pu/img/Ysr1rE83e5hn0twR.jpg")</f>
        <v>https://pbs.twimg.com/ext_tw_video_thumb/1568199549256175617/pu/img/Ysr1rE83e5hn0twR.jpg</v>
      </c>
      <c r="W78" s="78">
        <v>44813.50400462963</v>
      </c>
      <c r="X78" s="84">
        <v>44813</v>
      </c>
      <c r="Y78" s="81" t="s">
        <v>935</v>
      </c>
      <c r="Z78" s="79" t="str">
        <f>HYPERLINK("https://twitter.com/addiseshetu/status/1568209042937417730")</f>
        <v>https://twitter.com/addiseshetu/status/1568209042937417730</v>
      </c>
      <c r="AA78" s="76"/>
      <c r="AB78" s="76"/>
      <c r="AC78" s="81" t="s">
        <v>1266</v>
      </c>
      <c r="AD78" s="76"/>
      <c r="AE78" s="76" t="b">
        <v>0</v>
      </c>
      <c r="AF78" s="76">
        <v>0</v>
      </c>
      <c r="AG78" s="81" t="s">
        <v>1674</v>
      </c>
      <c r="AH78" s="76" t="b">
        <v>0</v>
      </c>
      <c r="AI78" s="76" t="s">
        <v>1772</v>
      </c>
      <c r="AJ78" s="76"/>
      <c r="AK78" s="81" t="s">
        <v>1674</v>
      </c>
      <c r="AL78" s="76" t="b">
        <v>0</v>
      </c>
      <c r="AM78" s="76">
        <v>16</v>
      </c>
      <c r="AN78" s="81" t="s">
        <v>1295</v>
      </c>
      <c r="AO78" s="81" t="s">
        <v>1809</v>
      </c>
      <c r="AP78" s="76" t="b">
        <v>0</v>
      </c>
      <c r="AQ78" s="81" t="s">
        <v>1295</v>
      </c>
      <c r="AR78" s="76" t="s">
        <v>219</v>
      </c>
      <c r="AS78" s="76">
        <v>0</v>
      </c>
      <c r="AT78" s="76">
        <v>0</v>
      </c>
      <c r="AU78" s="76"/>
      <c r="AV78" s="76"/>
      <c r="AW78" s="76"/>
      <c r="AX78" s="76"/>
      <c r="AY78" s="76"/>
      <c r="AZ78" s="76"/>
      <c r="BA78" s="76"/>
      <c r="BB78" s="76"/>
      <c r="BC78">
        <v>1</v>
      </c>
      <c r="BD78" s="75" t="str">
        <f>REPLACE(INDEX(GroupVertices[Group],MATCH(Edges[[#This Row],[Vertex 1]],GroupVertices[Vertex],0)),1,1,"")</f>
        <v>5</v>
      </c>
      <c r="BE78" s="75" t="str">
        <f>REPLACE(INDEX(GroupVertices[Group],MATCH(Edges[[#This Row],[Vertex 2]],GroupVertices[Vertex],0)),1,1,"")</f>
        <v>5</v>
      </c>
      <c r="BF78" s="45">
        <v>1</v>
      </c>
      <c r="BG78" s="46">
        <v>2.5641025641025643</v>
      </c>
      <c r="BH78" s="45">
        <v>0</v>
      </c>
      <c r="BI78" s="46">
        <v>0</v>
      </c>
      <c r="BJ78" s="45">
        <v>0</v>
      </c>
      <c r="BK78" s="46">
        <v>0</v>
      </c>
      <c r="BL78" s="45">
        <v>38</v>
      </c>
      <c r="BM78" s="46">
        <v>97.43589743589743</v>
      </c>
      <c r="BN78" s="45">
        <v>39</v>
      </c>
    </row>
    <row r="79" spans="1:66" ht="15">
      <c r="A79" s="61" t="s">
        <v>293</v>
      </c>
      <c r="B79" s="61" t="s">
        <v>311</v>
      </c>
      <c r="C79" s="62" t="s">
        <v>4688</v>
      </c>
      <c r="D79" s="63">
        <v>5</v>
      </c>
      <c r="E79" s="62"/>
      <c r="F79" s="65">
        <v>50</v>
      </c>
      <c r="G79" s="62"/>
      <c r="H79" s="66"/>
      <c r="I79" s="67"/>
      <c r="J79" s="67"/>
      <c r="K79" s="31" t="s">
        <v>65</v>
      </c>
      <c r="L79" s="68">
        <v>79</v>
      </c>
      <c r="M79" s="68"/>
      <c r="N79" s="69"/>
      <c r="O79" s="76" t="s">
        <v>586</v>
      </c>
      <c r="P79" s="78">
        <v>44813.51770833333</v>
      </c>
      <c r="Q79" s="76" t="s">
        <v>611</v>
      </c>
      <c r="R79" s="76"/>
      <c r="S79" s="76"/>
      <c r="T79" s="81" t="s">
        <v>808</v>
      </c>
      <c r="U79" s="79" t="str">
        <f>HYPERLINK("https://pbs.twimg.com/ext_tw_video_thumb/1568199549256175617/pu/img/Ysr1rE83e5hn0twR.jpg")</f>
        <v>https://pbs.twimg.com/ext_tw_video_thumb/1568199549256175617/pu/img/Ysr1rE83e5hn0twR.jpg</v>
      </c>
      <c r="V79" s="79" t="str">
        <f>HYPERLINK("https://pbs.twimg.com/ext_tw_video_thumb/1568199549256175617/pu/img/Ysr1rE83e5hn0twR.jpg")</f>
        <v>https://pbs.twimg.com/ext_tw_video_thumb/1568199549256175617/pu/img/Ysr1rE83e5hn0twR.jpg</v>
      </c>
      <c r="W79" s="78">
        <v>44813.51770833333</v>
      </c>
      <c r="X79" s="84">
        <v>44813</v>
      </c>
      <c r="Y79" s="81" t="s">
        <v>936</v>
      </c>
      <c r="Z79" s="79" t="str">
        <f>HYPERLINK("https://twitter.com/teferig58652633/status/1568214009286955008")</f>
        <v>https://twitter.com/teferig58652633/status/1568214009286955008</v>
      </c>
      <c r="AA79" s="76"/>
      <c r="AB79" s="76"/>
      <c r="AC79" s="81" t="s">
        <v>1267</v>
      </c>
      <c r="AD79" s="76"/>
      <c r="AE79" s="76" t="b">
        <v>0</v>
      </c>
      <c r="AF79" s="76">
        <v>0</v>
      </c>
      <c r="AG79" s="81" t="s">
        <v>1674</v>
      </c>
      <c r="AH79" s="76" t="b">
        <v>0</v>
      </c>
      <c r="AI79" s="76" t="s">
        <v>1772</v>
      </c>
      <c r="AJ79" s="76"/>
      <c r="AK79" s="81" t="s">
        <v>1674</v>
      </c>
      <c r="AL79" s="76" t="b">
        <v>0</v>
      </c>
      <c r="AM79" s="76">
        <v>16</v>
      </c>
      <c r="AN79" s="81" t="s">
        <v>1295</v>
      </c>
      <c r="AO79" s="81" t="s">
        <v>1807</v>
      </c>
      <c r="AP79" s="76" t="b">
        <v>0</v>
      </c>
      <c r="AQ79" s="81" t="s">
        <v>1295</v>
      </c>
      <c r="AR79" s="76" t="s">
        <v>219</v>
      </c>
      <c r="AS79" s="76">
        <v>0</v>
      </c>
      <c r="AT79" s="76">
        <v>0</v>
      </c>
      <c r="AU79" s="76"/>
      <c r="AV79" s="76"/>
      <c r="AW79" s="76"/>
      <c r="AX79" s="76"/>
      <c r="AY79" s="76"/>
      <c r="AZ79" s="76"/>
      <c r="BA79" s="76"/>
      <c r="BB79" s="76"/>
      <c r="BC79">
        <v>1</v>
      </c>
      <c r="BD79" s="75" t="str">
        <f>REPLACE(INDEX(GroupVertices[Group],MATCH(Edges[[#This Row],[Vertex 1]],GroupVertices[Vertex],0)),1,1,"")</f>
        <v>5</v>
      </c>
      <c r="BE79" s="75" t="str">
        <f>REPLACE(INDEX(GroupVertices[Group],MATCH(Edges[[#This Row],[Vertex 2]],GroupVertices[Vertex],0)),1,1,"")</f>
        <v>5</v>
      </c>
      <c r="BF79" s="45">
        <v>1</v>
      </c>
      <c r="BG79" s="46">
        <v>2.5641025641025643</v>
      </c>
      <c r="BH79" s="45">
        <v>0</v>
      </c>
      <c r="BI79" s="46">
        <v>0</v>
      </c>
      <c r="BJ79" s="45">
        <v>0</v>
      </c>
      <c r="BK79" s="46">
        <v>0</v>
      </c>
      <c r="BL79" s="45">
        <v>38</v>
      </c>
      <c r="BM79" s="46">
        <v>97.43589743589743</v>
      </c>
      <c r="BN79" s="45">
        <v>39</v>
      </c>
    </row>
    <row r="80" spans="1:66" ht="15">
      <c r="A80" s="61" t="s">
        <v>294</v>
      </c>
      <c r="B80" s="61" t="s">
        <v>311</v>
      </c>
      <c r="C80" s="62" t="s">
        <v>4688</v>
      </c>
      <c r="D80" s="63">
        <v>5</v>
      </c>
      <c r="E80" s="62"/>
      <c r="F80" s="65">
        <v>50</v>
      </c>
      <c r="G80" s="62"/>
      <c r="H80" s="66"/>
      <c r="I80" s="67"/>
      <c r="J80" s="67"/>
      <c r="K80" s="31" t="s">
        <v>65</v>
      </c>
      <c r="L80" s="68">
        <v>80</v>
      </c>
      <c r="M80" s="68"/>
      <c r="N80" s="69"/>
      <c r="O80" s="76" t="s">
        <v>586</v>
      </c>
      <c r="P80" s="78">
        <v>44813.52216435185</v>
      </c>
      <c r="Q80" s="76" t="s">
        <v>611</v>
      </c>
      <c r="R80" s="76"/>
      <c r="S80" s="76"/>
      <c r="T80" s="81" t="s">
        <v>808</v>
      </c>
      <c r="U80" s="79" t="str">
        <f>HYPERLINK("https://pbs.twimg.com/ext_tw_video_thumb/1568199549256175617/pu/img/Ysr1rE83e5hn0twR.jpg")</f>
        <v>https://pbs.twimg.com/ext_tw_video_thumb/1568199549256175617/pu/img/Ysr1rE83e5hn0twR.jpg</v>
      </c>
      <c r="V80" s="79" t="str">
        <f>HYPERLINK("https://pbs.twimg.com/ext_tw_video_thumb/1568199549256175617/pu/img/Ysr1rE83e5hn0twR.jpg")</f>
        <v>https://pbs.twimg.com/ext_tw_video_thumb/1568199549256175617/pu/img/Ysr1rE83e5hn0twR.jpg</v>
      </c>
      <c r="W80" s="78">
        <v>44813.52216435185</v>
      </c>
      <c r="X80" s="84">
        <v>44813</v>
      </c>
      <c r="Y80" s="81" t="s">
        <v>937</v>
      </c>
      <c r="Z80" s="79" t="str">
        <f>HYPERLINK("https://twitter.com/alemayehuc/status/1568215625314566145")</f>
        <v>https://twitter.com/alemayehuc/status/1568215625314566145</v>
      </c>
      <c r="AA80" s="76"/>
      <c r="AB80" s="76"/>
      <c r="AC80" s="81" t="s">
        <v>1268</v>
      </c>
      <c r="AD80" s="76"/>
      <c r="AE80" s="76" t="b">
        <v>0</v>
      </c>
      <c r="AF80" s="76">
        <v>0</v>
      </c>
      <c r="AG80" s="81" t="s">
        <v>1674</v>
      </c>
      <c r="AH80" s="76" t="b">
        <v>0</v>
      </c>
      <c r="AI80" s="76" t="s">
        <v>1772</v>
      </c>
      <c r="AJ80" s="76"/>
      <c r="AK80" s="81" t="s">
        <v>1674</v>
      </c>
      <c r="AL80" s="76" t="b">
        <v>0</v>
      </c>
      <c r="AM80" s="76">
        <v>16</v>
      </c>
      <c r="AN80" s="81" t="s">
        <v>1295</v>
      </c>
      <c r="AO80" s="81" t="s">
        <v>1807</v>
      </c>
      <c r="AP80" s="76" t="b">
        <v>0</v>
      </c>
      <c r="AQ80" s="81" t="s">
        <v>1295</v>
      </c>
      <c r="AR80" s="76" t="s">
        <v>219</v>
      </c>
      <c r="AS80" s="76">
        <v>0</v>
      </c>
      <c r="AT80" s="76">
        <v>0</v>
      </c>
      <c r="AU80" s="76"/>
      <c r="AV80" s="76"/>
      <c r="AW80" s="76"/>
      <c r="AX80" s="76"/>
      <c r="AY80" s="76"/>
      <c r="AZ80" s="76"/>
      <c r="BA80" s="76"/>
      <c r="BB80" s="76"/>
      <c r="BC80">
        <v>1</v>
      </c>
      <c r="BD80" s="75" t="str">
        <f>REPLACE(INDEX(GroupVertices[Group],MATCH(Edges[[#This Row],[Vertex 1]],GroupVertices[Vertex],0)),1,1,"")</f>
        <v>5</v>
      </c>
      <c r="BE80" s="75" t="str">
        <f>REPLACE(INDEX(GroupVertices[Group],MATCH(Edges[[#This Row],[Vertex 2]],GroupVertices[Vertex],0)),1,1,"")</f>
        <v>5</v>
      </c>
      <c r="BF80" s="45">
        <v>1</v>
      </c>
      <c r="BG80" s="46">
        <v>2.5641025641025643</v>
      </c>
      <c r="BH80" s="45">
        <v>0</v>
      </c>
      <c r="BI80" s="46">
        <v>0</v>
      </c>
      <c r="BJ80" s="45">
        <v>0</v>
      </c>
      <c r="BK80" s="46">
        <v>0</v>
      </c>
      <c r="BL80" s="45">
        <v>38</v>
      </c>
      <c r="BM80" s="46">
        <v>97.43589743589743</v>
      </c>
      <c r="BN80" s="45">
        <v>39</v>
      </c>
    </row>
    <row r="81" spans="1:66" ht="15">
      <c r="A81" s="61" t="s">
        <v>295</v>
      </c>
      <c r="B81" s="61" t="s">
        <v>311</v>
      </c>
      <c r="C81" s="62" t="s">
        <v>4688</v>
      </c>
      <c r="D81" s="63">
        <v>5</v>
      </c>
      <c r="E81" s="62"/>
      <c r="F81" s="65">
        <v>50</v>
      </c>
      <c r="G81" s="62"/>
      <c r="H81" s="66"/>
      <c r="I81" s="67"/>
      <c r="J81" s="67"/>
      <c r="K81" s="31" t="s">
        <v>65</v>
      </c>
      <c r="L81" s="68">
        <v>81</v>
      </c>
      <c r="M81" s="68"/>
      <c r="N81" s="69"/>
      <c r="O81" s="76" t="s">
        <v>586</v>
      </c>
      <c r="P81" s="78">
        <v>44813.61712962963</v>
      </c>
      <c r="Q81" s="76" t="s">
        <v>611</v>
      </c>
      <c r="R81" s="76"/>
      <c r="S81" s="76"/>
      <c r="T81" s="81" t="s">
        <v>808</v>
      </c>
      <c r="U81" s="79" t="str">
        <f>HYPERLINK("https://pbs.twimg.com/ext_tw_video_thumb/1568199549256175617/pu/img/Ysr1rE83e5hn0twR.jpg")</f>
        <v>https://pbs.twimg.com/ext_tw_video_thumb/1568199549256175617/pu/img/Ysr1rE83e5hn0twR.jpg</v>
      </c>
      <c r="V81" s="79" t="str">
        <f>HYPERLINK("https://pbs.twimg.com/ext_tw_video_thumb/1568199549256175617/pu/img/Ysr1rE83e5hn0twR.jpg")</f>
        <v>https://pbs.twimg.com/ext_tw_video_thumb/1568199549256175617/pu/img/Ysr1rE83e5hn0twR.jpg</v>
      </c>
      <c r="W81" s="78">
        <v>44813.61712962963</v>
      </c>
      <c r="X81" s="84">
        <v>44813</v>
      </c>
      <c r="Y81" s="81" t="s">
        <v>938</v>
      </c>
      <c r="Z81" s="79" t="str">
        <f>HYPERLINK("https://twitter.com/adiss07705421/status/1568250039683743744")</f>
        <v>https://twitter.com/adiss07705421/status/1568250039683743744</v>
      </c>
      <c r="AA81" s="76"/>
      <c r="AB81" s="76"/>
      <c r="AC81" s="81" t="s">
        <v>1269</v>
      </c>
      <c r="AD81" s="76"/>
      <c r="AE81" s="76" t="b">
        <v>0</v>
      </c>
      <c r="AF81" s="76">
        <v>0</v>
      </c>
      <c r="AG81" s="81" t="s">
        <v>1674</v>
      </c>
      <c r="AH81" s="76" t="b">
        <v>0</v>
      </c>
      <c r="AI81" s="76" t="s">
        <v>1772</v>
      </c>
      <c r="AJ81" s="76"/>
      <c r="AK81" s="81" t="s">
        <v>1674</v>
      </c>
      <c r="AL81" s="76" t="b">
        <v>0</v>
      </c>
      <c r="AM81" s="76">
        <v>16</v>
      </c>
      <c r="AN81" s="81" t="s">
        <v>1295</v>
      </c>
      <c r="AO81" s="81" t="s">
        <v>1807</v>
      </c>
      <c r="AP81" s="76" t="b">
        <v>0</v>
      </c>
      <c r="AQ81" s="81" t="s">
        <v>1295</v>
      </c>
      <c r="AR81" s="76" t="s">
        <v>219</v>
      </c>
      <c r="AS81" s="76">
        <v>0</v>
      </c>
      <c r="AT81" s="76">
        <v>0</v>
      </c>
      <c r="AU81" s="76"/>
      <c r="AV81" s="76"/>
      <c r="AW81" s="76"/>
      <c r="AX81" s="76"/>
      <c r="AY81" s="76"/>
      <c r="AZ81" s="76"/>
      <c r="BA81" s="76"/>
      <c r="BB81" s="76"/>
      <c r="BC81">
        <v>1</v>
      </c>
      <c r="BD81" s="75" t="str">
        <f>REPLACE(INDEX(GroupVertices[Group],MATCH(Edges[[#This Row],[Vertex 1]],GroupVertices[Vertex],0)),1,1,"")</f>
        <v>5</v>
      </c>
      <c r="BE81" s="75" t="str">
        <f>REPLACE(INDEX(GroupVertices[Group],MATCH(Edges[[#This Row],[Vertex 2]],GroupVertices[Vertex],0)),1,1,"")</f>
        <v>5</v>
      </c>
      <c r="BF81" s="45">
        <v>1</v>
      </c>
      <c r="BG81" s="46">
        <v>2.5641025641025643</v>
      </c>
      <c r="BH81" s="45">
        <v>0</v>
      </c>
      <c r="BI81" s="46">
        <v>0</v>
      </c>
      <c r="BJ81" s="45">
        <v>0</v>
      </c>
      <c r="BK81" s="46">
        <v>0</v>
      </c>
      <c r="BL81" s="45">
        <v>38</v>
      </c>
      <c r="BM81" s="46">
        <v>97.43589743589743</v>
      </c>
      <c r="BN81" s="45">
        <v>39</v>
      </c>
    </row>
    <row r="82" spans="1:66" ht="15">
      <c r="A82" s="61" t="s">
        <v>296</v>
      </c>
      <c r="B82" s="61" t="s">
        <v>311</v>
      </c>
      <c r="C82" s="62" t="s">
        <v>4688</v>
      </c>
      <c r="D82" s="63">
        <v>5</v>
      </c>
      <c r="E82" s="62"/>
      <c r="F82" s="65">
        <v>50</v>
      </c>
      <c r="G82" s="62"/>
      <c r="H82" s="66"/>
      <c r="I82" s="67"/>
      <c r="J82" s="67"/>
      <c r="K82" s="31" t="s">
        <v>65</v>
      </c>
      <c r="L82" s="68">
        <v>82</v>
      </c>
      <c r="M82" s="68"/>
      <c r="N82" s="69"/>
      <c r="O82" s="76" t="s">
        <v>586</v>
      </c>
      <c r="P82" s="78">
        <v>44813.64480324074</v>
      </c>
      <c r="Q82" s="76" t="s">
        <v>611</v>
      </c>
      <c r="R82" s="76"/>
      <c r="S82" s="76"/>
      <c r="T82" s="81" t="s">
        <v>808</v>
      </c>
      <c r="U82" s="79" t="str">
        <f>HYPERLINK("https://pbs.twimg.com/ext_tw_video_thumb/1568199549256175617/pu/img/Ysr1rE83e5hn0twR.jpg")</f>
        <v>https://pbs.twimg.com/ext_tw_video_thumb/1568199549256175617/pu/img/Ysr1rE83e5hn0twR.jpg</v>
      </c>
      <c r="V82" s="79" t="str">
        <f>HYPERLINK("https://pbs.twimg.com/ext_tw_video_thumb/1568199549256175617/pu/img/Ysr1rE83e5hn0twR.jpg")</f>
        <v>https://pbs.twimg.com/ext_tw_video_thumb/1568199549256175617/pu/img/Ysr1rE83e5hn0twR.jpg</v>
      </c>
      <c r="W82" s="78">
        <v>44813.64480324074</v>
      </c>
      <c r="X82" s="84">
        <v>44813</v>
      </c>
      <c r="Y82" s="81" t="s">
        <v>939</v>
      </c>
      <c r="Z82" s="79" t="str">
        <f>HYPERLINK("https://twitter.com/berhanumekonne6/status/1568260066838708225")</f>
        <v>https://twitter.com/berhanumekonne6/status/1568260066838708225</v>
      </c>
      <c r="AA82" s="76"/>
      <c r="AB82" s="76"/>
      <c r="AC82" s="81" t="s">
        <v>1270</v>
      </c>
      <c r="AD82" s="76"/>
      <c r="AE82" s="76" t="b">
        <v>0</v>
      </c>
      <c r="AF82" s="76">
        <v>0</v>
      </c>
      <c r="AG82" s="81" t="s">
        <v>1674</v>
      </c>
      <c r="AH82" s="76" t="b">
        <v>0</v>
      </c>
      <c r="AI82" s="76" t="s">
        <v>1772</v>
      </c>
      <c r="AJ82" s="76"/>
      <c r="AK82" s="81" t="s">
        <v>1674</v>
      </c>
      <c r="AL82" s="76" t="b">
        <v>0</v>
      </c>
      <c r="AM82" s="76">
        <v>16</v>
      </c>
      <c r="AN82" s="81" t="s">
        <v>1295</v>
      </c>
      <c r="AO82" s="81" t="s">
        <v>1809</v>
      </c>
      <c r="AP82" s="76" t="b">
        <v>0</v>
      </c>
      <c r="AQ82" s="81" t="s">
        <v>1295</v>
      </c>
      <c r="AR82" s="76" t="s">
        <v>219</v>
      </c>
      <c r="AS82" s="76">
        <v>0</v>
      </c>
      <c r="AT82" s="76">
        <v>0</v>
      </c>
      <c r="AU82" s="76"/>
      <c r="AV82" s="76"/>
      <c r="AW82" s="76"/>
      <c r="AX82" s="76"/>
      <c r="AY82" s="76"/>
      <c r="AZ82" s="76"/>
      <c r="BA82" s="76"/>
      <c r="BB82" s="76"/>
      <c r="BC82">
        <v>1</v>
      </c>
      <c r="BD82" s="75" t="str">
        <f>REPLACE(INDEX(GroupVertices[Group],MATCH(Edges[[#This Row],[Vertex 1]],GroupVertices[Vertex],0)),1,1,"")</f>
        <v>5</v>
      </c>
      <c r="BE82" s="75" t="str">
        <f>REPLACE(INDEX(GroupVertices[Group],MATCH(Edges[[#This Row],[Vertex 2]],GroupVertices[Vertex],0)),1,1,"")</f>
        <v>5</v>
      </c>
      <c r="BF82" s="45">
        <v>1</v>
      </c>
      <c r="BG82" s="46">
        <v>2.5641025641025643</v>
      </c>
      <c r="BH82" s="45">
        <v>0</v>
      </c>
      <c r="BI82" s="46">
        <v>0</v>
      </c>
      <c r="BJ82" s="45">
        <v>0</v>
      </c>
      <c r="BK82" s="46">
        <v>0</v>
      </c>
      <c r="BL82" s="45">
        <v>38</v>
      </c>
      <c r="BM82" s="46">
        <v>97.43589743589743</v>
      </c>
      <c r="BN82" s="45">
        <v>39</v>
      </c>
    </row>
    <row r="83" spans="1:66" ht="15">
      <c r="A83" s="61" t="s">
        <v>297</v>
      </c>
      <c r="B83" s="61" t="s">
        <v>311</v>
      </c>
      <c r="C83" s="62" t="s">
        <v>4688</v>
      </c>
      <c r="D83" s="63">
        <v>5</v>
      </c>
      <c r="E83" s="62"/>
      <c r="F83" s="65">
        <v>50</v>
      </c>
      <c r="G83" s="62"/>
      <c r="H83" s="66"/>
      <c r="I83" s="67"/>
      <c r="J83" s="67"/>
      <c r="K83" s="31" t="s">
        <v>65</v>
      </c>
      <c r="L83" s="68">
        <v>83</v>
      </c>
      <c r="M83" s="68"/>
      <c r="N83" s="69"/>
      <c r="O83" s="76" t="s">
        <v>586</v>
      </c>
      <c r="P83" s="78">
        <v>44813.669803240744</v>
      </c>
      <c r="Q83" s="76" t="s">
        <v>611</v>
      </c>
      <c r="R83" s="76"/>
      <c r="S83" s="76"/>
      <c r="T83" s="81" t="s">
        <v>808</v>
      </c>
      <c r="U83" s="79" t="str">
        <f>HYPERLINK("https://pbs.twimg.com/ext_tw_video_thumb/1568199549256175617/pu/img/Ysr1rE83e5hn0twR.jpg")</f>
        <v>https://pbs.twimg.com/ext_tw_video_thumb/1568199549256175617/pu/img/Ysr1rE83e5hn0twR.jpg</v>
      </c>
      <c r="V83" s="79" t="str">
        <f>HYPERLINK("https://pbs.twimg.com/ext_tw_video_thumb/1568199549256175617/pu/img/Ysr1rE83e5hn0twR.jpg")</f>
        <v>https://pbs.twimg.com/ext_tw_video_thumb/1568199549256175617/pu/img/Ysr1rE83e5hn0twR.jpg</v>
      </c>
      <c r="W83" s="78">
        <v>44813.669803240744</v>
      </c>
      <c r="X83" s="84">
        <v>44813</v>
      </c>
      <c r="Y83" s="81" t="s">
        <v>940</v>
      </c>
      <c r="Z83" s="79" t="str">
        <f>HYPERLINK("https://twitter.com/yidalem/status/1568269125960757248")</f>
        <v>https://twitter.com/yidalem/status/1568269125960757248</v>
      </c>
      <c r="AA83" s="76"/>
      <c r="AB83" s="76"/>
      <c r="AC83" s="81" t="s">
        <v>1271</v>
      </c>
      <c r="AD83" s="76"/>
      <c r="AE83" s="76" t="b">
        <v>0</v>
      </c>
      <c r="AF83" s="76">
        <v>0</v>
      </c>
      <c r="AG83" s="81" t="s">
        <v>1674</v>
      </c>
      <c r="AH83" s="76" t="b">
        <v>0</v>
      </c>
      <c r="AI83" s="76" t="s">
        <v>1772</v>
      </c>
      <c r="AJ83" s="76"/>
      <c r="AK83" s="81" t="s">
        <v>1674</v>
      </c>
      <c r="AL83" s="76" t="b">
        <v>0</v>
      </c>
      <c r="AM83" s="76">
        <v>16</v>
      </c>
      <c r="AN83" s="81" t="s">
        <v>1295</v>
      </c>
      <c r="AO83" s="81" t="s">
        <v>1808</v>
      </c>
      <c r="AP83" s="76" t="b">
        <v>0</v>
      </c>
      <c r="AQ83" s="81" t="s">
        <v>1295</v>
      </c>
      <c r="AR83" s="76" t="s">
        <v>219</v>
      </c>
      <c r="AS83" s="76">
        <v>0</v>
      </c>
      <c r="AT83" s="76">
        <v>0</v>
      </c>
      <c r="AU83" s="76"/>
      <c r="AV83" s="76"/>
      <c r="AW83" s="76"/>
      <c r="AX83" s="76"/>
      <c r="AY83" s="76"/>
      <c r="AZ83" s="76"/>
      <c r="BA83" s="76"/>
      <c r="BB83" s="76"/>
      <c r="BC83">
        <v>1</v>
      </c>
      <c r="BD83" s="75" t="str">
        <f>REPLACE(INDEX(GroupVertices[Group],MATCH(Edges[[#This Row],[Vertex 1]],GroupVertices[Vertex],0)),1,1,"")</f>
        <v>5</v>
      </c>
      <c r="BE83" s="75" t="str">
        <f>REPLACE(INDEX(GroupVertices[Group],MATCH(Edges[[#This Row],[Vertex 2]],GroupVertices[Vertex],0)),1,1,"")</f>
        <v>5</v>
      </c>
      <c r="BF83" s="45">
        <v>1</v>
      </c>
      <c r="BG83" s="46">
        <v>2.5641025641025643</v>
      </c>
      <c r="BH83" s="45">
        <v>0</v>
      </c>
      <c r="BI83" s="46">
        <v>0</v>
      </c>
      <c r="BJ83" s="45">
        <v>0</v>
      </c>
      <c r="BK83" s="46">
        <v>0</v>
      </c>
      <c r="BL83" s="45">
        <v>38</v>
      </c>
      <c r="BM83" s="46">
        <v>97.43589743589743</v>
      </c>
      <c r="BN83" s="45">
        <v>39</v>
      </c>
    </row>
    <row r="84" spans="1:66" ht="15">
      <c r="A84" s="61" t="s">
        <v>298</v>
      </c>
      <c r="B84" s="61" t="s">
        <v>298</v>
      </c>
      <c r="C84" s="62" t="s">
        <v>4688</v>
      </c>
      <c r="D84" s="63">
        <v>5</v>
      </c>
      <c r="E84" s="62"/>
      <c r="F84" s="65">
        <v>50</v>
      </c>
      <c r="G84" s="62"/>
      <c r="H84" s="66"/>
      <c r="I84" s="67"/>
      <c r="J84" s="67"/>
      <c r="K84" s="31" t="s">
        <v>65</v>
      </c>
      <c r="L84" s="68">
        <v>84</v>
      </c>
      <c r="M84" s="68"/>
      <c r="N84" s="69"/>
      <c r="O84" s="76" t="s">
        <v>219</v>
      </c>
      <c r="P84" s="78">
        <v>44813.690717592595</v>
      </c>
      <c r="Q84" s="76" t="s">
        <v>613</v>
      </c>
      <c r="R84" s="79" t="str">
        <f>HYPERLINK("https://twitter.com/mdfzeh/status/1568260918512951296")</f>
        <v>https://twitter.com/mdfzeh/status/1568260918512951296</v>
      </c>
      <c r="S84" s="76" t="s">
        <v>783</v>
      </c>
      <c r="T84" s="81" t="s">
        <v>809</v>
      </c>
      <c r="U84" s="76"/>
      <c r="V84" s="79" t="str">
        <f>HYPERLINK("https://pbs.twimg.com/profile_images/1388597517416271875/mlaJIl-4_normal.jpg")</f>
        <v>https://pbs.twimg.com/profile_images/1388597517416271875/mlaJIl-4_normal.jpg</v>
      </c>
      <c r="W84" s="78">
        <v>44813.690717592595</v>
      </c>
      <c r="X84" s="84">
        <v>44813</v>
      </c>
      <c r="Y84" s="81" t="s">
        <v>941</v>
      </c>
      <c r="Z84" s="79" t="str">
        <f>HYPERLINK("https://twitter.com/bitcoin_raf/status/1568276704250187776")</f>
        <v>https://twitter.com/bitcoin_raf/status/1568276704250187776</v>
      </c>
      <c r="AA84" s="76"/>
      <c r="AB84" s="76"/>
      <c r="AC84" s="81" t="s">
        <v>1272</v>
      </c>
      <c r="AD84" s="76"/>
      <c r="AE84" s="76" t="b">
        <v>0</v>
      </c>
      <c r="AF84" s="76">
        <v>1</v>
      </c>
      <c r="AG84" s="81" t="s">
        <v>1674</v>
      </c>
      <c r="AH84" s="76" t="b">
        <v>1</v>
      </c>
      <c r="AI84" s="76" t="s">
        <v>1772</v>
      </c>
      <c r="AJ84" s="76"/>
      <c r="AK84" s="81" t="s">
        <v>1789</v>
      </c>
      <c r="AL84" s="76" t="b">
        <v>0</v>
      </c>
      <c r="AM84" s="76">
        <v>0</v>
      </c>
      <c r="AN84" s="81" t="s">
        <v>1674</v>
      </c>
      <c r="AO84" s="81" t="s">
        <v>1807</v>
      </c>
      <c r="AP84" s="76" t="b">
        <v>0</v>
      </c>
      <c r="AQ84" s="81" t="s">
        <v>1272</v>
      </c>
      <c r="AR84" s="76" t="s">
        <v>219</v>
      </c>
      <c r="AS84" s="76">
        <v>0</v>
      </c>
      <c r="AT84" s="76">
        <v>0</v>
      </c>
      <c r="AU84" s="76"/>
      <c r="AV84" s="76"/>
      <c r="AW84" s="76"/>
      <c r="AX84" s="76"/>
      <c r="AY84" s="76"/>
      <c r="AZ84" s="76"/>
      <c r="BA84" s="76"/>
      <c r="BB84" s="76"/>
      <c r="BC84">
        <v>1</v>
      </c>
      <c r="BD84" s="75" t="str">
        <f>REPLACE(INDEX(GroupVertices[Group],MATCH(Edges[[#This Row],[Vertex 1]],GroupVertices[Vertex],0)),1,1,"")</f>
        <v>2</v>
      </c>
      <c r="BE84" s="75" t="str">
        <f>REPLACE(INDEX(GroupVertices[Group],MATCH(Edges[[#This Row],[Vertex 2]],GroupVertices[Vertex],0)),1,1,"")</f>
        <v>2</v>
      </c>
      <c r="BF84" s="45">
        <v>2</v>
      </c>
      <c r="BG84" s="46">
        <v>15.384615384615385</v>
      </c>
      <c r="BH84" s="45">
        <v>2</v>
      </c>
      <c r="BI84" s="46">
        <v>15.384615384615385</v>
      </c>
      <c r="BJ84" s="45">
        <v>0</v>
      </c>
      <c r="BK84" s="46">
        <v>0</v>
      </c>
      <c r="BL84" s="45">
        <v>9</v>
      </c>
      <c r="BM84" s="46">
        <v>69.23076923076923</v>
      </c>
      <c r="BN84" s="45">
        <v>13</v>
      </c>
    </row>
    <row r="85" spans="1:66" ht="15">
      <c r="A85" s="61" t="s">
        <v>299</v>
      </c>
      <c r="B85" s="61" t="s">
        <v>300</v>
      </c>
      <c r="C85" s="62" t="s">
        <v>4688</v>
      </c>
      <c r="D85" s="63">
        <v>5</v>
      </c>
      <c r="E85" s="62"/>
      <c r="F85" s="65">
        <v>50</v>
      </c>
      <c r="G85" s="62"/>
      <c r="H85" s="66"/>
      <c r="I85" s="67"/>
      <c r="J85" s="67"/>
      <c r="K85" s="31" t="s">
        <v>65</v>
      </c>
      <c r="L85" s="68">
        <v>85</v>
      </c>
      <c r="M85" s="68"/>
      <c r="N85" s="69"/>
      <c r="O85" s="76" t="s">
        <v>586</v>
      </c>
      <c r="P85" s="78">
        <v>44813.820625</v>
      </c>
      <c r="Q85" s="76" t="s">
        <v>614</v>
      </c>
      <c r="R85" s="79" t="str">
        <f>HYPERLINK("https://arxiv.org/pdf/2208.07038.pdf")</f>
        <v>https://arxiv.org/pdf/2208.07038.pdf</v>
      </c>
      <c r="S85" s="76" t="s">
        <v>784</v>
      </c>
      <c r="T85" s="81" t="s">
        <v>810</v>
      </c>
      <c r="U85" s="76"/>
      <c r="V85" s="79" t="str">
        <f>HYPERLINK("https://pbs.twimg.com/profile_images/3370185008/37b1880bbcb0c61d273b16f8090a39ec_normal.jpeg")</f>
        <v>https://pbs.twimg.com/profile_images/3370185008/37b1880bbcb0c61d273b16f8090a39ec_normal.jpeg</v>
      </c>
      <c r="W85" s="78">
        <v>44813.820625</v>
      </c>
      <c r="X85" s="84">
        <v>44813</v>
      </c>
      <c r="Y85" s="81" t="s">
        <v>942</v>
      </c>
      <c r="Z85" s="79" t="str">
        <f>HYPERLINK("https://twitter.com/riocard911/status/1568323781869072384")</f>
        <v>https://twitter.com/riocard911/status/1568323781869072384</v>
      </c>
      <c r="AA85" s="76"/>
      <c r="AB85" s="76"/>
      <c r="AC85" s="81" t="s">
        <v>1273</v>
      </c>
      <c r="AD85" s="76"/>
      <c r="AE85" s="76" t="b">
        <v>0</v>
      </c>
      <c r="AF85" s="76">
        <v>0</v>
      </c>
      <c r="AG85" s="81" t="s">
        <v>1674</v>
      </c>
      <c r="AH85" s="76" t="b">
        <v>0</v>
      </c>
      <c r="AI85" s="76" t="s">
        <v>1772</v>
      </c>
      <c r="AJ85" s="76"/>
      <c r="AK85" s="81" t="s">
        <v>1674</v>
      </c>
      <c r="AL85" s="76" t="b">
        <v>0</v>
      </c>
      <c r="AM85" s="76">
        <v>3</v>
      </c>
      <c r="AN85" s="81" t="s">
        <v>1274</v>
      </c>
      <c r="AO85" s="81" t="s">
        <v>1807</v>
      </c>
      <c r="AP85" s="76" t="b">
        <v>0</v>
      </c>
      <c r="AQ85" s="81" t="s">
        <v>1274</v>
      </c>
      <c r="AR85" s="76" t="s">
        <v>219</v>
      </c>
      <c r="AS85" s="76">
        <v>0</v>
      </c>
      <c r="AT85" s="76">
        <v>0</v>
      </c>
      <c r="AU85" s="76"/>
      <c r="AV85" s="76"/>
      <c r="AW85" s="76"/>
      <c r="AX85" s="76"/>
      <c r="AY85" s="76"/>
      <c r="AZ85" s="76"/>
      <c r="BA85" s="76"/>
      <c r="BB85" s="76"/>
      <c r="BC85">
        <v>1</v>
      </c>
      <c r="BD85" s="75" t="str">
        <f>REPLACE(INDEX(GroupVertices[Group],MATCH(Edges[[#This Row],[Vertex 1]],GroupVertices[Vertex],0)),1,1,"")</f>
        <v>11</v>
      </c>
      <c r="BE85" s="75" t="str">
        <f>REPLACE(INDEX(GroupVertices[Group],MATCH(Edges[[#This Row],[Vertex 2]],GroupVertices[Vertex],0)),1,1,"")</f>
        <v>11</v>
      </c>
      <c r="BF85" s="45">
        <v>0</v>
      </c>
      <c r="BG85" s="46">
        <v>0</v>
      </c>
      <c r="BH85" s="45">
        <v>0</v>
      </c>
      <c r="BI85" s="46">
        <v>0</v>
      </c>
      <c r="BJ85" s="45">
        <v>0</v>
      </c>
      <c r="BK85" s="46">
        <v>0</v>
      </c>
      <c r="BL85" s="45">
        <v>36</v>
      </c>
      <c r="BM85" s="46">
        <v>100</v>
      </c>
      <c r="BN85" s="45">
        <v>36</v>
      </c>
    </row>
    <row r="86" spans="1:66" ht="15">
      <c r="A86" s="61" t="s">
        <v>300</v>
      </c>
      <c r="B86" s="61" t="s">
        <v>300</v>
      </c>
      <c r="C86" s="62" t="s">
        <v>4688</v>
      </c>
      <c r="D86" s="63">
        <v>5</v>
      </c>
      <c r="E86" s="62"/>
      <c r="F86" s="65">
        <v>50</v>
      </c>
      <c r="G86" s="62"/>
      <c r="H86" s="66"/>
      <c r="I86" s="67"/>
      <c r="J86" s="67"/>
      <c r="K86" s="31" t="s">
        <v>65</v>
      </c>
      <c r="L86" s="68">
        <v>86</v>
      </c>
      <c r="M86" s="68"/>
      <c r="N86" s="69"/>
      <c r="O86" s="76" t="s">
        <v>219</v>
      </c>
      <c r="P86" s="78">
        <v>44809.77199074074</v>
      </c>
      <c r="Q86" s="76" t="s">
        <v>614</v>
      </c>
      <c r="R86" s="79" t="str">
        <f>HYPERLINK("https://arxiv.org/pdf/2208.07038.pdf")</f>
        <v>https://arxiv.org/pdf/2208.07038.pdf</v>
      </c>
      <c r="S86" s="76" t="s">
        <v>784</v>
      </c>
      <c r="T86" s="81" t="s">
        <v>810</v>
      </c>
      <c r="U86" s="76"/>
      <c r="V86" s="79" t="str">
        <f>HYPERLINK("https://pbs.twimg.com/profile_images/971840564365807616/Y9P5VYMh_normal.jpg")</f>
        <v>https://pbs.twimg.com/profile_images/971840564365807616/Y9P5VYMh_normal.jpg</v>
      </c>
      <c r="W86" s="78">
        <v>44809.77199074074</v>
      </c>
      <c r="X86" s="84">
        <v>44809</v>
      </c>
      <c r="Y86" s="81" t="s">
        <v>943</v>
      </c>
      <c r="Z86" s="79" t="str">
        <f>HYPERLINK("https://twitter.com/jamesfoley57/status/1566856608331833351")</f>
        <v>https://twitter.com/jamesfoley57/status/1566856608331833351</v>
      </c>
      <c r="AA86" s="76"/>
      <c r="AB86" s="76"/>
      <c r="AC86" s="81" t="s">
        <v>1274</v>
      </c>
      <c r="AD86" s="76"/>
      <c r="AE86" s="76" t="b">
        <v>0</v>
      </c>
      <c r="AF86" s="76">
        <v>9</v>
      </c>
      <c r="AG86" s="81" t="s">
        <v>1674</v>
      </c>
      <c r="AH86" s="76" t="b">
        <v>0</v>
      </c>
      <c r="AI86" s="76" t="s">
        <v>1772</v>
      </c>
      <c r="AJ86" s="76"/>
      <c r="AK86" s="81" t="s">
        <v>1674</v>
      </c>
      <c r="AL86" s="76" t="b">
        <v>0</v>
      </c>
      <c r="AM86" s="76">
        <v>3</v>
      </c>
      <c r="AN86" s="81" t="s">
        <v>1674</v>
      </c>
      <c r="AO86" s="81" t="s">
        <v>1808</v>
      </c>
      <c r="AP86" s="76" t="b">
        <v>0</v>
      </c>
      <c r="AQ86" s="81" t="s">
        <v>1274</v>
      </c>
      <c r="AR86" s="76" t="s">
        <v>586</v>
      </c>
      <c r="AS86" s="76">
        <v>0</v>
      </c>
      <c r="AT86" s="76">
        <v>0</v>
      </c>
      <c r="AU86" s="76"/>
      <c r="AV86" s="76"/>
      <c r="AW86" s="76"/>
      <c r="AX86" s="76"/>
      <c r="AY86" s="76"/>
      <c r="AZ86" s="76"/>
      <c r="BA86" s="76"/>
      <c r="BB86" s="76"/>
      <c r="BC86">
        <v>1</v>
      </c>
      <c r="BD86" s="75" t="str">
        <f>REPLACE(INDEX(GroupVertices[Group],MATCH(Edges[[#This Row],[Vertex 1]],GroupVertices[Vertex],0)),1,1,"")</f>
        <v>11</v>
      </c>
      <c r="BE86" s="75" t="str">
        <f>REPLACE(INDEX(GroupVertices[Group],MATCH(Edges[[#This Row],[Vertex 2]],GroupVertices[Vertex],0)),1,1,"")</f>
        <v>11</v>
      </c>
      <c r="BF86" s="45">
        <v>0</v>
      </c>
      <c r="BG86" s="46">
        <v>0</v>
      </c>
      <c r="BH86" s="45">
        <v>0</v>
      </c>
      <c r="BI86" s="46">
        <v>0</v>
      </c>
      <c r="BJ86" s="45">
        <v>0</v>
      </c>
      <c r="BK86" s="46">
        <v>0</v>
      </c>
      <c r="BL86" s="45">
        <v>36</v>
      </c>
      <c r="BM86" s="46">
        <v>100</v>
      </c>
      <c r="BN86" s="45">
        <v>36</v>
      </c>
    </row>
    <row r="87" spans="1:66" ht="15">
      <c r="A87" s="61" t="s">
        <v>301</v>
      </c>
      <c r="B87" s="61" t="s">
        <v>300</v>
      </c>
      <c r="C87" s="62" t="s">
        <v>4688</v>
      </c>
      <c r="D87" s="63">
        <v>5</v>
      </c>
      <c r="E87" s="62"/>
      <c r="F87" s="65">
        <v>50</v>
      </c>
      <c r="G87" s="62"/>
      <c r="H87" s="66"/>
      <c r="I87" s="67"/>
      <c r="J87" s="67"/>
      <c r="K87" s="31" t="s">
        <v>65</v>
      </c>
      <c r="L87" s="68">
        <v>87</v>
      </c>
      <c r="M87" s="68"/>
      <c r="N87" s="69"/>
      <c r="O87" s="76" t="s">
        <v>586</v>
      </c>
      <c r="P87" s="78">
        <v>44813.773888888885</v>
      </c>
      <c r="Q87" s="76" t="s">
        <v>614</v>
      </c>
      <c r="R87" s="79" t="str">
        <f>HYPERLINK("https://arxiv.org/pdf/2208.07038.pdf")</f>
        <v>https://arxiv.org/pdf/2208.07038.pdf</v>
      </c>
      <c r="S87" s="76" t="s">
        <v>784</v>
      </c>
      <c r="T87" s="81" t="s">
        <v>810</v>
      </c>
      <c r="U87" s="76"/>
      <c r="V87" s="79" t="str">
        <f>HYPERLINK("https://pbs.twimg.com/profile_images/1509557834366787590/gNDMKO3O_normal.jpg")</f>
        <v>https://pbs.twimg.com/profile_images/1509557834366787590/gNDMKO3O_normal.jpg</v>
      </c>
      <c r="W87" s="78">
        <v>44813.773888888885</v>
      </c>
      <c r="X87" s="84">
        <v>44813</v>
      </c>
      <c r="Y87" s="81" t="s">
        <v>944</v>
      </c>
      <c r="Z87" s="79" t="str">
        <f>HYPERLINK("https://twitter.com/lucygatsby/status/1568306845684572160")</f>
        <v>https://twitter.com/lucygatsby/status/1568306845684572160</v>
      </c>
      <c r="AA87" s="76"/>
      <c r="AB87" s="76"/>
      <c r="AC87" s="81" t="s">
        <v>1275</v>
      </c>
      <c r="AD87" s="76"/>
      <c r="AE87" s="76" t="b">
        <v>0</v>
      </c>
      <c r="AF87" s="76">
        <v>0</v>
      </c>
      <c r="AG87" s="81" t="s">
        <v>1674</v>
      </c>
      <c r="AH87" s="76" t="b">
        <v>0</v>
      </c>
      <c r="AI87" s="76" t="s">
        <v>1772</v>
      </c>
      <c r="AJ87" s="76"/>
      <c r="AK87" s="81" t="s">
        <v>1674</v>
      </c>
      <c r="AL87" s="76" t="b">
        <v>0</v>
      </c>
      <c r="AM87" s="76">
        <v>3</v>
      </c>
      <c r="AN87" s="81" t="s">
        <v>1274</v>
      </c>
      <c r="AO87" s="81" t="s">
        <v>1807</v>
      </c>
      <c r="AP87" s="76" t="b">
        <v>0</v>
      </c>
      <c r="AQ87" s="81" t="s">
        <v>1274</v>
      </c>
      <c r="AR87" s="76" t="s">
        <v>219</v>
      </c>
      <c r="AS87" s="76">
        <v>0</v>
      </c>
      <c r="AT87" s="76">
        <v>0</v>
      </c>
      <c r="AU87" s="76"/>
      <c r="AV87" s="76"/>
      <c r="AW87" s="76"/>
      <c r="AX87" s="76"/>
      <c r="AY87" s="76"/>
      <c r="AZ87" s="76"/>
      <c r="BA87" s="76"/>
      <c r="BB87" s="76"/>
      <c r="BC87">
        <v>1</v>
      </c>
      <c r="BD87" s="75" t="str">
        <f>REPLACE(INDEX(GroupVertices[Group],MATCH(Edges[[#This Row],[Vertex 1]],GroupVertices[Vertex],0)),1,1,"")</f>
        <v>11</v>
      </c>
      <c r="BE87" s="75" t="str">
        <f>REPLACE(INDEX(GroupVertices[Group],MATCH(Edges[[#This Row],[Vertex 2]],GroupVertices[Vertex],0)),1,1,"")</f>
        <v>11</v>
      </c>
      <c r="BF87" s="45">
        <v>0</v>
      </c>
      <c r="BG87" s="46">
        <v>0</v>
      </c>
      <c r="BH87" s="45">
        <v>0</v>
      </c>
      <c r="BI87" s="46">
        <v>0</v>
      </c>
      <c r="BJ87" s="45">
        <v>0</v>
      </c>
      <c r="BK87" s="46">
        <v>0</v>
      </c>
      <c r="BL87" s="45">
        <v>36</v>
      </c>
      <c r="BM87" s="46">
        <v>100</v>
      </c>
      <c r="BN87" s="45">
        <v>36</v>
      </c>
    </row>
    <row r="88" spans="1:66" ht="15">
      <c r="A88" s="61" t="s">
        <v>302</v>
      </c>
      <c r="B88" s="61" t="s">
        <v>300</v>
      </c>
      <c r="C88" s="62" t="s">
        <v>4688</v>
      </c>
      <c r="D88" s="63">
        <v>5</v>
      </c>
      <c r="E88" s="62"/>
      <c r="F88" s="65">
        <v>50</v>
      </c>
      <c r="G88" s="62"/>
      <c r="H88" s="66"/>
      <c r="I88" s="67"/>
      <c r="J88" s="67"/>
      <c r="K88" s="31" t="s">
        <v>65</v>
      </c>
      <c r="L88" s="68">
        <v>88</v>
      </c>
      <c r="M88" s="68"/>
      <c r="N88" s="69"/>
      <c r="O88" s="76" t="s">
        <v>586</v>
      </c>
      <c r="P88" s="78">
        <v>44813.83420138889</v>
      </c>
      <c r="Q88" s="76" t="s">
        <v>614</v>
      </c>
      <c r="R88" s="79" t="str">
        <f>HYPERLINK("https://arxiv.org/pdf/2208.07038.pdf")</f>
        <v>https://arxiv.org/pdf/2208.07038.pdf</v>
      </c>
      <c r="S88" s="76" t="s">
        <v>784</v>
      </c>
      <c r="T88" s="81" t="s">
        <v>810</v>
      </c>
      <c r="U88" s="76"/>
      <c r="V88" s="79" t="str">
        <f>HYPERLINK("https://pbs.twimg.com/profile_images/1520130069146050560/-sIvMe0C_normal.jpg")</f>
        <v>https://pbs.twimg.com/profile_images/1520130069146050560/-sIvMe0C_normal.jpg</v>
      </c>
      <c r="W88" s="78">
        <v>44813.83420138889</v>
      </c>
      <c r="X88" s="84">
        <v>44813</v>
      </c>
      <c r="Y88" s="81" t="s">
        <v>945</v>
      </c>
      <c r="Z88" s="79" t="str">
        <f>HYPERLINK("https://twitter.com/100anb/status/1568328702869606403")</f>
        <v>https://twitter.com/100anb/status/1568328702869606403</v>
      </c>
      <c r="AA88" s="76"/>
      <c r="AB88" s="76"/>
      <c r="AC88" s="81" t="s">
        <v>1276</v>
      </c>
      <c r="AD88" s="76"/>
      <c r="AE88" s="76" t="b">
        <v>0</v>
      </c>
      <c r="AF88" s="76">
        <v>0</v>
      </c>
      <c r="AG88" s="81" t="s">
        <v>1674</v>
      </c>
      <c r="AH88" s="76" t="b">
        <v>0</v>
      </c>
      <c r="AI88" s="76" t="s">
        <v>1772</v>
      </c>
      <c r="AJ88" s="76"/>
      <c r="AK88" s="81" t="s">
        <v>1674</v>
      </c>
      <c r="AL88" s="76" t="b">
        <v>0</v>
      </c>
      <c r="AM88" s="76">
        <v>3</v>
      </c>
      <c r="AN88" s="81" t="s">
        <v>1274</v>
      </c>
      <c r="AO88" s="81" t="s">
        <v>1807</v>
      </c>
      <c r="AP88" s="76" t="b">
        <v>0</v>
      </c>
      <c r="AQ88" s="81" t="s">
        <v>1274</v>
      </c>
      <c r="AR88" s="76" t="s">
        <v>219</v>
      </c>
      <c r="AS88" s="76">
        <v>0</v>
      </c>
      <c r="AT88" s="76">
        <v>0</v>
      </c>
      <c r="AU88" s="76"/>
      <c r="AV88" s="76"/>
      <c r="AW88" s="76"/>
      <c r="AX88" s="76"/>
      <c r="AY88" s="76"/>
      <c r="AZ88" s="76"/>
      <c r="BA88" s="76"/>
      <c r="BB88" s="76"/>
      <c r="BC88">
        <v>1</v>
      </c>
      <c r="BD88" s="75" t="str">
        <f>REPLACE(INDEX(GroupVertices[Group],MATCH(Edges[[#This Row],[Vertex 1]],GroupVertices[Vertex],0)),1,1,"")</f>
        <v>11</v>
      </c>
      <c r="BE88" s="75" t="str">
        <f>REPLACE(INDEX(GroupVertices[Group],MATCH(Edges[[#This Row],[Vertex 2]],GroupVertices[Vertex],0)),1,1,"")</f>
        <v>11</v>
      </c>
      <c r="BF88" s="45">
        <v>0</v>
      </c>
      <c r="BG88" s="46">
        <v>0</v>
      </c>
      <c r="BH88" s="45">
        <v>0</v>
      </c>
      <c r="BI88" s="46">
        <v>0</v>
      </c>
      <c r="BJ88" s="45">
        <v>0</v>
      </c>
      <c r="BK88" s="46">
        <v>0</v>
      </c>
      <c r="BL88" s="45">
        <v>36</v>
      </c>
      <c r="BM88" s="46">
        <v>100</v>
      </c>
      <c r="BN88" s="45">
        <v>36</v>
      </c>
    </row>
    <row r="89" spans="1:66" ht="15">
      <c r="A89" s="61" t="s">
        <v>303</v>
      </c>
      <c r="B89" s="61" t="s">
        <v>303</v>
      </c>
      <c r="C89" s="62" t="s">
        <v>4688</v>
      </c>
      <c r="D89" s="63">
        <v>5</v>
      </c>
      <c r="E89" s="62"/>
      <c r="F89" s="65">
        <v>50</v>
      </c>
      <c r="G89" s="62"/>
      <c r="H89" s="66"/>
      <c r="I89" s="67"/>
      <c r="J89" s="67"/>
      <c r="K89" s="31" t="s">
        <v>65</v>
      </c>
      <c r="L89" s="68">
        <v>89</v>
      </c>
      <c r="M89" s="68"/>
      <c r="N89" s="69"/>
      <c r="O89" s="76" t="s">
        <v>219</v>
      </c>
      <c r="P89" s="78">
        <v>44813.83537037037</v>
      </c>
      <c r="Q89" s="76" t="s">
        <v>615</v>
      </c>
      <c r="R89" s="76"/>
      <c r="S89" s="76"/>
      <c r="T89" s="76"/>
      <c r="U89" s="76"/>
      <c r="V89" s="79" t="str">
        <f>HYPERLINK("https://pbs.twimg.com/profile_images/1567776969344913408/0nD1ET8I_normal.jpg")</f>
        <v>https://pbs.twimg.com/profile_images/1567776969344913408/0nD1ET8I_normal.jpg</v>
      </c>
      <c r="W89" s="78">
        <v>44813.83537037037</v>
      </c>
      <c r="X89" s="84">
        <v>44813</v>
      </c>
      <c r="Y89" s="81" t="s">
        <v>946</v>
      </c>
      <c r="Z89" s="79" t="str">
        <f>HYPERLINK("https://twitter.com/uutis_huone/status/1568329125357850625")</f>
        <v>https://twitter.com/uutis_huone/status/1568329125357850625</v>
      </c>
      <c r="AA89" s="76"/>
      <c r="AB89" s="76"/>
      <c r="AC89" s="81" t="s">
        <v>1277</v>
      </c>
      <c r="AD89" s="81" t="s">
        <v>1576</v>
      </c>
      <c r="AE89" s="76" t="b">
        <v>0</v>
      </c>
      <c r="AF89" s="76">
        <v>1</v>
      </c>
      <c r="AG89" s="81" t="s">
        <v>1686</v>
      </c>
      <c r="AH89" s="76" t="b">
        <v>0</v>
      </c>
      <c r="AI89" s="76" t="s">
        <v>1778</v>
      </c>
      <c r="AJ89" s="76"/>
      <c r="AK89" s="81" t="s">
        <v>1674</v>
      </c>
      <c r="AL89" s="76" t="b">
        <v>0</v>
      </c>
      <c r="AM89" s="76">
        <v>0</v>
      </c>
      <c r="AN89" s="81" t="s">
        <v>1674</v>
      </c>
      <c r="AO89" s="81" t="s">
        <v>1807</v>
      </c>
      <c r="AP89" s="76" t="b">
        <v>0</v>
      </c>
      <c r="AQ89" s="81" t="s">
        <v>1576</v>
      </c>
      <c r="AR89" s="76" t="s">
        <v>219</v>
      </c>
      <c r="AS89" s="76">
        <v>0</v>
      </c>
      <c r="AT89" s="76">
        <v>0</v>
      </c>
      <c r="AU89" s="76"/>
      <c r="AV89" s="76"/>
      <c r="AW89" s="76"/>
      <c r="AX89" s="76"/>
      <c r="AY89" s="76"/>
      <c r="AZ89" s="76"/>
      <c r="BA89" s="76"/>
      <c r="BB89" s="76"/>
      <c r="BC89">
        <v>1</v>
      </c>
      <c r="BD89" s="75" t="str">
        <f>REPLACE(INDEX(GroupVertices[Group],MATCH(Edges[[#This Row],[Vertex 1]],GroupVertices[Vertex],0)),1,1,"")</f>
        <v>2</v>
      </c>
      <c r="BE89" s="75" t="str">
        <f>REPLACE(INDEX(GroupVertices[Group],MATCH(Edges[[#This Row],[Vertex 2]],GroupVertices[Vertex],0)),1,1,"")</f>
        <v>2</v>
      </c>
      <c r="BF89" s="45">
        <v>0</v>
      </c>
      <c r="BG89" s="46">
        <v>0</v>
      </c>
      <c r="BH89" s="45">
        <v>0</v>
      </c>
      <c r="BI89" s="46">
        <v>0</v>
      </c>
      <c r="BJ89" s="45">
        <v>0</v>
      </c>
      <c r="BK89" s="46">
        <v>0</v>
      </c>
      <c r="BL89" s="45">
        <v>28</v>
      </c>
      <c r="BM89" s="46">
        <v>100</v>
      </c>
      <c r="BN89" s="45">
        <v>28</v>
      </c>
    </row>
    <row r="90" spans="1:66" ht="15">
      <c r="A90" s="61" t="s">
        <v>304</v>
      </c>
      <c r="B90" s="61" t="s">
        <v>304</v>
      </c>
      <c r="C90" s="62" t="s">
        <v>4690</v>
      </c>
      <c r="D90" s="63">
        <v>7.916666666666666</v>
      </c>
      <c r="E90" s="62"/>
      <c r="F90" s="65">
        <v>29.583333333333332</v>
      </c>
      <c r="G90" s="62"/>
      <c r="H90" s="66"/>
      <c r="I90" s="67"/>
      <c r="J90" s="67"/>
      <c r="K90" s="31" t="s">
        <v>65</v>
      </c>
      <c r="L90" s="68">
        <v>90</v>
      </c>
      <c r="M90" s="68"/>
      <c r="N90" s="69"/>
      <c r="O90" s="76" t="s">
        <v>219</v>
      </c>
      <c r="P90" s="78">
        <v>44811.54657407408</v>
      </c>
      <c r="Q90" s="76" t="s">
        <v>616</v>
      </c>
      <c r="R90" s="76"/>
      <c r="S90" s="76"/>
      <c r="T90" s="81" t="s">
        <v>811</v>
      </c>
      <c r="U90" s="76"/>
      <c r="V90" s="79" t="str">
        <f>HYPERLINK("https://pbs.twimg.com/profile_images/1503799462816362496/bFBp6Bca_normal.jpg")</f>
        <v>https://pbs.twimg.com/profile_images/1503799462816362496/bFBp6Bca_normal.jpg</v>
      </c>
      <c r="W90" s="78">
        <v>44811.54657407408</v>
      </c>
      <c r="X90" s="84">
        <v>44811</v>
      </c>
      <c r="Y90" s="81" t="s">
        <v>947</v>
      </c>
      <c r="Z90" s="79" t="str">
        <f>HYPERLINK("https://twitter.com/ipurdley/status/1567499696213561344")</f>
        <v>https://twitter.com/ipurdley/status/1567499696213561344</v>
      </c>
      <c r="AA90" s="76"/>
      <c r="AB90" s="76"/>
      <c r="AC90" s="81" t="s">
        <v>1278</v>
      </c>
      <c r="AD90" s="76"/>
      <c r="AE90" s="76" t="b">
        <v>0</v>
      </c>
      <c r="AF90" s="76">
        <v>2</v>
      </c>
      <c r="AG90" s="81" t="s">
        <v>1674</v>
      </c>
      <c r="AH90" s="76" t="b">
        <v>0</v>
      </c>
      <c r="AI90" s="76" t="s">
        <v>1772</v>
      </c>
      <c r="AJ90" s="76"/>
      <c r="AK90" s="81" t="s">
        <v>1674</v>
      </c>
      <c r="AL90" s="76" t="b">
        <v>0</v>
      </c>
      <c r="AM90" s="76">
        <v>0</v>
      </c>
      <c r="AN90" s="81" t="s">
        <v>1674</v>
      </c>
      <c r="AO90" s="81" t="s">
        <v>1808</v>
      </c>
      <c r="AP90" s="76" t="b">
        <v>0</v>
      </c>
      <c r="AQ90" s="81" t="s">
        <v>1278</v>
      </c>
      <c r="AR90" s="76" t="s">
        <v>219</v>
      </c>
      <c r="AS90" s="76">
        <v>0</v>
      </c>
      <c r="AT90" s="76">
        <v>0</v>
      </c>
      <c r="AU90" s="76"/>
      <c r="AV90" s="76"/>
      <c r="AW90" s="76"/>
      <c r="AX90" s="76"/>
      <c r="AY90" s="76"/>
      <c r="AZ90" s="76"/>
      <c r="BA90" s="76"/>
      <c r="BB90" s="76"/>
      <c r="BC90">
        <v>8</v>
      </c>
      <c r="BD90" s="75" t="str">
        <f>REPLACE(INDEX(GroupVertices[Group],MATCH(Edges[[#This Row],[Vertex 1]],GroupVertices[Vertex],0)),1,1,"")</f>
        <v>59</v>
      </c>
      <c r="BE90" s="75" t="str">
        <f>REPLACE(INDEX(GroupVertices[Group],MATCH(Edges[[#This Row],[Vertex 2]],GroupVertices[Vertex],0)),1,1,"")</f>
        <v>59</v>
      </c>
      <c r="BF90" s="45">
        <v>0</v>
      </c>
      <c r="BG90" s="46">
        <v>0</v>
      </c>
      <c r="BH90" s="45">
        <v>3</v>
      </c>
      <c r="BI90" s="46">
        <v>8.571428571428571</v>
      </c>
      <c r="BJ90" s="45">
        <v>0</v>
      </c>
      <c r="BK90" s="46">
        <v>0</v>
      </c>
      <c r="BL90" s="45">
        <v>32</v>
      </c>
      <c r="BM90" s="46">
        <v>91.42857142857143</v>
      </c>
      <c r="BN90" s="45">
        <v>35</v>
      </c>
    </row>
    <row r="91" spans="1:66" ht="15">
      <c r="A91" s="61" t="s">
        <v>304</v>
      </c>
      <c r="B91" s="61" t="s">
        <v>304</v>
      </c>
      <c r="C91" s="62" t="s">
        <v>4690</v>
      </c>
      <c r="D91" s="63">
        <v>7.916666666666666</v>
      </c>
      <c r="E91" s="62"/>
      <c r="F91" s="65">
        <v>29.583333333333332</v>
      </c>
      <c r="G91" s="62"/>
      <c r="H91" s="66"/>
      <c r="I91" s="67"/>
      <c r="J91" s="67"/>
      <c r="K91" s="31" t="s">
        <v>65</v>
      </c>
      <c r="L91" s="68">
        <v>91</v>
      </c>
      <c r="M91" s="68"/>
      <c r="N91" s="69"/>
      <c r="O91" s="76" t="s">
        <v>219</v>
      </c>
      <c r="P91" s="78">
        <v>44811.74252314815</v>
      </c>
      <c r="Q91" s="76" t="s">
        <v>617</v>
      </c>
      <c r="R91" s="79" t="str">
        <f>HYPERLINK("https://twitter.com/Sloe_Rida/status/1566178662969638912")</f>
        <v>https://twitter.com/Sloe_Rida/status/1566178662969638912</v>
      </c>
      <c r="S91" s="76" t="s">
        <v>783</v>
      </c>
      <c r="T91" s="81" t="s">
        <v>812</v>
      </c>
      <c r="U91" s="76"/>
      <c r="V91" s="79" t="str">
        <f>HYPERLINK("https://pbs.twimg.com/profile_images/1503799462816362496/bFBp6Bca_normal.jpg")</f>
        <v>https://pbs.twimg.com/profile_images/1503799462816362496/bFBp6Bca_normal.jpg</v>
      </c>
      <c r="W91" s="78">
        <v>44811.74252314815</v>
      </c>
      <c r="X91" s="84">
        <v>44811</v>
      </c>
      <c r="Y91" s="81" t="s">
        <v>948</v>
      </c>
      <c r="Z91" s="79" t="str">
        <f>HYPERLINK("https://twitter.com/ipurdley/status/1567570701804048390")</f>
        <v>https://twitter.com/ipurdley/status/1567570701804048390</v>
      </c>
      <c r="AA91" s="76"/>
      <c r="AB91" s="76"/>
      <c r="AC91" s="81" t="s">
        <v>1279</v>
      </c>
      <c r="AD91" s="76"/>
      <c r="AE91" s="76" t="b">
        <v>0</v>
      </c>
      <c r="AF91" s="76">
        <v>2</v>
      </c>
      <c r="AG91" s="81" t="s">
        <v>1674</v>
      </c>
      <c r="AH91" s="76" t="b">
        <v>1</v>
      </c>
      <c r="AI91" s="76" t="s">
        <v>1772</v>
      </c>
      <c r="AJ91" s="76"/>
      <c r="AK91" s="81" t="s">
        <v>1790</v>
      </c>
      <c r="AL91" s="76" t="b">
        <v>0</v>
      </c>
      <c r="AM91" s="76">
        <v>1</v>
      </c>
      <c r="AN91" s="81" t="s">
        <v>1674</v>
      </c>
      <c r="AO91" s="81" t="s">
        <v>1808</v>
      </c>
      <c r="AP91" s="76" t="b">
        <v>0</v>
      </c>
      <c r="AQ91" s="81" t="s">
        <v>1279</v>
      </c>
      <c r="AR91" s="76" t="s">
        <v>219</v>
      </c>
      <c r="AS91" s="76">
        <v>0</v>
      </c>
      <c r="AT91" s="76">
        <v>0</v>
      </c>
      <c r="AU91" s="76"/>
      <c r="AV91" s="76"/>
      <c r="AW91" s="76"/>
      <c r="AX91" s="76"/>
      <c r="AY91" s="76"/>
      <c r="AZ91" s="76"/>
      <c r="BA91" s="76"/>
      <c r="BB91" s="76"/>
      <c r="BC91">
        <v>8</v>
      </c>
      <c r="BD91" s="75" t="str">
        <f>REPLACE(INDEX(GroupVertices[Group],MATCH(Edges[[#This Row],[Vertex 1]],GroupVertices[Vertex],0)),1,1,"")</f>
        <v>59</v>
      </c>
      <c r="BE91" s="75" t="str">
        <f>REPLACE(INDEX(GroupVertices[Group],MATCH(Edges[[#This Row],[Vertex 2]],GroupVertices[Vertex],0)),1,1,"")</f>
        <v>59</v>
      </c>
      <c r="BF91" s="45">
        <v>1</v>
      </c>
      <c r="BG91" s="46">
        <v>2.2222222222222223</v>
      </c>
      <c r="BH91" s="45">
        <v>5</v>
      </c>
      <c r="BI91" s="46">
        <v>11.11111111111111</v>
      </c>
      <c r="BJ91" s="45">
        <v>0</v>
      </c>
      <c r="BK91" s="46">
        <v>0</v>
      </c>
      <c r="BL91" s="45">
        <v>39</v>
      </c>
      <c r="BM91" s="46">
        <v>86.66666666666667</v>
      </c>
      <c r="BN91" s="45">
        <v>45</v>
      </c>
    </row>
    <row r="92" spans="1:66" ht="15">
      <c r="A92" s="61" t="s">
        <v>304</v>
      </c>
      <c r="B92" s="61" t="s">
        <v>304</v>
      </c>
      <c r="C92" s="62" t="s">
        <v>4690</v>
      </c>
      <c r="D92" s="63">
        <v>7.916666666666666</v>
      </c>
      <c r="E92" s="62"/>
      <c r="F92" s="65">
        <v>29.583333333333332</v>
      </c>
      <c r="G92" s="62"/>
      <c r="H92" s="66"/>
      <c r="I92" s="67"/>
      <c r="J92" s="67"/>
      <c r="K92" s="31" t="s">
        <v>65</v>
      </c>
      <c r="L92" s="68">
        <v>92</v>
      </c>
      <c r="M92" s="68"/>
      <c r="N92" s="69"/>
      <c r="O92" s="76" t="s">
        <v>219</v>
      </c>
      <c r="P92" s="78">
        <v>44811.74599537037</v>
      </c>
      <c r="Q92" s="76" t="s">
        <v>618</v>
      </c>
      <c r="R92" s="76"/>
      <c r="S92" s="76"/>
      <c r="T92" s="81" t="s">
        <v>795</v>
      </c>
      <c r="U92" s="79" t="str">
        <f>HYPERLINK("https://pbs.twimg.com/media/FcEiRakX0AEnveA.png")</f>
        <v>https://pbs.twimg.com/media/FcEiRakX0AEnveA.png</v>
      </c>
      <c r="V92" s="79" t="str">
        <f>HYPERLINK("https://pbs.twimg.com/media/FcEiRakX0AEnveA.png")</f>
        <v>https://pbs.twimg.com/media/FcEiRakX0AEnveA.png</v>
      </c>
      <c r="W92" s="78">
        <v>44811.74599537037</v>
      </c>
      <c r="X92" s="84">
        <v>44811</v>
      </c>
      <c r="Y92" s="81" t="s">
        <v>949</v>
      </c>
      <c r="Z92" s="79" t="str">
        <f>HYPERLINK("https://twitter.com/ipurdley/status/1567571962943111169")</f>
        <v>https://twitter.com/ipurdley/status/1567571962943111169</v>
      </c>
      <c r="AA92" s="76"/>
      <c r="AB92" s="76"/>
      <c r="AC92" s="81" t="s">
        <v>1280</v>
      </c>
      <c r="AD92" s="76"/>
      <c r="AE92" s="76" t="b">
        <v>0</v>
      </c>
      <c r="AF92" s="76">
        <v>0</v>
      </c>
      <c r="AG92" s="81" t="s">
        <v>1674</v>
      </c>
      <c r="AH92" s="76" t="b">
        <v>0</v>
      </c>
      <c r="AI92" s="76" t="s">
        <v>1772</v>
      </c>
      <c r="AJ92" s="76"/>
      <c r="AK92" s="81" t="s">
        <v>1674</v>
      </c>
      <c r="AL92" s="76" t="b">
        <v>0</v>
      </c>
      <c r="AM92" s="76">
        <v>0</v>
      </c>
      <c r="AN92" s="81" t="s">
        <v>1674</v>
      </c>
      <c r="AO92" s="81" t="s">
        <v>1808</v>
      </c>
      <c r="AP92" s="76" t="b">
        <v>0</v>
      </c>
      <c r="AQ92" s="81" t="s">
        <v>1280</v>
      </c>
      <c r="AR92" s="76" t="s">
        <v>219</v>
      </c>
      <c r="AS92" s="76">
        <v>0</v>
      </c>
      <c r="AT92" s="76">
        <v>0</v>
      </c>
      <c r="AU92" s="76"/>
      <c r="AV92" s="76"/>
      <c r="AW92" s="76"/>
      <c r="AX92" s="76"/>
      <c r="AY92" s="76"/>
      <c r="AZ92" s="76"/>
      <c r="BA92" s="76"/>
      <c r="BB92" s="76"/>
      <c r="BC92">
        <v>8</v>
      </c>
      <c r="BD92" s="75" t="str">
        <f>REPLACE(INDEX(GroupVertices[Group],MATCH(Edges[[#This Row],[Vertex 1]],GroupVertices[Vertex],0)),1,1,"")</f>
        <v>59</v>
      </c>
      <c r="BE92" s="75" t="str">
        <f>REPLACE(INDEX(GroupVertices[Group],MATCH(Edges[[#This Row],[Vertex 2]],GroupVertices[Vertex],0)),1,1,"")</f>
        <v>59</v>
      </c>
      <c r="BF92" s="45">
        <v>1</v>
      </c>
      <c r="BG92" s="46">
        <v>4</v>
      </c>
      <c r="BH92" s="45">
        <v>3</v>
      </c>
      <c r="BI92" s="46">
        <v>12</v>
      </c>
      <c r="BJ92" s="45">
        <v>0</v>
      </c>
      <c r="BK92" s="46">
        <v>0</v>
      </c>
      <c r="BL92" s="45">
        <v>21</v>
      </c>
      <c r="BM92" s="46">
        <v>84</v>
      </c>
      <c r="BN92" s="45">
        <v>25</v>
      </c>
    </row>
    <row r="93" spans="1:66" ht="15">
      <c r="A93" s="61" t="s">
        <v>304</v>
      </c>
      <c r="B93" s="61" t="s">
        <v>304</v>
      </c>
      <c r="C93" s="62" t="s">
        <v>4690</v>
      </c>
      <c r="D93" s="63">
        <v>7.916666666666666</v>
      </c>
      <c r="E93" s="62"/>
      <c r="F93" s="65">
        <v>29.583333333333332</v>
      </c>
      <c r="G93" s="62"/>
      <c r="H93" s="66"/>
      <c r="I93" s="67"/>
      <c r="J93" s="67"/>
      <c r="K93" s="31" t="s">
        <v>65</v>
      </c>
      <c r="L93" s="68">
        <v>93</v>
      </c>
      <c r="M93" s="68"/>
      <c r="N93" s="69"/>
      <c r="O93" s="76" t="s">
        <v>219</v>
      </c>
      <c r="P93" s="78">
        <v>44811.74880787037</v>
      </c>
      <c r="Q93" s="76" t="s">
        <v>619</v>
      </c>
      <c r="R93" s="76"/>
      <c r="S93" s="76"/>
      <c r="T93" s="81" t="s">
        <v>795</v>
      </c>
      <c r="U93" s="79" t="str">
        <f>HYPERLINK("https://pbs.twimg.com/media/FcEjTd0WYAEgVCM.jpg")</f>
        <v>https://pbs.twimg.com/media/FcEjTd0WYAEgVCM.jpg</v>
      </c>
      <c r="V93" s="79" t="str">
        <f>HYPERLINK("https://pbs.twimg.com/media/FcEjTd0WYAEgVCM.jpg")</f>
        <v>https://pbs.twimg.com/media/FcEjTd0WYAEgVCM.jpg</v>
      </c>
      <c r="W93" s="78">
        <v>44811.74880787037</v>
      </c>
      <c r="X93" s="84">
        <v>44811</v>
      </c>
      <c r="Y93" s="81" t="s">
        <v>950</v>
      </c>
      <c r="Z93" s="79" t="str">
        <f>HYPERLINK("https://twitter.com/ipurdley/status/1567572979466256388")</f>
        <v>https://twitter.com/ipurdley/status/1567572979466256388</v>
      </c>
      <c r="AA93" s="76"/>
      <c r="AB93" s="76"/>
      <c r="AC93" s="81" t="s">
        <v>1281</v>
      </c>
      <c r="AD93" s="76"/>
      <c r="AE93" s="76" t="b">
        <v>0</v>
      </c>
      <c r="AF93" s="76">
        <v>1</v>
      </c>
      <c r="AG93" s="81" t="s">
        <v>1674</v>
      </c>
      <c r="AH93" s="76" t="b">
        <v>0</v>
      </c>
      <c r="AI93" s="76" t="s">
        <v>1772</v>
      </c>
      <c r="AJ93" s="76"/>
      <c r="AK93" s="81" t="s">
        <v>1674</v>
      </c>
      <c r="AL93" s="76" t="b">
        <v>0</v>
      </c>
      <c r="AM93" s="76">
        <v>0</v>
      </c>
      <c r="AN93" s="81" t="s">
        <v>1674</v>
      </c>
      <c r="AO93" s="81" t="s">
        <v>1808</v>
      </c>
      <c r="AP93" s="76" t="b">
        <v>0</v>
      </c>
      <c r="AQ93" s="81" t="s">
        <v>1281</v>
      </c>
      <c r="AR93" s="76" t="s">
        <v>219</v>
      </c>
      <c r="AS93" s="76">
        <v>0</v>
      </c>
      <c r="AT93" s="76">
        <v>0</v>
      </c>
      <c r="AU93" s="76"/>
      <c r="AV93" s="76"/>
      <c r="AW93" s="76"/>
      <c r="AX93" s="76"/>
      <c r="AY93" s="76"/>
      <c r="AZ93" s="76"/>
      <c r="BA93" s="76"/>
      <c r="BB93" s="76"/>
      <c r="BC93">
        <v>8</v>
      </c>
      <c r="BD93" s="75" t="str">
        <f>REPLACE(INDEX(GroupVertices[Group],MATCH(Edges[[#This Row],[Vertex 1]],GroupVertices[Vertex],0)),1,1,"")</f>
        <v>59</v>
      </c>
      <c r="BE93" s="75" t="str">
        <f>REPLACE(INDEX(GroupVertices[Group],MATCH(Edges[[#This Row],[Vertex 2]],GroupVertices[Vertex],0)),1,1,"")</f>
        <v>59</v>
      </c>
      <c r="BF93" s="45">
        <v>1</v>
      </c>
      <c r="BG93" s="46">
        <v>4.166666666666667</v>
      </c>
      <c r="BH93" s="45">
        <v>2</v>
      </c>
      <c r="BI93" s="46">
        <v>8.333333333333334</v>
      </c>
      <c r="BJ93" s="45">
        <v>0</v>
      </c>
      <c r="BK93" s="46">
        <v>0</v>
      </c>
      <c r="BL93" s="45">
        <v>21</v>
      </c>
      <c r="BM93" s="46">
        <v>87.5</v>
      </c>
      <c r="BN93" s="45">
        <v>24</v>
      </c>
    </row>
    <row r="94" spans="1:66" ht="15">
      <c r="A94" s="61" t="s">
        <v>304</v>
      </c>
      <c r="B94" s="61" t="s">
        <v>304</v>
      </c>
      <c r="C94" s="62" t="s">
        <v>4690</v>
      </c>
      <c r="D94" s="63">
        <v>7.916666666666666</v>
      </c>
      <c r="E94" s="62"/>
      <c r="F94" s="65">
        <v>29.583333333333332</v>
      </c>
      <c r="G94" s="62"/>
      <c r="H94" s="66"/>
      <c r="I94" s="67"/>
      <c r="J94" s="67"/>
      <c r="K94" s="31" t="s">
        <v>65</v>
      </c>
      <c r="L94" s="68">
        <v>94</v>
      </c>
      <c r="M94" s="68"/>
      <c r="N94" s="69"/>
      <c r="O94" s="76" t="s">
        <v>219</v>
      </c>
      <c r="P94" s="78">
        <v>44811.76733796296</v>
      </c>
      <c r="Q94" s="76" t="s">
        <v>620</v>
      </c>
      <c r="R94" s="76"/>
      <c r="S94" s="76"/>
      <c r="T94" s="81" t="s">
        <v>813</v>
      </c>
      <c r="U94" s="76"/>
      <c r="V94" s="79" t="str">
        <f>HYPERLINK("https://pbs.twimg.com/profile_images/1503799462816362496/bFBp6Bca_normal.jpg")</f>
        <v>https://pbs.twimg.com/profile_images/1503799462816362496/bFBp6Bca_normal.jpg</v>
      </c>
      <c r="W94" s="78">
        <v>44811.76733796296</v>
      </c>
      <c r="X94" s="84">
        <v>44811</v>
      </c>
      <c r="Y94" s="81" t="s">
        <v>951</v>
      </c>
      <c r="Z94" s="79" t="str">
        <f>HYPERLINK("https://twitter.com/ipurdley/status/1567579696090562560")</f>
        <v>https://twitter.com/ipurdley/status/1567579696090562560</v>
      </c>
      <c r="AA94" s="76"/>
      <c r="AB94" s="76"/>
      <c r="AC94" s="81" t="s">
        <v>1282</v>
      </c>
      <c r="AD94" s="76"/>
      <c r="AE94" s="76" t="b">
        <v>0</v>
      </c>
      <c r="AF94" s="76">
        <v>2</v>
      </c>
      <c r="AG94" s="81" t="s">
        <v>1674</v>
      </c>
      <c r="AH94" s="76" t="b">
        <v>0</v>
      </c>
      <c r="AI94" s="76" t="s">
        <v>1772</v>
      </c>
      <c r="AJ94" s="76"/>
      <c r="AK94" s="81" t="s">
        <v>1674</v>
      </c>
      <c r="AL94" s="76" t="b">
        <v>0</v>
      </c>
      <c r="AM94" s="76">
        <v>1</v>
      </c>
      <c r="AN94" s="81" t="s">
        <v>1674</v>
      </c>
      <c r="AO94" s="81" t="s">
        <v>1808</v>
      </c>
      <c r="AP94" s="76" t="b">
        <v>0</v>
      </c>
      <c r="AQ94" s="81" t="s">
        <v>1282</v>
      </c>
      <c r="AR94" s="76" t="s">
        <v>219</v>
      </c>
      <c r="AS94" s="76">
        <v>0</v>
      </c>
      <c r="AT94" s="76">
        <v>0</v>
      </c>
      <c r="AU94" s="76"/>
      <c r="AV94" s="76"/>
      <c r="AW94" s="76"/>
      <c r="AX94" s="76"/>
      <c r="AY94" s="76"/>
      <c r="AZ94" s="76"/>
      <c r="BA94" s="76"/>
      <c r="BB94" s="76"/>
      <c r="BC94">
        <v>8</v>
      </c>
      <c r="BD94" s="75" t="str">
        <f>REPLACE(INDEX(GroupVertices[Group],MATCH(Edges[[#This Row],[Vertex 1]],GroupVertices[Vertex],0)),1,1,"")</f>
        <v>59</v>
      </c>
      <c r="BE94" s="75" t="str">
        <f>REPLACE(INDEX(GroupVertices[Group],MATCH(Edges[[#This Row],[Vertex 2]],GroupVertices[Vertex],0)),1,1,"")</f>
        <v>59</v>
      </c>
      <c r="BF94" s="45">
        <v>0</v>
      </c>
      <c r="BG94" s="46">
        <v>0</v>
      </c>
      <c r="BH94" s="45">
        <v>3</v>
      </c>
      <c r="BI94" s="46">
        <v>6.382978723404255</v>
      </c>
      <c r="BJ94" s="45">
        <v>0</v>
      </c>
      <c r="BK94" s="46">
        <v>0</v>
      </c>
      <c r="BL94" s="45">
        <v>44</v>
      </c>
      <c r="BM94" s="46">
        <v>93.61702127659575</v>
      </c>
      <c r="BN94" s="45">
        <v>47</v>
      </c>
    </row>
    <row r="95" spans="1:66" ht="15">
      <c r="A95" s="61" t="s">
        <v>304</v>
      </c>
      <c r="B95" s="61" t="s">
        <v>304</v>
      </c>
      <c r="C95" s="62" t="s">
        <v>4690</v>
      </c>
      <c r="D95" s="63">
        <v>7.916666666666666</v>
      </c>
      <c r="E95" s="62"/>
      <c r="F95" s="65">
        <v>29.583333333333332</v>
      </c>
      <c r="G95" s="62"/>
      <c r="H95" s="66"/>
      <c r="I95" s="67"/>
      <c r="J95" s="67"/>
      <c r="K95" s="31" t="s">
        <v>65</v>
      </c>
      <c r="L95" s="68">
        <v>95</v>
      </c>
      <c r="M95" s="68"/>
      <c r="N95" s="69"/>
      <c r="O95" s="76" t="s">
        <v>219</v>
      </c>
      <c r="P95" s="78">
        <v>44811.8881712963</v>
      </c>
      <c r="Q95" s="76" t="s">
        <v>621</v>
      </c>
      <c r="R95" s="79" t="str">
        <f>HYPERLINK("https://twitter.com/AniaKoniec/status/1567616706171764737")</f>
        <v>https://twitter.com/AniaKoniec/status/1567616706171764737</v>
      </c>
      <c r="S95" s="76" t="s">
        <v>783</v>
      </c>
      <c r="T95" s="81" t="s">
        <v>795</v>
      </c>
      <c r="U95" s="76"/>
      <c r="V95" s="79" t="str">
        <f>HYPERLINK("https://pbs.twimg.com/profile_images/1503799462816362496/bFBp6Bca_normal.jpg")</f>
        <v>https://pbs.twimg.com/profile_images/1503799462816362496/bFBp6Bca_normal.jpg</v>
      </c>
      <c r="W95" s="78">
        <v>44811.8881712963</v>
      </c>
      <c r="X95" s="84">
        <v>44811</v>
      </c>
      <c r="Y95" s="81" t="s">
        <v>952</v>
      </c>
      <c r="Z95" s="79" t="str">
        <f>HYPERLINK("https://twitter.com/ipurdley/status/1567623485891002368")</f>
        <v>https://twitter.com/ipurdley/status/1567623485891002368</v>
      </c>
      <c r="AA95" s="76"/>
      <c r="AB95" s="76"/>
      <c r="AC95" s="81" t="s">
        <v>1283</v>
      </c>
      <c r="AD95" s="76"/>
      <c r="AE95" s="76" t="b">
        <v>0</v>
      </c>
      <c r="AF95" s="76">
        <v>1</v>
      </c>
      <c r="AG95" s="81" t="s">
        <v>1674</v>
      </c>
      <c r="AH95" s="76" t="b">
        <v>1</v>
      </c>
      <c r="AI95" s="76" t="s">
        <v>1772</v>
      </c>
      <c r="AJ95" s="76"/>
      <c r="AK95" s="81" t="s">
        <v>1791</v>
      </c>
      <c r="AL95" s="76" t="b">
        <v>0</v>
      </c>
      <c r="AM95" s="76">
        <v>0</v>
      </c>
      <c r="AN95" s="81" t="s">
        <v>1674</v>
      </c>
      <c r="AO95" s="81" t="s">
        <v>1808</v>
      </c>
      <c r="AP95" s="76" t="b">
        <v>0</v>
      </c>
      <c r="AQ95" s="81" t="s">
        <v>1283</v>
      </c>
      <c r="AR95" s="76" t="s">
        <v>219</v>
      </c>
      <c r="AS95" s="76">
        <v>0</v>
      </c>
      <c r="AT95" s="76">
        <v>0</v>
      </c>
      <c r="AU95" s="76"/>
      <c r="AV95" s="76"/>
      <c r="AW95" s="76"/>
      <c r="AX95" s="76"/>
      <c r="AY95" s="76"/>
      <c r="AZ95" s="76"/>
      <c r="BA95" s="76"/>
      <c r="BB95" s="76"/>
      <c r="BC95">
        <v>8</v>
      </c>
      <c r="BD95" s="75" t="str">
        <f>REPLACE(INDEX(GroupVertices[Group],MATCH(Edges[[#This Row],[Vertex 1]],GroupVertices[Vertex],0)),1,1,"")</f>
        <v>59</v>
      </c>
      <c r="BE95" s="75" t="str">
        <f>REPLACE(INDEX(GroupVertices[Group],MATCH(Edges[[#This Row],[Vertex 2]],GroupVertices[Vertex],0)),1,1,"")</f>
        <v>59</v>
      </c>
      <c r="BF95" s="45">
        <v>1</v>
      </c>
      <c r="BG95" s="46">
        <v>5.2631578947368425</v>
      </c>
      <c r="BH95" s="45">
        <v>0</v>
      </c>
      <c r="BI95" s="46">
        <v>0</v>
      </c>
      <c r="BJ95" s="45">
        <v>0</v>
      </c>
      <c r="BK95" s="46">
        <v>0</v>
      </c>
      <c r="BL95" s="45">
        <v>18</v>
      </c>
      <c r="BM95" s="46">
        <v>94.73684210526316</v>
      </c>
      <c r="BN95" s="45">
        <v>19</v>
      </c>
    </row>
    <row r="96" spans="1:66" ht="15">
      <c r="A96" s="61" t="s">
        <v>304</v>
      </c>
      <c r="B96" s="61" t="s">
        <v>304</v>
      </c>
      <c r="C96" s="62" t="s">
        <v>4690</v>
      </c>
      <c r="D96" s="63">
        <v>7.916666666666666</v>
      </c>
      <c r="E96" s="62"/>
      <c r="F96" s="65">
        <v>29.583333333333332</v>
      </c>
      <c r="G96" s="62"/>
      <c r="H96" s="66"/>
      <c r="I96" s="67"/>
      <c r="J96" s="67"/>
      <c r="K96" s="31" t="s">
        <v>65</v>
      </c>
      <c r="L96" s="68">
        <v>96</v>
      </c>
      <c r="M96" s="68"/>
      <c r="N96" s="69"/>
      <c r="O96" s="76" t="s">
        <v>219</v>
      </c>
      <c r="P96" s="78">
        <v>44813.86153935185</v>
      </c>
      <c r="Q96" s="76" t="s">
        <v>622</v>
      </c>
      <c r="R96" s="79" t="str">
        <f>HYPERLINK("https://twitter.com/LanguageIearner/status/1568012944285507584")</f>
        <v>https://twitter.com/LanguageIearner/status/1568012944285507584</v>
      </c>
      <c r="S96" s="76" t="s">
        <v>783</v>
      </c>
      <c r="T96" s="81" t="s">
        <v>814</v>
      </c>
      <c r="U96" s="76"/>
      <c r="V96" s="79" t="str">
        <f>HYPERLINK("https://pbs.twimg.com/profile_images/1503799462816362496/bFBp6Bca_normal.jpg")</f>
        <v>https://pbs.twimg.com/profile_images/1503799462816362496/bFBp6Bca_normal.jpg</v>
      </c>
      <c r="W96" s="78">
        <v>44813.86153935185</v>
      </c>
      <c r="X96" s="84">
        <v>44813</v>
      </c>
      <c r="Y96" s="81" t="s">
        <v>953</v>
      </c>
      <c r="Z96" s="79" t="str">
        <f>HYPERLINK("https://twitter.com/ipurdley/status/1568338608444112902")</f>
        <v>https://twitter.com/ipurdley/status/1568338608444112902</v>
      </c>
      <c r="AA96" s="76"/>
      <c r="AB96" s="76"/>
      <c r="AC96" s="81" t="s">
        <v>1284</v>
      </c>
      <c r="AD96" s="76"/>
      <c r="AE96" s="76" t="b">
        <v>0</v>
      </c>
      <c r="AF96" s="76">
        <v>0</v>
      </c>
      <c r="AG96" s="81" t="s">
        <v>1674</v>
      </c>
      <c r="AH96" s="76" t="b">
        <v>1</v>
      </c>
      <c r="AI96" s="76" t="s">
        <v>1772</v>
      </c>
      <c r="AJ96" s="76"/>
      <c r="AK96" s="81" t="s">
        <v>1792</v>
      </c>
      <c r="AL96" s="76" t="b">
        <v>0</v>
      </c>
      <c r="AM96" s="76">
        <v>0</v>
      </c>
      <c r="AN96" s="81" t="s">
        <v>1674</v>
      </c>
      <c r="AO96" s="81" t="s">
        <v>1808</v>
      </c>
      <c r="AP96" s="76" t="b">
        <v>0</v>
      </c>
      <c r="AQ96" s="81" t="s">
        <v>1284</v>
      </c>
      <c r="AR96" s="76" t="s">
        <v>219</v>
      </c>
      <c r="AS96" s="76">
        <v>0</v>
      </c>
      <c r="AT96" s="76">
        <v>0</v>
      </c>
      <c r="AU96" s="76"/>
      <c r="AV96" s="76"/>
      <c r="AW96" s="76"/>
      <c r="AX96" s="76"/>
      <c r="AY96" s="76"/>
      <c r="AZ96" s="76"/>
      <c r="BA96" s="76"/>
      <c r="BB96" s="76"/>
      <c r="BC96">
        <v>8</v>
      </c>
      <c r="BD96" s="75" t="str">
        <f>REPLACE(INDEX(GroupVertices[Group],MATCH(Edges[[#This Row],[Vertex 1]],GroupVertices[Vertex],0)),1,1,"")</f>
        <v>59</v>
      </c>
      <c r="BE96" s="75" t="str">
        <f>REPLACE(INDEX(GroupVertices[Group],MATCH(Edges[[#This Row],[Vertex 2]],GroupVertices[Vertex],0)),1,1,"")</f>
        <v>59</v>
      </c>
      <c r="BF96" s="45">
        <v>1</v>
      </c>
      <c r="BG96" s="46">
        <v>4.166666666666667</v>
      </c>
      <c r="BH96" s="45">
        <v>1</v>
      </c>
      <c r="BI96" s="46">
        <v>4.166666666666667</v>
      </c>
      <c r="BJ96" s="45">
        <v>0</v>
      </c>
      <c r="BK96" s="46">
        <v>0</v>
      </c>
      <c r="BL96" s="45">
        <v>22</v>
      </c>
      <c r="BM96" s="46">
        <v>91.66666666666667</v>
      </c>
      <c r="BN96" s="45">
        <v>24</v>
      </c>
    </row>
    <row r="97" spans="1:66" ht="15">
      <c r="A97" s="61" t="s">
        <v>304</v>
      </c>
      <c r="B97" s="61" t="s">
        <v>304</v>
      </c>
      <c r="C97" s="62" t="s">
        <v>4690</v>
      </c>
      <c r="D97" s="63">
        <v>7.916666666666666</v>
      </c>
      <c r="E97" s="62"/>
      <c r="F97" s="65">
        <v>29.583333333333332</v>
      </c>
      <c r="G97" s="62"/>
      <c r="H97" s="66"/>
      <c r="I97" s="67"/>
      <c r="J97" s="67"/>
      <c r="K97" s="31" t="s">
        <v>65</v>
      </c>
      <c r="L97" s="68">
        <v>97</v>
      </c>
      <c r="M97" s="68"/>
      <c r="N97" s="69"/>
      <c r="O97" s="76" t="s">
        <v>219</v>
      </c>
      <c r="P97" s="78">
        <v>44813.868368055555</v>
      </c>
      <c r="Q97" s="76" t="s">
        <v>623</v>
      </c>
      <c r="R97" s="76"/>
      <c r="S97" s="76"/>
      <c r="T97" s="81" t="s">
        <v>815</v>
      </c>
      <c r="U97" s="79" t="str">
        <f>HYPERLINK("https://pbs.twimg.com/media/FcPddHvWAAIAEel.jpg")</f>
        <v>https://pbs.twimg.com/media/FcPddHvWAAIAEel.jpg</v>
      </c>
      <c r="V97" s="79" t="str">
        <f>HYPERLINK("https://pbs.twimg.com/media/FcPddHvWAAIAEel.jpg")</f>
        <v>https://pbs.twimg.com/media/FcPddHvWAAIAEel.jpg</v>
      </c>
      <c r="W97" s="78">
        <v>44813.868368055555</v>
      </c>
      <c r="X97" s="84">
        <v>44813</v>
      </c>
      <c r="Y97" s="81" t="s">
        <v>954</v>
      </c>
      <c r="Z97" s="79" t="str">
        <f>HYPERLINK("https://twitter.com/ipurdley/status/1568341083272216576")</f>
        <v>https://twitter.com/ipurdley/status/1568341083272216576</v>
      </c>
      <c r="AA97" s="76"/>
      <c r="AB97" s="76"/>
      <c r="AC97" s="81" t="s">
        <v>1285</v>
      </c>
      <c r="AD97" s="76"/>
      <c r="AE97" s="76" t="b">
        <v>0</v>
      </c>
      <c r="AF97" s="76">
        <v>0</v>
      </c>
      <c r="AG97" s="81" t="s">
        <v>1674</v>
      </c>
      <c r="AH97" s="76" t="b">
        <v>0</v>
      </c>
      <c r="AI97" s="76" t="s">
        <v>1772</v>
      </c>
      <c r="AJ97" s="76"/>
      <c r="AK97" s="81" t="s">
        <v>1674</v>
      </c>
      <c r="AL97" s="76" t="b">
        <v>0</v>
      </c>
      <c r="AM97" s="76">
        <v>0</v>
      </c>
      <c r="AN97" s="81" t="s">
        <v>1674</v>
      </c>
      <c r="AO97" s="81" t="s">
        <v>1808</v>
      </c>
      <c r="AP97" s="76" t="b">
        <v>0</v>
      </c>
      <c r="AQ97" s="81" t="s">
        <v>1285</v>
      </c>
      <c r="AR97" s="76" t="s">
        <v>219</v>
      </c>
      <c r="AS97" s="76">
        <v>0</v>
      </c>
      <c r="AT97" s="76">
        <v>0</v>
      </c>
      <c r="AU97" s="76"/>
      <c r="AV97" s="76"/>
      <c r="AW97" s="76"/>
      <c r="AX97" s="76"/>
      <c r="AY97" s="76"/>
      <c r="AZ97" s="76"/>
      <c r="BA97" s="76"/>
      <c r="BB97" s="76"/>
      <c r="BC97">
        <v>8</v>
      </c>
      <c r="BD97" s="75" t="str">
        <f>REPLACE(INDEX(GroupVertices[Group],MATCH(Edges[[#This Row],[Vertex 1]],GroupVertices[Vertex],0)),1,1,"")</f>
        <v>59</v>
      </c>
      <c r="BE97" s="75" t="str">
        <f>REPLACE(INDEX(GroupVertices[Group],MATCH(Edges[[#This Row],[Vertex 2]],GroupVertices[Vertex],0)),1,1,"")</f>
        <v>59</v>
      </c>
      <c r="BF97" s="45">
        <v>1</v>
      </c>
      <c r="BG97" s="46">
        <v>3.3333333333333335</v>
      </c>
      <c r="BH97" s="45">
        <v>1</v>
      </c>
      <c r="BI97" s="46">
        <v>3.3333333333333335</v>
      </c>
      <c r="BJ97" s="45">
        <v>0</v>
      </c>
      <c r="BK97" s="46">
        <v>0</v>
      </c>
      <c r="BL97" s="45">
        <v>28</v>
      </c>
      <c r="BM97" s="46">
        <v>93.33333333333333</v>
      </c>
      <c r="BN97" s="45">
        <v>30</v>
      </c>
    </row>
    <row r="98" spans="1:66" ht="15">
      <c r="A98" s="61" t="s">
        <v>305</v>
      </c>
      <c r="B98" s="61" t="s">
        <v>305</v>
      </c>
      <c r="C98" s="62" t="s">
        <v>4688</v>
      </c>
      <c r="D98" s="63">
        <v>5</v>
      </c>
      <c r="E98" s="62"/>
      <c r="F98" s="65">
        <v>50</v>
      </c>
      <c r="G98" s="62"/>
      <c r="H98" s="66"/>
      <c r="I98" s="67"/>
      <c r="J98" s="67"/>
      <c r="K98" s="31" t="s">
        <v>65</v>
      </c>
      <c r="L98" s="68">
        <v>98</v>
      </c>
      <c r="M98" s="68"/>
      <c r="N98" s="69"/>
      <c r="O98" s="76" t="s">
        <v>219</v>
      </c>
      <c r="P98" s="78">
        <v>44813.902094907404</v>
      </c>
      <c r="Q98" s="76" t="s">
        <v>624</v>
      </c>
      <c r="R98" s="76"/>
      <c r="S98" s="76"/>
      <c r="T98" s="81" t="s">
        <v>795</v>
      </c>
      <c r="U98" s="79" t="str">
        <f>HYPERLINK("https://pbs.twimg.com/media/FcPpBEWXEAErcAY.jpg")</f>
        <v>https://pbs.twimg.com/media/FcPpBEWXEAErcAY.jpg</v>
      </c>
      <c r="V98" s="79" t="str">
        <f>HYPERLINK("https://pbs.twimg.com/media/FcPpBEWXEAErcAY.jpg")</f>
        <v>https://pbs.twimg.com/media/FcPpBEWXEAErcAY.jpg</v>
      </c>
      <c r="W98" s="78">
        <v>44813.902094907404</v>
      </c>
      <c r="X98" s="84">
        <v>44813</v>
      </c>
      <c r="Y98" s="81" t="s">
        <v>955</v>
      </c>
      <c r="Z98" s="79" t="str">
        <f>HYPERLINK("https://twitter.com/tovarischbot/status/1568353305343950848")</f>
        <v>https://twitter.com/tovarischbot/status/1568353305343950848</v>
      </c>
      <c r="AA98" s="76"/>
      <c r="AB98" s="76"/>
      <c r="AC98" s="81" t="s">
        <v>1286</v>
      </c>
      <c r="AD98" s="76"/>
      <c r="AE98" s="76" t="b">
        <v>0</v>
      </c>
      <c r="AF98" s="76">
        <v>1</v>
      </c>
      <c r="AG98" s="81" t="s">
        <v>1674</v>
      </c>
      <c r="AH98" s="76" t="b">
        <v>0</v>
      </c>
      <c r="AI98" s="76" t="s">
        <v>1773</v>
      </c>
      <c r="AJ98" s="76"/>
      <c r="AK98" s="81" t="s">
        <v>1674</v>
      </c>
      <c r="AL98" s="76" t="b">
        <v>0</v>
      </c>
      <c r="AM98" s="76">
        <v>0</v>
      </c>
      <c r="AN98" s="81" t="s">
        <v>1674</v>
      </c>
      <c r="AO98" s="81" t="s">
        <v>1807</v>
      </c>
      <c r="AP98" s="76" t="b">
        <v>0</v>
      </c>
      <c r="AQ98" s="81" t="s">
        <v>1286</v>
      </c>
      <c r="AR98" s="76" t="s">
        <v>219</v>
      </c>
      <c r="AS98" s="76">
        <v>0</v>
      </c>
      <c r="AT98" s="76">
        <v>0</v>
      </c>
      <c r="AU98" s="76"/>
      <c r="AV98" s="76"/>
      <c r="AW98" s="76"/>
      <c r="AX98" s="76"/>
      <c r="AY98" s="76"/>
      <c r="AZ98" s="76"/>
      <c r="BA98" s="76"/>
      <c r="BB98" s="76"/>
      <c r="BC98">
        <v>1</v>
      </c>
      <c r="BD98" s="75" t="str">
        <f>REPLACE(INDEX(GroupVertices[Group],MATCH(Edges[[#This Row],[Vertex 1]],GroupVertices[Vertex],0)),1,1,"")</f>
        <v>2</v>
      </c>
      <c r="BE98" s="75" t="str">
        <f>REPLACE(INDEX(GroupVertices[Group],MATCH(Edges[[#This Row],[Vertex 2]],GroupVertices[Vertex],0)),1,1,"")</f>
        <v>2</v>
      </c>
      <c r="BF98" s="45">
        <v>0</v>
      </c>
      <c r="BG98" s="46">
        <v>0</v>
      </c>
      <c r="BH98" s="45">
        <v>0</v>
      </c>
      <c r="BI98" s="46">
        <v>0</v>
      </c>
      <c r="BJ98" s="45">
        <v>0</v>
      </c>
      <c r="BK98" s="46">
        <v>0</v>
      </c>
      <c r="BL98" s="45">
        <v>1</v>
      </c>
      <c r="BM98" s="46">
        <v>100</v>
      </c>
      <c r="BN98" s="45">
        <v>1</v>
      </c>
    </row>
    <row r="99" spans="1:66" ht="15">
      <c r="A99" s="61" t="s">
        <v>306</v>
      </c>
      <c r="B99" s="61" t="s">
        <v>466</v>
      </c>
      <c r="C99" s="62" t="s">
        <v>4688</v>
      </c>
      <c r="D99" s="63">
        <v>5</v>
      </c>
      <c r="E99" s="62"/>
      <c r="F99" s="65">
        <v>50</v>
      </c>
      <c r="G99" s="62"/>
      <c r="H99" s="66"/>
      <c r="I99" s="67"/>
      <c r="J99" s="67"/>
      <c r="K99" s="31" t="s">
        <v>65</v>
      </c>
      <c r="L99" s="68">
        <v>99</v>
      </c>
      <c r="M99" s="68"/>
      <c r="N99" s="69"/>
      <c r="O99" s="76" t="s">
        <v>588</v>
      </c>
      <c r="P99" s="78">
        <v>44813.905486111114</v>
      </c>
      <c r="Q99" s="76" t="s">
        <v>625</v>
      </c>
      <c r="R99" s="76"/>
      <c r="S99" s="76"/>
      <c r="T99" s="81" t="s">
        <v>816</v>
      </c>
      <c r="U99" s="79" t="str">
        <f>HYPERLINK("https://pbs.twimg.com/ext_tw_video_thumb/1568353306099044354/pu/img/9qI-Rqr-0zaSOPf2.jpg")</f>
        <v>https://pbs.twimg.com/ext_tw_video_thumb/1568353306099044354/pu/img/9qI-Rqr-0zaSOPf2.jpg</v>
      </c>
      <c r="V99" s="79" t="str">
        <f>HYPERLINK("https://pbs.twimg.com/ext_tw_video_thumb/1568353306099044354/pu/img/9qI-Rqr-0zaSOPf2.jpg")</f>
        <v>https://pbs.twimg.com/ext_tw_video_thumb/1568353306099044354/pu/img/9qI-Rqr-0zaSOPf2.jpg</v>
      </c>
      <c r="W99" s="78">
        <v>44813.905486111114</v>
      </c>
      <c r="X99" s="84">
        <v>44813</v>
      </c>
      <c r="Y99" s="81" t="s">
        <v>956</v>
      </c>
      <c r="Z99" s="79" t="str">
        <f>HYPERLINK("https://twitter.com/conservatnik228/status/1568354534065577984")</f>
        <v>https://twitter.com/conservatnik228/status/1568354534065577984</v>
      </c>
      <c r="AA99" s="76"/>
      <c r="AB99" s="76"/>
      <c r="AC99" s="81" t="s">
        <v>1287</v>
      </c>
      <c r="AD99" s="81" t="s">
        <v>1577</v>
      </c>
      <c r="AE99" s="76" t="b">
        <v>0</v>
      </c>
      <c r="AF99" s="76">
        <v>0</v>
      </c>
      <c r="AG99" s="81" t="s">
        <v>1687</v>
      </c>
      <c r="AH99" s="76" t="b">
        <v>0</v>
      </c>
      <c r="AI99" s="76" t="s">
        <v>1773</v>
      </c>
      <c r="AJ99" s="76"/>
      <c r="AK99" s="81" t="s">
        <v>1674</v>
      </c>
      <c r="AL99" s="76" t="b">
        <v>0</v>
      </c>
      <c r="AM99" s="76">
        <v>0</v>
      </c>
      <c r="AN99" s="81" t="s">
        <v>1674</v>
      </c>
      <c r="AO99" s="81" t="s">
        <v>1808</v>
      </c>
      <c r="AP99" s="76" t="b">
        <v>0</v>
      </c>
      <c r="AQ99" s="81" t="s">
        <v>1577</v>
      </c>
      <c r="AR99" s="76" t="s">
        <v>219</v>
      </c>
      <c r="AS99" s="76">
        <v>0</v>
      </c>
      <c r="AT99" s="76">
        <v>0</v>
      </c>
      <c r="AU99" s="76"/>
      <c r="AV99" s="76"/>
      <c r="AW99" s="76"/>
      <c r="AX99" s="76"/>
      <c r="AY99" s="76"/>
      <c r="AZ99" s="76"/>
      <c r="BA99" s="76"/>
      <c r="BB99" s="76"/>
      <c r="BC99">
        <v>1</v>
      </c>
      <c r="BD99" s="75" t="str">
        <f>REPLACE(INDEX(GroupVertices[Group],MATCH(Edges[[#This Row],[Vertex 1]],GroupVertices[Vertex],0)),1,1,"")</f>
        <v>36</v>
      </c>
      <c r="BE99" s="75" t="str">
        <f>REPLACE(INDEX(GroupVertices[Group],MATCH(Edges[[#This Row],[Vertex 2]],GroupVertices[Vertex],0)),1,1,"")</f>
        <v>36</v>
      </c>
      <c r="BF99" s="45"/>
      <c r="BG99" s="46"/>
      <c r="BH99" s="45"/>
      <c r="BI99" s="46"/>
      <c r="BJ99" s="45"/>
      <c r="BK99" s="46"/>
      <c r="BL99" s="45"/>
      <c r="BM99" s="46"/>
      <c r="BN99" s="45"/>
    </row>
    <row r="100" spans="1:66" ht="15">
      <c r="A100" s="61" t="s">
        <v>306</v>
      </c>
      <c r="B100" s="61" t="s">
        <v>467</v>
      </c>
      <c r="C100" s="62" t="s">
        <v>4688</v>
      </c>
      <c r="D100" s="63">
        <v>5</v>
      </c>
      <c r="E100" s="62"/>
      <c r="F100" s="65">
        <v>50</v>
      </c>
      <c r="G100" s="62"/>
      <c r="H100" s="66"/>
      <c r="I100" s="67"/>
      <c r="J100" s="67"/>
      <c r="K100" s="31" t="s">
        <v>65</v>
      </c>
      <c r="L100" s="68">
        <v>100</v>
      </c>
      <c r="M100" s="68"/>
      <c r="N100" s="69"/>
      <c r="O100" s="76" t="s">
        <v>587</v>
      </c>
      <c r="P100" s="78">
        <v>44813.905486111114</v>
      </c>
      <c r="Q100" s="76" t="s">
        <v>625</v>
      </c>
      <c r="R100" s="76"/>
      <c r="S100" s="76"/>
      <c r="T100" s="81" t="s">
        <v>816</v>
      </c>
      <c r="U100" s="79" t="str">
        <f>HYPERLINK("https://pbs.twimg.com/ext_tw_video_thumb/1568353306099044354/pu/img/9qI-Rqr-0zaSOPf2.jpg")</f>
        <v>https://pbs.twimg.com/ext_tw_video_thumb/1568353306099044354/pu/img/9qI-Rqr-0zaSOPf2.jpg</v>
      </c>
      <c r="V100" s="79" t="str">
        <f>HYPERLINK("https://pbs.twimg.com/ext_tw_video_thumb/1568353306099044354/pu/img/9qI-Rqr-0zaSOPf2.jpg")</f>
        <v>https://pbs.twimg.com/ext_tw_video_thumb/1568353306099044354/pu/img/9qI-Rqr-0zaSOPf2.jpg</v>
      </c>
      <c r="W100" s="78">
        <v>44813.905486111114</v>
      </c>
      <c r="X100" s="84">
        <v>44813</v>
      </c>
      <c r="Y100" s="81" t="s">
        <v>956</v>
      </c>
      <c r="Z100" s="79" t="str">
        <f>HYPERLINK("https://twitter.com/conservatnik228/status/1568354534065577984")</f>
        <v>https://twitter.com/conservatnik228/status/1568354534065577984</v>
      </c>
      <c r="AA100" s="76"/>
      <c r="AB100" s="76"/>
      <c r="AC100" s="81" t="s">
        <v>1287</v>
      </c>
      <c r="AD100" s="81" t="s">
        <v>1577</v>
      </c>
      <c r="AE100" s="76" t="b">
        <v>0</v>
      </c>
      <c r="AF100" s="76">
        <v>0</v>
      </c>
      <c r="AG100" s="81" t="s">
        <v>1687</v>
      </c>
      <c r="AH100" s="76" t="b">
        <v>0</v>
      </c>
      <c r="AI100" s="76" t="s">
        <v>1773</v>
      </c>
      <c r="AJ100" s="76"/>
      <c r="AK100" s="81" t="s">
        <v>1674</v>
      </c>
      <c r="AL100" s="76" t="b">
        <v>0</v>
      </c>
      <c r="AM100" s="76">
        <v>0</v>
      </c>
      <c r="AN100" s="81" t="s">
        <v>1674</v>
      </c>
      <c r="AO100" s="81" t="s">
        <v>1808</v>
      </c>
      <c r="AP100" s="76" t="b">
        <v>0</v>
      </c>
      <c r="AQ100" s="81" t="s">
        <v>1577</v>
      </c>
      <c r="AR100" s="76" t="s">
        <v>219</v>
      </c>
      <c r="AS100" s="76">
        <v>0</v>
      </c>
      <c r="AT100" s="76">
        <v>0</v>
      </c>
      <c r="AU100" s="76"/>
      <c r="AV100" s="76"/>
      <c r="AW100" s="76"/>
      <c r="AX100" s="76"/>
      <c r="AY100" s="76"/>
      <c r="AZ100" s="76"/>
      <c r="BA100" s="76"/>
      <c r="BB100" s="76"/>
      <c r="BC100">
        <v>1</v>
      </c>
      <c r="BD100" s="75" t="str">
        <f>REPLACE(INDEX(GroupVertices[Group],MATCH(Edges[[#This Row],[Vertex 1]],GroupVertices[Vertex],0)),1,1,"")</f>
        <v>36</v>
      </c>
      <c r="BE100" s="75" t="str">
        <f>REPLACE(INDEX(GroupVertices[Group],MATCH(Edges[[#This Row],[Vertex 2]],GroupVertices[Vertex],0)),1,1,"")</f>
        <v>36</v>
      </c>
      <c r="BF100" s="45">
        <v>0</v>
      </c>
      <c r="BG100" s="46">
        <v>0</v>
      </c>
      <c r="BH100" s="45">
        <v>0</v>
      </c>
      <c r="BI100" s="46">
        <v>0</v>
      </c>
      <c r="BJ100" s="45">
        <v>0</v>
      </c>
      <c r="BK100" s="46">
        <v>0</v>
      </c>
      <c r="BL100" s="45">
        <v>6</v>
      </c>
      <c r="BM100" s="46">
        <v>100</v>
      </c>
      <c r="BN100" s="45">
        <v>6</v>
      </c>
    </row>
    <row r="101" spans="1:66" ht="15">
      <c r="A101" s="61" t="s">
        <v>307</v>
      </c>
      <c r="B101" s="61" t="s">
        <v>311</v>
      </c>
      <c r="C101" s="62" t="s">
        <v>4688</v>
      </c>
      <c r="D101" s="63">
        <v>5</v>
      </c>
      <c r="E101" s="62"/>
      <c r="F101" s="65">
        <v>50</v>
      </c>
      <c r="G101" s="62"/>
      <c r="H101" s="66"/>
      <c r="I101" s="67"/>
      <c r="J101" s="67"/>
      <c r="K101" s="31" t="s">
        <v>65</v>
      </c>
      <c r="L101" s="68">
        <v>101</v>
      </c>
      <c r="M101" s="68"/>
      <c r="N101" s="69"/>
      <c r="O101" s="76" t="s">
        <v>586</v>
      </c>
      <c r="P101" s="78">
        <v>44814.24151620371</v>
      </c>
      <c r="Q101" s="76" t="s">
        <v>611</v>
      </c>
      <c r="R101" s="76"/>
      <c r="S101" s="76"/>
      <c r="T101" s="81" t="s">
        <v>808</v>
      </c>
      <c r="U101" s="79" t="str">
        <f>HYPERLINK("https://pbs.twimg.com/ext_tw_video_thumb/1568199549256175617/pu/img/Ysr1rE83e5hn0twR.jpg")</f>
        <v>https://pbs.twimg.com/ext_tw_video_thumb/1568199549256175617/pu/img/Ysr1rE83e5hn0twR.jpg</v>
      </c>
      <c r="V101" s="79" t="str">
        <f>HYPERLINK("https://pbs.twimg.com/ext_tw_video_thumb/1568199549256175617/pu/img/Ysr1rE83e5hn0twR.jpg")</f>
        <v>https://pbs.twimg.com/ext_tw_video_thumb/1568199549256175617/pu/img/Ysr1rE83e5hn0twR.jpg</v>
      </c>
      <c r="W101" s="78">
        <v>44814.24151620371</v>
      </c>
      <c r="X101" s="84">
        <v>44814</v>
      </c>
      <c r="Y101" s="81" t="s">
        <v>957</v>
      </c>
      <c r="Z101" s="79" t="str">
        <f>HYPERLINK("https://twitter.com/argubadebo/status/1568476309352861697")</f>
        <v>https://twitter.com/argubadebo/status/1568476309352861697</v>
      </c>
      <c r="AA101" s="76"/>
      <c r="AB101" s="76"/>
      <c r="AC101" s="81" t="s">
        <v>1288</v>
      </c>
      <c r="AD101" s="76"/>
      <c r="AE101" s="76" t="b">
        <v>0</v>
      </c>
      <c r="AF101" s="76">
        <v>0</v>
      </c>
      <c r="AG101" s="81" t="s">
        <v>1674</v>
      </c>
      <c r="AH101" s="76" t="b">
        <v>0</v>
      </c>
      <c r="AI101" s="76" t="s">
        <v>1772</v>
      </c>
      <c r="AJ101" s="76"/>
      <c r="AK101" s="81" t="s">
        <v>1674</v>
      </c>
      <c r="AL101" s="76" t="b">
        <v>0</v>
      </c>
      <c r="AM101" s="76">
        <v>16</v>
      </c>
      <c r="AN101" s="81" t="s">
        <v>1295</v>
      </c>
      <c r="AO101" s="81" t="s">
        <v>1807</v>
      </c>
      <c r="AP101" s="76" t="b">
        <v>0</v>
      </c>
      <c r="AQ101" s="81" t="s">
        <v>1295</v>
      </c>
      <c r="AR101" s="76" t="s">
        <v>219</v>
      </c>
      <c r="AS101" s="76">
        <v>0</v>
      </c>
      <c r="AT101" s="76">
        <v>0</v>
      </c>
      <c r="AU101" s="76"/>
      <c r="AV101" s="76"/>
      <c r="AW101" s="76"/>
      <c r="AX101" s="76"/>
      <c r="AY101" s="76"/>
      <c r="AZ101" s="76"/>
      <c r="BA101" s="76"/>
      <c r="BB101" s="76"/>
      <c r="BC101">
        <v>1</v>
      </c>
      <c r="BD101" s="75" t="str">
        <f>REPLACE(INDEX(GroupVertices[Group],MATCH(Edges[[#This Row],[Vertex 1]],GroupVertices[Vertex],0)),1,1,"")</f>
        <v>5</v>
      </c>
      <c r="BE101" s="75" t="str">
        <f>REPLACE(INDEX(GroupVertices[Group],MATCH(Edges[[#This Row],[Vertex 2]],GroupVertices[Vertex],0)),1,1,"")</f>
        <v>5</v>
      </c>
      <c r="BF101" s="45">
        <v>1</v>
      </c>
      <c r="BG101" s="46">
        <v>2.5641025641025643</v>
      </c>
      <c r="BH101" s="45">
        <v>0</v>
      </c>
      <c r="BI101" s="46">
        <v>0</v>
      </c>
      <c r="BJ101" s="45">
        <v>0</v>
      </c>
      <c r="BK101" s="46">
        <v>0</v>
      </c>
      <c r="BL101" s="45">
        <v>38</v>
      </c>
      <c r="BM101" s="46">
        <v>97.43589743589743</v>
      </c>
      <c r="BN101" s="45">
        <v>39</v>
      </c>
    </row>
    <row r="102" spans="1:66" ht="15">
      <c r="A102" s="61" t="s">
        <v>308</v>
      </c>
      <c r="B102" s="61" t="s">
        <v>468</v>
      </c>
      <c r="C102" s="62" t="s">
        <v>4688</v>
      </c>
      <c r="D102" s="63">
        <v>5</v>
      </c>
      <c r="E102" s="62"/>
      <c r="F102" s="65">
        <v>50</v>
      </c>
      <c r="G102" s="62"/>
      <c r="H102" s="66"/>
      <c r="I102" s="67"/>
      <c r="J102" s="67"/>
      <c r="K102" s="31" t="s">
        <v>65</v>
      </c>
      <c r="L102" s="68">
        <v>102</v>
      </c>
      <c r="M102" s="68"/>
      <c r="N102" s="69"/>
      <c r="O102" s="76" t="s">
        <v>588</v>
      </c>
      <c r="P102" s="78">
        <v>44813.45369212963</v>
      </c>
      <c r="Q102" s="76" t="s">
        <v>626</v>
      </c>
      <c r="R102" s="76"/>
      <c r="S102" s="76"/>
      <c r="T102" s="81" t="s">
        <v>795</v>
      </c>
      <c r="U102" s="76"/>
      <c r="V102" s="79" t="str">
        <f>HYPERLINK("https://pbs.twimg.com/profile_images/892670013445988352/jO9x6lOy_normal.jpg")</f>
        <v>https://pbs.twimg.com/profile_images/892670013445988352/jO9x6lOy_normal.jpg</v>
      </c>
      <c r="W102" s="78">
        <v>44813.45369212963</v>
      </c>
      <c r="X102" s="84">
        <v>44813</v>
      </c>
      <c r="Y102" s="81" t="s">
        <v>958</v>
      </c>
      <c r="Z102" s="79" t="str">
        <f>HYPERLINK("https://twitter.com/realpasitapani/status/1568190809698074624")</f>
        <v>https://twitter.com/realpasitapani/status/1568190809698074624</v>
      </c>
      <c r="AA102" s="76"/>
      <c r="AB102" s="76"/>
      <c r="AC102" s="81" t="s">
        <v>1289</v>
      </c>
      <c r="AD102" s="81" t="s">
        <v>1578</v>
      </c>
      <c r="AE102" s="76" t="b">
        <v>0</v>
      </c>
      <c r="AF102" s="76">
        <v>0</v>
      </c>
      <c r="AG102" s="81" t="s">
        <v>1688</v>
      </c>
      <c r="AH102" s="76" t="b">
        <v>0</v>
      </c>
      <c r="AI102" s="76" t="s">
        <v>1778</v>
      </c>
      <c r="AJ102" s="76"/>
      <c r="AK102" s="81" t="s">
        <v>1674</v>
      </c>
      <c r="AL102" s="76" t="b">
        <v>0</v>
      </c>
      <c r="AM102" s="76">
        <v>0</v>
      </c>
      <c r="AN102" s="81" t="s">
        <v>1674</v>
      </c>
      <c r="AO102" s="81" t="s">
        <v>1808</v>
      </c>
      <c r="AP102" s="76" t="b">
        <v>0</v>
      </c>
      <c r="AQ102" s="81" t="s">
        <v>1578</v>
      </c>
      <c r="AR102" s="76" t="s">
        <v>219</v>
      </c>
      <c r="AS102" s="76">
        <v>0</v>
      </c>
      <c r="AT102" s="76">
        <v>0</v>
      </c>
      <c r="AU102" s="76"/>
      <c r="AV102" s="76"/>
      <c r="AW102" s="76"/>
      <c r="AX102" s="76"/>
      <c r="AY102" s="76"/>
      <c r="AZ102" s="76"/>
      <c r="BA102" s="76"/>
      <c r="BB102" s="76"/>
      <c r="BC102">
        <v>1</v>
      </c>
      <c r="BD102" s="75" t="str">
        <f>REPLACE(INDEX(GroupVertices[Group],MATCH(Edges[[#This Row],[Vertex 1]],GroupVertices[Vertex],0)),1,1,"")</f>
        <v>14</v>
      </c>
      <c r="BE102" s="75" t="str">
        <f>REPLACE(INDEX(GroupVertices[Group],MATCH(Edges[[#This Row],[Vertex 2]],GroupVertices[Vertex],0)),1,1,"")</f>
        <v>14</v>
      </c>
      <c r="BF102" s="45"/>
      <c r="BG102" s="46"/>
      <c r="BH102" s="45"/>
      <c r="BI102" s="46"/>
      <c r="BJ102" s="45"/>
      <c r="BK102" s="46"/>
      <c r="BL102" s="45"/>
      <c r="BM102" s="46"/>
      <c r="BN102" s="45"/>
    </row>
    <row r="103" spans="1:66" ht="15">
      <c r="A103" s="61" t="s">
        <v>308</v>
      </c>
      <c r="B103" s="61" t="s">
        <v>469</v>
      </c>
      <c r="C103" s="62" t="s">
        <v>4688</v>
      </c>
      <c r="D103" s="63">
        <v>5</v>
      </c>
      <c r="E103" s="62"/>
      <c r="F103" s="65">
        <v>50</v>
      </c>
      <c r="G103" s="62"/>
      <c r="H103" s="66"/>
      <c r="I103" s="67"/>
      <c r="J103" s="67"/>
      <c r="K103" s="31" t="s">
        <v>65</v>
      </c>
      <c r="L103" s="68">
        <v>103</v>
      </c>
      <c r="M103" s="68"/>
      <c r="N103" s="69"/>
      <c r="O103" s="76" t="s">
        <v>588</v>
      </c>
      <c r="P103" s="78">
        <v>44813.45369212963</v>
      </c>
      <c r="Q103" s="76" t="s">
        <v>626</v>
      </c>
      <c r="R103" s="76"/>
      <c r="S103" s="76"/>
      <c r="T103" s="81" t="s">
        <v>795</v>
      </c>
      <c r="U103" s="76"/>
      <c r="V103" s="79" t="str">
        <f>HYPERLINK("https://pbs.twimg.com/profile_images/892670013445988352/jO9x6lOy_normal.jpg")</f>
        <v>https://pbs.twimg.com/profile_images/892670013445988352/jO9x6lOy_normal.jpg</v>
      </c>
      <c r="W103" s="78">
        <v>44813.45369212963</v>
      </c>
      <c r="X103" s="84">
        <v>44813</v>
      </c>
      <c r="Y103" s="81" t="s">
        <v>958</v>
      </c>
      <c r="Z103" s="79" t="str">
        <f>HYPERLINK("https://twitter.com/realpasitapani/status/1568190809698074624")</f>
        <v>https://twitter.com/realpasitapani/status/1568190809698074624</v>
      </c>
      <c r="AA103" s="76"/>
      <c r="AB103" s="76"/>
      <c r="AC103" s="81" t="s">
        <v>1289</v>
      </c>
      <c r="AD103" s="81" t="s">
        <v>1578</v>
      </c>
      <c r="AE103" s="76" t="b">
        <v>0</v>
      </c>
      <c r="AF103" s="76">
        <v>0</v>
      </c>
      <c r="AG103" s="81" t="s">
        <v>1688</v>
      </c>
      <c r="AH103" s="76" t="b">
        <v>0</v>
      </c>
      <c r="AI103" s="76" t="s">
        <v>1778</v>
      </c>
      <c r="AJ103" s="76"/>
      <c r="AK103" s="81" t="s">
        <v>1674</v>
      </c>
      <c r="AL103" s="76" t="b">
        <v>0</v>
      </c>
      <c r="AM103" s="76">
        <v>0</v>
      </c>
      <c r="AN103" s="81" t="s">
        <v>1674</v>
      </c>
      <c r="AO103" s="81" t="s">
        <v>1808</v>
      </c>
      <c r="AP103" s="76" t="b">
        <v>0</v>
      </c>
      <c r="AQ103" s="81" t="s">
        <v>1578</v>
      </c>
      <c r="AR103" s="76" t="s">
        <v>219</v>
      </c>
      <c r="AS103" s="76">
        <v>0</v>
      </c>
      <c r="AT103" s="76">
        <v>0</v>
      </c>
      <c r="AU103" s="76"/>
      <c r="AV103" s="76"/>
      <c r="AW103" s="76"/>
      <c r="AX103" s="76"/>
      <c r="AY103" s="76"/>
      <c r="AZ103" s="76"/>
      <c r="BA103" s="76"/>
      <c r="BB103" s="76"/>
      <c r="BC103">
        <v>1</v>
      </c>
      <c r="BD103" s="75" t="str">
        <f>REPLACE(INDEX(GroupVertices[Group],MATCH(Edges[[#This Row],[Vertex 1]],GroupVertices[Vertex],0)),1,1,"")</f>
        <v>14</v>
      </c>
      <c r="BE103" s="75" t="str">
        <f>REPLACE(INDEX(GroupVertices[Group],MATCH(Edges[[#This Row],[Vertex 2]],GroupVertices[Vertex],0)),1,1,"")</f>
        <v>14</v>
      </c>
      <c r="BF103" s="45"/>
      <c r="BG103" s="46"/>
      <c r="BH103" s="45"/>
      <c r="BI103" s="46"/>
      <c r="BJ103" s="45"/>
      <c r="BK103" s="46"/>
      <c r="BL103" s="45"/>
      <c r="BM103" s="46"/>
      <c r="BN103" s="45"/>
    </row>
    <row r="104" spans="1:66" ht="15">
      <c r="A104" s="61" t="s">
        <v>308</v>
      </c>
      <c r="B104" s="61" t="s">
        <v>470</v>
      </c>
      <c r="C104" s="62" t="s">
        <v>4688</v>
      </c>
      <c r="D104" s="63">
        <v>5</v>
      </c>
      <c r="E104" s="62"/>
      <c r="F104" s="65">
        <v>50</v>
      </c>
      <c r="G104" s="62"/>
      <c r="H104" s="66"/>
      <c r="I104" s="67"/>
      <c r="J104" s="67"/>
      <c r="K104" s="31" t="s">
        <v>65</v>
      </c>
      <c r="L104" s="68">
        <v>104</v>
      </c>
      <c r="M104" s="68"/>
      <c r="N104" s="69"/>
      <c r="O104" s="76" t="s">
        <v>587</v>
      </c>
      <c r="P104" s="78">
        <v>44813.45369212963</v>
      </c>
      <c r="Q104" s="76" t="s">
        <v>626</v>
      </c>
      <c r="R104" s="76"/>
      <c r="S104" s="76"/>
      <c r="T104" s="81" t="s">
        <v>795</v>
      </c>
      <c r="U104" s="76"/>
      <c r="V104" s="79" t="str">
        <f>HYPERLINK("https://pbs.twimg.com/profile_images/892670013445988352/jO9x6lOy_normal.jpg")</f>
        <v>https://pbs.twimg.com/profile_images/892670013445988352/jO9x6lOy_normal.jpg</v>
      </c>
      <c r="W104" s="78">
        <v>44813.45369212963</v>
      </c>
      <c r="X104" s="84">
        <v>44813</v>
      </c>
      <c r="Y104" s="81" t="s">
        <v>958</v>
      </c>
      <c r="Z104" s="79" t="str">
        <f>HYPERLINK("https://twitter.com/realpasitapani/status/1568190809698074624")</f>
        <v>https://twitter.com/realpasitapani/status/1568190809698074624</v>
      </c>
      <c r="AA104" s="76"/>
      <c r="AB104" s="76"/>
      <c r="AC104" s="81" t="s">
        <v>1289</v>
      </c>
      <c r="AD104" s="81" t="s">
        <v>1578</v>
      </c>
      <c r="AE104" s="76" t="b">
        <v>0</v>
      </c>
      <c r="AF104" s="76">
        <v>0</v>
      </c>
      <c r="AG104" s="81" t="s">
        <v>1688</v>
      </c>
      <c r="AH104" s="76" t="b">
        <v>0</v>
      </c>
      <c r="AI104" s="76" t="s">
        <v>1778</v>
      </c>
      <c r="AJ104" s="76"/>
      <c r="AK104" s="81" t="s">
        <v>1674</v>
      </c>
      <c r="AL104" s="76" t="b">
        <v>0</v>
      </c>
      <c r="AM104" s="76">
        <v>0</v>
      </c>
      <c r="AN104" s="81" t="s">
        <v>1674</v>
      </c>
      <c r="AO104" s="81" t="s">
        <v>1808</v>
      </c>
      <c r="AP104" s="76" t="b">
        <v>0</v>
      </c>
      <c r="AQ104" s="81" t="s">
        <v>1578</v>
      </c>
      <c r="AR104" s="76" t="s">
        <v>219</v>
      </c>
      <c r="AS104" s="76">
        <v>0</v>
      </c>
      <c r="AT104" s="76">
        <v>0</v>
      </c>
      <c r="AU104" s="76"/>
      <c r="AV104" s="76"/>
      <c r="AW104" s="76"/>
      <c r="AX104" s="76"/>
      <c r="AY104" s="76"/>
      <c r="AZ104" s="76"/>
      <c r="BA104" s="76"/>
      <c r="BB104" s="76"/>
      <c r="BC104">
        <v>1</v>
      </c>
      <c r="BD104" s="75" t="str">
        <f>REPLACE(INDEX(GroupVertices[Group],MATCH(Edges[[#This Row],[Vertex 1]],GroupVertices[Vertex],0)),1,1,"")</f>
        <v>14</v>
      </c>
      <c r="BE104" s="75" t="str">
        <f>REPLACE(INDEX(GroupVertices[Group],MATCH(Edges[[#This Row],[Vertex 2]],GroupVertices[Vertex],0)),1,1,"")</f>
        <v>14</v>
      </c>
      <c r="BF104" s="45">
        <v>0</v>
      </c>
      <c r="BG104" s="46">
        <v>0</v>
      </c>
      <c r="BH104" s="45">
        <v>0</v>
      </c>
      <c r="BI104" s="46">
        <v>0</v>
      </c>
      <c r="BJ104" s="45">
        <v>0</v>
      </c>
      <c r="BK104" s="46">
        <v>0</v>
      </c>
      <c r="BL104" s="45">
        <v>11</v>
      </c>
      <c r="BM104" s="46">
        <v>100</v>
      </c>
      <c r="BN104" s="45">
        <v>11</v>
      </c>
    </row>
    <row r="105" spans="1:66" ht="15">
      <c r="A105" s="61" t="s">
        <v>308</v>
      </c>
      <c r="B105" s="61" t="s">
        <v>471</v>
      </c>
      <c r="C105" s="62" t="s">
        <v>4688</v>
      </c>
      <c r="D105" s="63">
        <v>5</v>
      </c>
      <c r="E105" s="62"/>
      <c r="F105" s="65">
        <v>50</v>
      </c>
      <c r="G105" s="62"/>
      <c r="H105" s="66"/>
      <c r="I105" s="67"/>
      <c r="J105" s="67"/>
      <c r="K105" s="31" t="s">
        <v>65</v>
      </c>
      <c r="L105" s="68">
        <v>105</v>
      </c>
      <c r="M105" s="68"/>
      <c r="N105" s="69"/>
      <c r="O105" s="76" t="s">
        <v>587</v>
      </c>
      <c r="P105" s="78">
        <v>44813.46871527778</v>
      </c>
      <c r="Q105" s="76" t="s">
        <v>627</v>
      </c>
      <c r="R105" s="76"/>
      <c r="S105" s="76"/>
      <c r="T105" s="81" t="s">
        <v>795</v>
      </c>
      <c r="U105" s="76"/>
      <c r="V105" s="79" t="str">
        <f>HYPERLINK("https://pbs.twimg.com/profile_images/892670013445988352/jO9x6lOy_normal.jpg")</f>
        <v>https://pbs.twimg.com/profile_images/892670013445988352/jO9x6lOy_normal.jpg</v>
      </c>
      <c r="W105" s="78">
        <v>44813.46871527778</v>
      </c>
      <c r="X105" s="84">
        <v>44813</v>
      </c>
      <c r="Y105" s="81" t="s">
        <v>959</v>
      </c>
      <c r="Z105" s="79" t="str">
        <f>HYPERLINK("https://twitter.com/realpasitapani/status/1568196255460868096")</f>
        <v>https://twitter.com/realpasitapani/status/1568196255460868096</v>
      </c>
      <c r="AA105" s="76"/>
      <c r="AB105" s="76"/>
      <c r="AC105" s="81" t="s">
        <v>1290</v>
      </c>
      <c r="AD105" s="81" t="s">
        <v>1579</v>
      </c>
      <c r="AE105" s="76" t="b">
        <v>0</v>
      </c>
      <c r="AF105" s="76">
        <v>0</v>
      </c>
      <c r="AG105" s="81" t="s">
        <v>1689</v>
      </c>
      <c r="AH105" s="76" t="b">
        <v>0</v>
      </c>
      <c r="AI105" s="76" t="s">
        <v>1778</v>
      </c>
      <c r="AJ105" s="76"/>
      <c r="AK105" s="81" t="s">
        <v>1674</v>
      </c>
      <c r="AL105" s="76" t="b">
        <v>0</v>
      </c>
      <c r="AM105" s="76">
        <v>0</v>
      </c>
      <c r="AN105" s="81" t="s">
        <v>1674</v>
      </c>
      <c r="AO105" s="81" t="s">
        <v>1808</v>
      </c>
      <c r="AP105" s="76" t="b">
        <v>0</v>
      </c>
      <c r="AQ105" s="81" t="s">
        <v>1579</v>
      </c>
      <c r="AR105" s="76" t="s">
        <v>219</v>
      </c>
      <c r="AS105" s="76">
        <v>0</v>
      </c>
      <c r="AT105" s="76">
        <v>0</v>
      </c>
      <c r="AU105" s="76"/>
      <c r="AV105" s="76"/>
      <c r="AW105" s="76"/>
      <c r="AX105" s="76"/>
      <c r="AY105" s="76"/>
      <c r="AZ105" s="76"/>
      <c r="BA105" s="76"/>
      <c r="BB105" s="76"/>
      <c r="BC105">
        <v>1</v>
      </c>
      <c r="BD105" s="75" t="str">
        <f>REPLACE(INDEX(GroupVertices[Group],MATCH(Edges[[#This Row],[Vertex 1]],GroupVertices[Vertex],0)),1,1,"")</f>
        <v>14</v>
      </c>
      <c r="BE105" s="75" t="str">
        <f>REPLACE(INDEX(GroupVertices[Group],MATCH(Edges[[#This Row],[Vertex 2]],GroupVertices[Vertex],0)),1,1,"")</f>
        <v>14</v>
      </c>
      <c r="BF105" s="45">
        <v>0</v>
      </c>
      <c r="BG105" s="46">
        <v>0</v>
      </c>
      <c r="BH105" s="45">
        <v>0</v>
      </c>
      <c r="BI105" s="46">
        <v>0</v>
      </c>
      <c r="BJ105" s="45">
        <v>0</v>
      </c>
      <c r="BK105" s="46">
        <v>0</v>
      </c>
      <c r="BL105" s="45">
        <v>7</v>
      </c>
      <c r="BM105" s="46">
        <v>100</v>
      </c>
      <c r="BN105" s="45">
        <v>7</v>
      </c>
    </row>
    <row r="106" spans="1:66" ht="15">
      <c r="A106" s="61" t="s">
        <v>308</v>
      </c>
      <c r="B106" s="61" t="s">
        <v>472</v>
      </c>
      <c r="C106" s="62" t="s">
        <v>4688</v>
      </c>
      <c r="D106" s="63">
        <v>5</v>
      </c>
      <c r="E106" s="62"/>
      <c r="F106" s="65">
        <v>50</v>
      </c>
      <c r="G106" s="62"/>
      <c r="H106" s="66"/>
      <c r="I106" s="67"/>
      <c r="J106" s="67"/>
      <c r="K106" s="31" t="s">
        <v>65</v>
      </c>
      <c r="L106" s="68">
        <v>106</v>
      </c>
      <c r="M106" s="68"/>
      <c r="N106" s="69"/>
      <c r="O106" s="76" t="s">
        <v>587</v>
      </c>
      <c r="P106" s="78">
        <v>44814.36738425926</v>
      </c>
      <c r="Q106" s="76" t="s">
        <v>628</v>
      </c>
      <c r="R106" s="76"/>
      <c r="S106" s="76"/>
      <c r="T106" s="81" t="s">
        <v>801</v>
      </c>
      <c r="U106" s="76"/>
      <c r="V106" s="79" t="str">
        <f>HYPERLINK("https://pbs.twimg.com/profile_images/892670013445988352/jO9x6lOy_normal.jpg")</f>
        <v>https://pbs.twimg.com/profile_images/892670013445988352/jO9x6lOy_normal.jpg</v>
      </c>
      <c r="W106" s="78">
        <v>44814.36738425926</v>
      </c>
      <c r="X106" s="84">
        <v>44814</v>
      </c>
      <c r="Y106" s="81" t="s">
        <v>960</v>
      </c>
      <c r="Z106" s="79" t="str">
        <f>HYPERLINK("https://twitter.com/realpasitapani/status/1568521920294821888")</f>
        <v>https://twitter.com/realpasitapani/status/1568521920294821888</v>
      </c>
      <c r="AA106" s="76"/>
      <c r="AB106" s="76"/>
      <c r="AC106" s="81" t="s">
        <v>1291</v>
      </c>
      <c r="AD106" s="81" t="s">
        <v>1580</v>
      </c>
      <c r="AE106" s="76" t="b">
        <v>0</v>
      </c>
      <c r="AF106" s="76">
        <v>0</v>
      </c>
      <c r="AG106" s="81" t="s">
        <v>1690</v>
      </c>
      <c r="AH106" s="76" t="b">
        <v>0</v>
      </c>
      <c r="AI106" s="76" t="s">
        <v>1772</v>
      </c>
      <c r="AJ106" s="76"/>
      <c r="AK106" s="81" t="s">
        <v>1674</v>
      </c>
      <c r="AL106" s="76" t="b">
        <v>0</v>
      </c>
      <c r="AM106" s="76">
        <v>0</v>
      </c>
      <c r="AN106" s="81" t="s">
        <v>1674</v>
      </c>
      <c r="AO106" s="81" t="s">
        <v>1808</v>
      </c>
      <c r="AP106" s="76" t="b">
        <v>0</v>
      </c>
      <c r="AQ106" s="81" t="s">
        <v>1580</v>
      </c>
      <c r="AR106" s="76" t="s">
        <v>219</v>
      </c>
      <c r="AS106" s="76">
        <v>0</v>
      </c>
      <c r="AT106" s="76">
        <v>0</v>
      </c>
      <c r="AU106" s="76"/>
      <c r="AV106" s="76"/>
      <c r="AW106" s="76"/>
      <c r="AX106" s="76"/>
      <c r="AY106" s="76"/>
      <c r="AZ106" s="76"/>
      <c r="BA106" s="76"/>
      <c r="BB106" s="76"/>
      <c r="BC106">
        <v>1</v>
      </c>
      <c r="BD106" s="75" t="str">
        <f>REPLACE(INDEX(GroupVertices[Group],MATCH(Edges[[#This Row],[Vertex 1]],GroupVertices[Vertex],0)),1,1,"")</f>
        <v>14</v>
      </c>
      <c r="BE106" s="75" t="str">
        <f>REPLACE(INDEX(GroupVertices[Group],MATCH(Edges[[#This Row],[Vertex 2]],GroupVertices[Vertex],0)),1,1,"")</f>
        <v>14</v>
      </c>
      <c r="BF106" s="45">
        <v>0</v>
      </c>
      <c r="BG106" s="46">
        <v>0</v>
      </c>
      <c r="BH106" s="45">
        <v>0</v>
      </c>
      <c r="BI106" s="46">
        <v>0</v>
      </c>
      <c r="BJ106" s="45">
        <v>0</v>
      </c>
      <c r="BK106" s="46">
        <v>0</v>
      </c>
      <c r="BL106" s="45">
        <v>5</v>
      </c>
      <c r="BM106" s="46">
        <v>100</v>
      </c>
      <c r="BN106" s="45">
        <v>5</v>
      </c>
    </row>
    <row r="107" spans="1:66" ht="15">
      <c r="A107" s="61" t="s">
        <v>308</v>
      </c>
      <c r="B107" s="61" t="s">
        <v>308</v>
      </c>
      <c r="C107" s="62" t="s">
        <v>4688</v>
      </c>
      <c r="D107" s="63">
        <v>5</v>
      </c>
      <c r="E107" s="62"/>
      <c r="F107" s="65">
        <v>50</v>
      </c>
      <c r="G107" s="62"/>
      <c r="H107" s="66"/>
      <c r="I107" s="67"/>
      <c r="J107" s="67"/>
      <c r="K107" s="31" t="s">
        <v>65</v>
      </c>
      <c r="L107" s="68">
        <v>107</v>
      </c>
      <c r="M107" s="68"/>
      <c r="N107" s="69"/>
      <c r="O107" s="76" t="s">
        <v>219</v>
      </c>
      <c r="P107" s="78">
        <v>44814.372395833336</v>
      </c>
      <c r="Q107" s="76" t="s">
        <v>629</v>
      </c>
      <c r="R107" s="76"/>
      <c r="S107" s="76"/>
      <c r="T107" s="81" t="s">
        <v>817</v>
      </c>
      <c r="U107" s="76"/>
      <c r="V107" s="79" t="str">
        <f>HYPERLINK("https://pbs.twimg.com/profile_images/892670013445988352/jO9x6lOy_normal.jpg")</f>
        <v>https://pbs.twimg.com/profile_images/892670013445988352/jO9x6lOy_normal.jpg</v>
      </c>
      <c r="W107" s="78">
        <v>44814.372395833336</v>
      </c>
      <c r="X107" s="84">
        <v>44814</v>
      </c>
      <c r="Y107" s="81" t="s">
        <v>961</v>
      </c>
      <c r="Z107" s="79" t="str">
        <f>HYPERLINK("https://twitter.com/realpasitapani/status/1568523737149935619")</f>
        <v>https://twitter.com/realpasitapani/status/1568523737149935619</v>
      </c>
      <c r="AA107" s="76"/>
      <c r="AB107" s="76"/>
      <c r="AC107" s="81" t="s">
        <v>1292</v>
      </c>
      <c r="AD107" s="76"/>
      <c r="AE107" s="76" t="b">
        <v>0</v>
      </c>
      <c r="AF107" s="76">
        <v>1</v>
      </c>
      <c r="AG107" s="81" t="s">
        <v>1674</v>
      </c>
      <c r="AH107" s="76" t="b">
        <v>0</v>
      </c>
      <c r="AI107" s="76" t="s">
        <v>1778</v>
      </c>
      <c r="AJ107" s="76"/>
      <c r="AK107" s="81" t="s">
        <v>1674</v>
      </c>
      <c r="AL107" s="76" t="b">
        <v>0</v>
      </c>
      <c r="AM107" s="76">
        <v>0</v>
      </c>
      <c r="AN107" s="81" t="s">
        <v>1674</v>
      </c>
      <c r="AO107" s="81" t="s">
        <v>1808</v>
      </c>
      <c r="AP107" s="76" t="b">
        <v>0</v>
      </c>
      <c r="AQ107" s="81" t="s">
        <v>1292</v>
      </c>
      <c r="AR107" s="76" t="s">
        <v>219</v>
      </c>
      <c r="AS107" s="76">
        <v>0</v>
      </c>
      <c r="AT107" s="76">
        <v>0</v>
      </c>
      <c r="AU107" s="76"/>
      <c r="AV107" s="76"/>
      <c r="AW107" s="76"/>
      <c r="AX107" s="76"/>
      <c r="AY107" s="76"/>
      <c r="AZ107" s="76"/>
      <c r="BA107" s="76"/>
      <c r="BB107" s="76"/>
      <c r="BC107">
        <v>1</v>
      </c>
      <c r="BD107" s="75" t="str">
        <f>REPLACE(INDEX(GroupVertices[Group],MATCH(Edges[[#This Row],[Vertex 1]],GroupVertices[Vertex],0)),1,1,"")</f>
        <v>14</v>
      </c>
      <c r="BE107" s="75" t="str">
        <f>REPLACE(INDEX(GroupVertices[Group],MATCH(Edges[[#This Row],[Vertex 2]],GroupVertices[Vertex],0)),1,1,"")</f>
        <v>14</v>
      </c>
      <c r="BF107" s="45">
        <v>0</v>
      </c>
      <c r="BG107" s="46">
        <v>0</v>
      </c>
      <c r="BH107" s="45">
        <v>0</v>
      </c>
      <c r="BI107" s="46">
        <v>0</v>
      </c>
      <c r="BJ107" s="45">
        <v>0</v>
      </c>
      <c r="BK107" s="46">
        <v>0</v>
      </c>
      <c r="BL107" s="45">
        <v>17</v>
      </c>
      <c r="BM107" s="46">
        <v>100</v>
      </c>
      <c r="BN107" s="45">
        <v>17</v>
      </c>
    </row>
    <row r="108" spans="1:66" ht="15">
      <c r="A108" s="61" t="s">
        <v>309</v>
      </c>
      <c r="B108" s="61" t="s">
        <v>340</v>
      </c>
      <c r="C108" s="62" t="s">
        <v>4688</v>
      </c>
      <c r="D108" s="63">
        <v>5</v>
      </c>
      <c r="E108" s="62"/>
      <c r="F108" s="65">
        <v>50</v>
      </c>
      <c r="G108" s="62"/>
      <c r="H108" s="66"/>
      <c r="I108" s="67"/>
      <c r="J108" s="67"/>
      <c r="K108" s="31" t="s">
        <v>65</v>
      </c>
      <c r="L108" s="68">
        <v>108</v>
      </c>
      <c r="M108" s="68"/>
      <c r="N108" s="69"/>
      <c r="O108" s="76" t="s">
        <v>586</v>
      </c>
      <c r="P108" s="78">
        <v>44814.49841435185</v>
      </c>
      <c r="Q108" s="76" t="s">
        <v>630</v>
      </c>
      <c r="R108" s="76"/>
      <c r="S108" s="76"/>
      <c r="T108" s="81" t="s">
        <v>818</v>
      </c>
      <c r="U108" s="79" t="str">
        <f>HYPERLINK("https://pbs.twimg.com/ext_tw_video_thumb/1568550609225138178/pu/img/-GqFQP2LKjYRZ4Kw.jpg")</f>
        <v>https://pbs.twimg.com/ext_tw_video_thumb/1568550609225138178/pu/img/-GqFQP2LKjYRZ4Kw.jpg</v>
      </c>
      <c r="V108" s="79" t="str">
        <f>HYPERLINK("https://pbs.twimg.com/ext_tw_video_thumb/1568550609225138178/pu/img/-GqFQP2LKjYRZ4Kw.jpg")</f>
        <v>https://pbs.twimg.com/ext_tw_video_thumb/1568550609225138178/pu/img/-GqFQP2LKjYRZ4Kw.jpg</v>
      </c>
      <c r="W108" s="78">
        <v>44814.49841435185</v>
      </c>
      <c r="X108" s="84">
        <v>44814</v>
      </c>
      <c r="Y108" s="81" t="s">
        <v>962</v>
      </c>
      <c r="Z108" s="79" t="str">
        <f>HYPERLINK("https://twitter.com/hassany89/status/1568569404488556546")</f>
        <v>https://twitter.com/hassany89/status/1568569404488556546</v>
      </c>
      <c r="AA108" s="76"/>
      <c r="AB108" s="76"/>
      <c r="AC108" s="81" t="s">
        <v>1293</v>
      </c>
      <c r="AD108" s="76"/>
      <c r="AE108" s="76" t="b">
        <v>0</v>
      </c>
      <c r="AF108" s="76">
        <v>0</v>
      </c>
      <c r="AG108" s="81" t="s">
        <v>1674</v>
      </c>
      <c r="AH108" s="76" t="b">
        <v>0</v>
      </c>
      <c r="AI108" s="76" t="s">
        <v>1772</v>
      </c>
      <c r="AJ108" s="76"/>
      <c r="AK108" s="81" t="s">
        <v>1674</v>
      </c>
      <c r="AL108" s="76" t="b">
        <v>0</v>
      </c>
      <c r="AM108" s="76">
        <v>3</v>
      </c>
      <c r="AN108" s="81" t="s">
        <v>1335</v>
      </c>
      <c r="AO108" s="81" t="s">
        <v>1809</v>
      </c>
      <c r="AP108" s="76" t="b">
        <v>0</v>
      </c>
      <c r="AQ108" s="81" t="s">
        <v>1335</v>
      </c>
      <c r="AR108" s="76" t="s">
        <v>219</v>
      </c>
      <c r="AS108" s="76">
        <v>0</v>
      </c>
      <c r="AT108" s="76">
        <v>0</v>
      </c>
      <c r="AU108" s="76"/>
      <c r="AV108" s="76"/>
      <c r="AW108" s="76"/>
      <c r="AX108" s="76"/>
      <c r="AY108" s="76"/>
      <c r="AZ108" s="76"/>
      <c r="BA108" s="76"/>
      <c r="BB108" s="76"/>
      <c r="BC108">
        <v>1</v>
      </c>
      <c r="BD108" s="75" t="str">
        <f>REPLACE(INDEX(GroupVertices[Group],MATCH(Edges[[#This Row],[Vertex 1]],GroupVertices[Vertex],0)),1,1,"")</f>
        <v>28</v>
      </c>
      <c r="BE108" s="75" t="str">
        <f>REPLACE(INDEX(GroupVertices[Group],MATCH(Edges[[#This Row],[Vertex 2]],GroupVertices[Vertex],0)),1,1,"")</f>
        <v>28</v>
      </c>
      <c r="BF108" s="45">
        <v>0</v>
      </c>
      <c r="BG108" s="46">
        <v>0</v>
      </c>
      <c r="BH108" s="45">
        <v>0</v>
      </c>
      <c r="BI108" s="46">
        <v>0</v>
      </c>
      <c r="BJ108" s="45">
        <v>0</v>
      </c>
      <c r="BK108" s="46">
        <v>0</v>
      </c>
      <c r="BL108" s="45">
        <v>24</v>
      </c>
      <c r="BM108" s="46">
        <v>100</v>
      </c>
      <c r="BN108" s="45">
        <v>24</v>
      </c>
    </row>
    <row r="109" spans="1:66" ht="15">
      <c r="A109" s="61" t="s">
        <v>310</v>
      </c>
      <c r="B109" s="61" t="s">
        <v>340</v>
      </c>
      <c r="C109" s="62" t="s">
        <v>4688</v>
      </c>
      <c r="D109" s="63">
        <v>5</v>
      </c>
      <c r="E109" s="62"/>
      <c r="F109" s="65">
        <v>50</v>
      </c>
      <c r="G109" s="62"/>
      <c r="H109" s="66"/>
      <c r="I109" s="67"/>
      <c r="J109" s="67"/>
      <c r="K109" s="31" t="s">
        <v>65</v>
      </c>
      <c r="L109" s="68">
        <v>109</v>
      </c>
      <c r="M109" s="68"/>
      <c r="N109" s="69"/>
      <c r="O109" s="76" t="s">
        <v>586</v>
      </c>
      <c r="P109" s="78">
        <v>44814.56612268519</v>
      </c>
      <c r="Q109" s="76" t="s">
        <v>630</v>
      </c>
      <c r="R109" s="76"/>
      <c r="S109" s="76"/>
      <c r="T109" s="81" t="s">
        <v>818</v>
      </c>
      <c r="U109" s="79" t="str">
        <f>HYPERLINK("https://pbs.twimg.com/ext_tw_video_thumb/1568550609225138178/pu/img/-GqFQP2LKjYRZ4Kw.jpg")</f>
        <v>https://pbs.twimg.com/ext_tw_video_thumb/1568550609225138178/pu/img/-GqFQP2LKjYRZ4Kw.jpg</v>
      </c>
      <c r="V109" s="79" t="str">
        <f>HYPERLINK("https://pbs.twimg.com/ext_tw_video_thumb/1568550609225138178/pu/img/-GqFQP2LKjYRZ4Kw.jpg")</f>
        <v>https://pbs.twimg.com/ext_tw_video_thumb/1568550609225138178/pu/img/-GqFQP2LKjYRZ4Kw.jpg</v>
      </c>
      <c r="W109" s="78">
        <v>44814.56612268519</v>
      </c>
      <c r="X109" s="84">
        <v>44814</v>
      </c>
      <c r="Y109" s="81" t="s">
        <v>963</v>
      </c>
      <c r="Z109" s="79" t="str">
        <f>HYPERLINK("https://twitter.com/george_w_bu/status/1568593940814745601")</f>
        <v>https://twitter.com/george_w_bu/status/1568593940814745601</v>
      </c>
      <c r="AA109" s="76"/>
      <c r="AB109" s="76"/>
      <c r="AC109" s="81" t="s">
        <v>1294</v>
      </c>
      <c r="AD109" s="76"/>
      <c r="AE109" s="76" t="b">
        <v>0</v>
      </c>
      <c r="AF109" s="76">
        <v>0</v>
      </c>
      <c r="AG109" s="81" t="s">
        <v>1674</v>
      </c>
      <c r="AH109" s="76" t="b">
        <v>0</v>
      </c>
      <c r="AI109" s="76" t="s">
        <v>1772</v>
      </c>
      <c r="AJ109" s="76"/>
      <c r="AK109" s="81" t="s">
        <v>1674</v>
      </c>
      <c r="AL109" s="76" t="b">
        <v>0</v>
      </c>
      <c r="AM109" s="76">
        <v>3</v>
      </c>
      <c r="AN109" s="81" t="s">
        <v>1335</v>
      </c>
      <c r="AO109" s="81" t="s">
        <v>1808</v>
      </c>
      <c r="AP109" s="76" t="b">
        <v>0</v>
      </c>
      <c r="AQ109" s="81" t="s">
        <v>1335</v>
      </c>
      <c r="AR109" s="76" t="s">
        <v>219</v>
      </c>
      <c r="AS109" s="76">
        <v>0</v>
      </c>
      <c r="AT109" s="76">
        <v>0</v>
      </c>
      <c r="AU109" s="76"/>
      <c r="AV109" s="76"/>
      <c r="AW109" s="76"/>
      <c r="AX109" s="76"/>
      <c r="AY109" s="76"/>
      <c r="AZ109" s="76"/>
      <c r="BA109" s="76"/>
      <c r="BB109" s="76"/>
      <c r="BC109">
        <v>1</v>
      </c>
      <c r="BD109" s="75" t="str">
        <f>REPLACE(INDEX(GroupVertices[Group],MATCH(Edges[[#This Row],[Vertex 1]],GroupVertices[Vertex],0)),1,1,"")</f>
        <v>28</v>
      </c>
      <c r="BE109" s="75" t="str">
        <f>REPLACE(INDEX(GroupVertices[Group],MATCH(Edges[[#This Row],[Vertex 2]],GroupVertices[Vertex],0)),1,1,"")</f>
        <v>28</v>
      </c>
      <c r="BF109" s="45">
        <v>0</v>
      </c>
      <c r="BG109" s="46">
        <v>0</v>
      </c>
      <c r="BH109" s="45">
        <v>0</v>
      </c>
      <c r="BI109" s="46">
        <v>0</v>
      </c>
      <c r="BJ109" s="45">
        <v>0</v>
      </c>
      <c r="BK109" s="46">
        <v>0</v>
      </c>
      <c r="BL109" s="45">
        <v>24</v>
      </c>
      <c r="BM109" s="46">
        <v>100</v>
      </c>
      <c r="BN109" s="45">
        <v>24</v>
      </c>
    </row>
    <row r="110" spans="1:66" ht="15">
      <c r="A110" s="61" t="s">
        <v>311</v>
      </c>
      <c r="B110" s="61" t="s">
        <v>311</v>
      </c>
      <c r="C110" s="62" t="s">
        <v>4688</v>
      </c>
      <c r="D110" s="63">
        <v>5</v>
      </c>
      <c r="E110" s="62"/>
      <c r="F110" s="65">
        <v>50</v>
      </c>
      <c r="G110" s="62"/>
      <c r="H110" s="66"/>
      <c r="I110" s="67"/>
      <c r="J110" s="67"/>
      <c r="K110" s="31" t="s">
        <v>65</v>
      </c>
      <c r="L110" s="68">
        <v>110</v>
      </c>
      <c r="M110" s="68"/>
      <c r="N110" s="69"/>
      <c r="O110" s="76" t="s">
        <v>219</v>
      </c>
      <c r="P110" s="78">
        <v>44813.47828703704</v>
      </c>
      <c r="Q110" s="76" t="s">
        <v>611</v>
      </c>
      <c r="R110" s="76"/>
      <c r="S110" s="76"/>
      <c r="T110" s="81" t="s">
        <v>808</v>
      </c>
      <c r="U110" s="79" t="str">
        <f>HYPERLINK("https://pbs.twimg.com/ext_tw_video_thumb/1568199549256175617/pu/img/Ysr1rE83e5hn0twR.jpg")</f>
        <v>https://pbs.twimg.com/ext_tw_video_thumb/1568199549256175617/pu/img/Ysr1rE83e5hn0twR.jpg</v>
      </c>
      <c r="V110" s="79" t="str">
        <f>HYPERLINK("https://pbs.twimg.com/ext_tw_video_thumb/1568199549256175617/pu/img/Ysr1rE83e5hn0twR.jpg")</f>
        <v>https://pbs.twimg.com/ext_tw_video_thumb/1568199549256175617/pu/img/Ysr1rE83e5hn0twR.jpg</v>
      </c>
      <c r="W110" s="78">
        <v>44813.47828703704</v>
      </c>
      <c r="X110" s="84">
        <v>44813</v>
      </c>
      <c r="Y110" s="81" t="s">
        <v>964</v>
      </c>
      <c r="Z110" s="79" t="str">
        <f>HYPERLINK("https://twitter.com/ethiopi00829015/status/1568199721801449473")</f>
        <v>https://twitter.com/ethiopi00829015/status/1568199721801449473</v>
      </c>
      <c r="AA110" s="76"/>
      <c r="AB110" s="76"/>
      <c r="AC110" s="81" t="s">
        <v>1295</v>
      </c>
      <c r="AD110" s="76"/>
      <c r="AE110" s="76" t="b">
        <v>0</v>
      </c>
      <c r="AF110" s="76">
        <v>20</v>
      </c>
      <c r="AG110" s="81" t="s">
        <v>1674</v>
      </c>
      <c r="AH110" s="76" t="b">
        <v>0</v>
      </c>
      <c r="AI110" s="76" t="s">
        <v>1772</v>
      </c>
      <c r="AJ110" s="76"/>
      <c r="AK110" s="81" t="s">
        <v>1674</v>
      </c>
      <c r="AL110" s="76" t="b">
        <v>0</v>
      </c>
      <c r="AM110" s="76">
        <v>16</v>
      </c>
      <c r="AN110" s="81" t="s">
        <v>1674</v>
      </c>
      <c r="AO110" s="81" t="s">
        <v>1807</v>
      </c>
      <c r="AP110" s="76" t="b">
        <v>0</v>
      </c>
      <c r="AQ110" s="81" t="s">
        <v>1295</v>
      </c>
      <c r="AR110" s="76" t="s">
        <v>219</v>
      </c>
      <c r="AS110" s="76">
        <v>0</v>
      </c>
      <c r="AT110" s="76">
        <v>0</v>
      </c>
      <c r="AU110" s="76"/>
      <c r="AV110" s="76"/>
      <c r="AW110" s="76"/>
      <c r="AX110" s="76"/>
      <c r="AY110" s="76"/>
      <c r="AZ110" s="76"/>
      <c r="BA110" s="76"/>
      <c r="BB110" s="76"/>
      <c r="BC110">
        <v>1</v>
      </c>
      <c r="BD110" s="75" t="str">
        <f>REPLACE(INDEX(GroupVertices[Group],MATCH(Edges[[#This Row],[Vertex 1]],GroupVertices[Vertex],0)),1,1,"")</f>
        <v>5</v>
      </c>
      <c r="BE110" s="75" t="str">
        <f>REPLACE(INDEX(GroupVertices[Group],MATCH(Edges[[#This Row],[Vertex 2]],GroupVertices[Vertex],0)),1,1,"")</f>
        <v>5</v>
      </c>
      <c r="BF110" s="45">
        <v>1</v>
      </c>
      <c r="BG110" s="46">
        <v>2.5641025641025643</v>
      </c>
      <c r="BH110" s="45">
        <v>0</v>
      </c>
      <c r="BI110" s="46">
        <v>0</v>
      </c>
      <c r="BJ110" s="45">
        <v>0</v>
      </c>
      <c r="BK110" s="46">
        <v>0</v>
      </c>
      <c r="BL110" s="45">
        <v>38</v>
      </c>
      <c r="BM110" s="46">
        <v>97.43589743589743</v>
      </c>
      <c r="BN110" s="45">
        <v>39</v>
      </c>
    </row>
    <row r="111" spans="1:66" ht="15">
      <c r="A111" s="61" t="s">
        <v>312</v>
      </c>
      <c r="B111" s="61" t="s">
        <v>311</v>
      </c>
      <c r="C111" s="62" t="s">
        <v>4688</v>
      </c>
      <c r="D111" s="63">
        <v>5</v>
      </c>
      <c r="E111" s="62"/>
      <c r="F111" s="65">
        <v>50</v>
      </c>
      <c r="G111" s="62"/>
      <c r="H111" s="66"/>
      <c r="I111" s="67"/>
      <c r="J111" s="67"/>
      <c r="K111" s="31" t="s">
        <v>65</v>
      </c>
      <c r="L111" s="68">
        <v>111</v>
      </c>
      <c r="M111" s="68"/>
      <c r="N111" s="69"/>
      <c r="O111" s="76" t="s">
        <v>586</v>
      </c>
      <c r="P111" s="78">
        <v>44814.63068287037</v>
      </c>
      <c r="Q111" s="76" t="s">
        <v>611</v>
      </c>
      <c r="R111" s="76"/>
      <c r="S111" s="76"/>
      <c r="T111" s="81" t="s">
        <v>808</v>
      </c>
      <c r="U111" s="79" t="str">
        <f>HYPERLINK("https://pbs.twimg.com/ext_tw_video_thumb/1568199549256175617/pu/img/Ysr1rE83e5hn0twR.jpg")</f>
        <v>https://pbs.twimg.com/ext_tw_video_thumb/1568199549256175617/pu/img/Ysr1rE83e5hn0twR.jpg</v>
      </c>
      <c r="V111" s="79" t="str">
        <f>HYPERLINK("https://pbs.twimg.com/ext_tw_video_thumb/1568199549256175617/pu/img/Ysr1rE83e5hn0twR.jpg")</f>
        <v>https://pbs.twimg.com/ext_tw_video_thumb/1568199549256175617/pu/img/Ysr1rE83e5hn0twR.jpg</v>
      </c>
      <c r="W111" s="78">
        <v>44814.63068287037</v>
      </c>
      <c r="X111" s="84">
        <v>44814</v>
      </c>
      <c r="Y111" s="81" t="s">
        <v>965</v>
      </c>
      <c r="Z111" s="79" t="str">
        <f>HYPERLINK("https://twitter.com/mengistutefer16/status/1568617339184357376")</f>
        <v>https://twitter.com/mengistutefer16/status/1568617339184357376</v>
      </c>
      <c r="AA111" s="76"/>
      <c r="AB111" s="76"/>
      <c r="AC111" s="81" t="s">
        <v>1296</v>
      </c>
      <c r="AD111" s="76"/>
      <c r="AE111" s="76" t="b">
        <v>0</v>
      </c>
      <c r="AF111" s="76">
        <v>0</v>
      </c>
      <c r="AG111" s="81" t="s">
        <v>1674</v>
      </c>
      <c r="AH111" s="76" t="b">
        <v>0</v>
      </c>
      <c r="AI111" s="76" t="s">
        <v>1772</v>
      </c>
      <c r="AJ111" s="76"/>
      <c r="AK111" s="81" t="s">
        <v>1674</v>
      </c>
      <c r="AL111" s="76" t="b">
        <v>0</v>
      </c>
      <c r="AM111" s="76">
        <v>16</v>
      </c>
      <c r="AN111" s="81" t="s">
        <v>1295</v>
      </c>
      <c r="AO111" s="81" t="s">
        <v>1809</v>
      </c>
      <c r="AP111" s="76" t="b">
        <v>0</v>
      </c>
      <c r="AQ111" s="81" t="s">
        <v>1295</v>
      </c>
      <c r="AR111" s="76" t="s">
        <v>219</v>
      </c>
      <c r="AS111" s="76">
        <v>0</v>
      </c>
      <c r="AT111" s="76">
        <v>0</v>
      </c>
      <c r="AU111" s="76"/>
      <c r="AV111" s="76"/>
      <c r="AW111" s="76"/>
      <c r="AX111" s="76"/>
      <c r="AY111" s="76"/>
      <c r="AZ111" s="76"/>
      <c r="BA111" s="76"/>
      <c r="BB111" s="76"/>
      <c r="BC111">
        <v>1</v>
      </c>
      <c r="BD111" s="75" t="str">
        <f>REPLACE(INDEX(GroupVertices[Group],MATCH(Edges[[#This Row],[Vertex 1]],GroupVertices[Vertex],0)),1,1,"")</f>
        <v>5</v>
      </c>
      <c r="BE111" s="75" t="str">
        <f>REPLACE(INDEX(GroupVertices[Group],MATCH(Edges[[#This Row],[Vertex 2]],GroupVertices[Vertex],0)),1,1,"")</f>
        <v>5</v>
      </c>
      <c r="BF111" s="45">
        <v>1</v>
      </c>
      <c r="BG111" s="46">
        <v>2.5641025641025643</v>
      </c>
      <c r="BH111" s="45">
        <v>0</v>
      </c>
      <c r="BI111" s="46">
        <v>0</v>
      </c>
      <c r="BJ111" s="45">
        <v>0</v>
      </c>
      <c r="BK111" s="46">
        <v>0</v>
      </c>
      <c r="BL111" s="45">
        <v>38</v>
      </c>
      <c r="BM111" s="46">
        <v>97.43589743589743</v>
      </c>
      <c r="BN111" s="45">
        <v>39</v>
      </c>
    </row>
    <row r="112" spans="1:66" ht="15">
      <c r="A112" s="61" t="s">
        <v>313</v>
      </c>
      <c r="B112" s="61" t="s">
        <v>473</v>
      </c>
      <c r="C112" s="62" t="s">
        <v>4688</v>
      </c>
      <c r="D112" s="63">
        <v>5</v>
      </c>
      <c r="E112" s="62"/>
      <c r="F112" s="65">
        <v>50</v>
      </c>
      <c r="G112" s="62"/>
      <c r="H112" s="66"/>
      <c r="I112" s="67"/>
      <c r="J112" s="67"/>
      <c r="K112" s="31" t="s">
        <v>65</v>
      </c>
      <c r="L112" s="68">
        <v>112</v>
      </c>
      <c r="M112" s="68"/>
      <c r="N112" s="69"/>
      <c r="O112" s="76" t="s">
        <v>588</v>
      </c>
      <c r="P112" s="78">
        <v>44814.64175925926</v>
      </c>
      <c r="Q112" s="76" t="s">
        <v>631</v>
      </c>
      <c r="R112" s="76"/>
      <c r="S112" s="76"/>
      <c r="T112" s="76"/>
      <c r="U112" s="76"/>
      <c r="V112" s="79" t="str">
        <f>HYPERLINK("https://pbs.twimg.com/profile_images/1281338721518997505/XqzhddJm_normal.jpg")</f>
        <v>https://pbs.twimg.com/profile_images/1281338721518997505/XqzhddJm_normal.jpg</v>
      </c>
      <c r="W112" s="78">
        <v>44814.64175925926</v>
      </c>
      <c r="X112" s="84">
        <v>44814</v>
      </c>
      <c r="Y112" s="81" t="s">
        <v>966</v>
      </c>
      <c r="Z112" s="79" t="str">
        <f>HYPERLINK("https://twitter.com/brian_lefevre_/status/1568621353263054848")</f>
        <v>https://twitter.com/brian_lefevre_/status/1568621353263054848</v>
      </c>
      <c r="AA112" s="76"/>
      <c r="AB112" s="76"/>
      <c r="AC112" s="81" t="s">
        <v>1297</v>
      </c>
      <c r="AD112" s="81" t="s">
        <v>1581</v>
      </c>
      <c r="AE112" s="76" t="b">
        <v>0</v>
      </c>
      <c r="AF112" s="76">
        <v>1</v>
      </c>
      <c r="AG112" s="81" t="s">
        <v>1691</v>
      </c>
      <c r="AH112" s="76" t="b">
        <v>0</v>
      </c>
      <c r="AI112" s="76" t="s">
        <v>1772</v>
      </c>
      <c r="AJ112" s="76"/>
      <c r="AK112" s="81" t="s">
        <v>1674</v>
      </c>
      <c r="AL112" s="76" t="b">
        <v>0</v>
      </c>
      <c r="AM112" s="76">
        <v>0</v>
      </c>
      <c r="AN112" s="81" t="s">
        <v>1674</v>
      </c>
      <c r="AO112" s="81" t="s">
        <v>1807</v>
      </c>
      <c r="AP112" s="76" t="b">
        <v>0</v>
      </c>
      <c r="AQ112" s="81" t="s">
        <v>1581</v>
      </c>
      <c r="AR112" s="76" t="s">
        <v>219</v>
      </c>
      <c r="AS112" s="76">
        <v>0</v>
      </c>
      <c r="AT112" s="76">
        <v>0</v>
      </c>
      <c r="AU112" s="76"/>
      <c r="AV112" s="76"/>
      <c r="AW112" s="76"/>
      <c r="AX112" s="76"/>
      <c r="AY112" s="76"/>
      <c r="AZ112" s="76"/>
      <c r="BA112" s="76"/>
      <c r="BB112" s="76"/>
      <c r="BC112">
        <v>1</v>
      </c>
      <c r="BD112" s="75" t="str">
        <f>REPLACE(INDEX(GroupVertices[Group],MATCH(Edges[[#This Row],[Vertex 1]],GroupVertices[Vertex],0)),1,1,"")</f>
        <v>11</v>
      </c>
      <c r="BE112" s="75" t="str">
        <f>REPLACE(INDEX(GroupVertices[Group],MATCH(Edges[[#This Row],[Vertex 2]],GroupVertices[Vertex],0)),1,1,"")</f>
        <v>11</v>
      </c>
      <c r="BF112" s="45"/>
      <c r="BG112" s="46"/>
      <c r="BH112" s="45"/>
      <c r="BI112" s="46"/>
      <c r="BJ112" s="45"/>
      <c r="BK112" s="46"/>
      <c r="BL112" s="45"/>
      <c r="BM112" s="46"/>
      <c r="BN112" s="45"/>
    </row>
    <row r="113" spans="1:66" ht="15">
      <c r="A113" s="61" t="s">
        <v>313</v>
      </c>
      <c r="B113" s="61" t="s">
        <v>474</v>
      </c>
      <c r="C113" s="62" t="s">
        <v>4688</v>
      </c>
      <c r="D113" s="63">
        <v>5</v>
      </c>
      <c r="E113" s="62"/>
      <c r="F113" s="65">
        <v>50</v>
      </c>
      <c r="G113" s="62"/>
      <c r="H113" s="66"/>
      <c r="I113" s="67"/>
      <c r="J113" s="67"/>
      <c r="K113" s="31" t="s">
        <v>65</v>
      </c>
      <c r="L113" s="68">
        <v>113</v>
      </c>
      <c r="M113" s="68"/>
      <c r="N113" s="69"/>
      <c r="O113" s="76" t="s">
        <v>588</v>
      </c>
      <c r="P113" s="78">
        <v>44814.64175925926</v>
      </c>
      <c r="Q113" s="76" t="s">
        <v>631</v>
      </c>
      <c r="R113" s="76"/>
      <c r="S113" s="76"/>
      <c r="T113" s="76"/>
      <c r="U113" s="76"/>
      <c r="V113" s="79" t="str">
        <f>HYPERLINK("https://pbs.twimg.com/profile_images/1281338721518997505/XqzhddJm_normal.jpg")</f>
        <v>https://pbs.twimg.com/profile_images/1281338721518997505/XqzhddJm_normal.jpg</v>
      </c>
      <c r="W113" s="78">
        <v>44814.64175925926</v>
      </c>
      <c r="X113" s="84">
        <v>44814</v>
      </c>
      <c r="Y113" s="81" t="s">
        <v>966</v>
      </c>
      <c r="Z113" s="79" t="str">
        <f>HYPERLINK("https://twitter.com/brian_lefevre_/status/1568621353263054848")</f>
        <v>https://twitter.com/brian_lefevre_/status/1568621353263054848</v>
      </c>
      <c r="AA113" s="76"/>
      <c r="AB113" s="76"/>
      <c r="AC113" s="81" t="s">
        <v>1297</v>
      </c>
      <c r="AD113" s="81" t="s">
        <v>1581</v>
      </c>
      <c r="AE113" s="76" t="b">
        <v>0</v>
      </c>
      <c r="AF113" s="76">
        <v>1</v>
      </c>
      <c r="AG113" s="81" t="s">
        <v>1691</v>
      </c>
      <c r="AH113" s="76" t="b">
        <v>0</v>
      </c>
      <c r="AI113" s="76" t="s">
        <v>1772</v>
      </c>
      <c r="AJ113" s="76"/>
      <c r="AK113" s="81" t="s">
        <v>1674</v>
      </c>
      <c r="AL113" s="76" t="b">
        <v>0</v>
      </c>
      <c r="AM113" s="76">
        <v>0</v>
      </c>
      <c r="AN113" s="81" t="s">
        <v>1674</v>
      </c>
      <c r="AO113" s="81" t="s">
        <v>1807</v>
      </c>
      <c r="AP113" s="76" t="b">
        <v>0</v>
      </c>
      <c r="AQ113" s="81" t="s">
        <v>1581</v>
      </c>
      <c r="AR113" s="76" t="s">
        <v>219</v>
      </c>
      <c r="AS113" s="76">
        <v>0</v>
      </c>
      <c r="AT113" s="76">
        <v>0</v>
      </c>
      <c r="AU113" s="76"/>
      <c r="AV113" s="76"/>
      <c r="AW113" s="76"/>
      <c r="AX113" s="76"/>
      <c r="AY113" s="76"/>
      <c r="AZ113" s="76"/>
      <c r="BA113" s="76"/>
      <c r="BB113" s="76"/>
      <c r="BC113">
        <v>1</v>
      </c>
      <c r="BD113" s="75" t="str">
        <f>REPLACE(INDEX(GroupVertices[Group],MATCH(Edges[[#This Row],[Vertex 1]],GroupVertices[Vertex],0)),1,1,"")</f>
        <v>11</v>
      </c>
      <c r="BE113" s="75" t="str">
        <f>REPLACE(INDEX(GroupVertices[Group],MATCH(Edges[[#This Row],[Vertex 2]],GroupVertices[Vertex],0)),1,1,"")</f>
        <v>11</v>
      </c>
      <c r="BF113" s="45"/>
      <c r="BG113" s="46"/>
      <c r="BH113" s="45"/>
      <c r="BI113" s="46"/>
      <c r="BJ113" s="45"/>
      <c r="BK113" s="46"/>
      <c r="BL113" s="45"/>
      <c r="BM113" s="46"/>
      <c r="BN113" s="45"/>
    </row>
    <row r="114" spans="1:66" ht="15">
      <c r="A114" s="61" t="s">
        <v>313</v>
      </c>
      <c r="B114" s="61" t="s">
        <v>475</v>
      </c>
      <c r="C114" s="62" t="s">
        <v>4688</v>
      </c>
      <c r="D114" s="63">
        <v>5</v>
      </c>
      <c r="E114" s="62"/>
      <c r="F114" s="65">
        <v>50</v>
      </c>
      <c r="G114" s="62"/>
      <c r="H114" s="66"/>
      <c r="I114" s="67"/>
      <c r="J114" s="67"/>
      <c r="K114" s="31" t="s">
        <v>65</v>
      </c>
      <c r="L114" s="68">
        <v>114</v>
      </c>
      <c r="M114" s="68"/>
      <c r="N114" s="69"/>
      <c r="O114" s="76" t="s">
        <v>588</v>
      </c>
      <c r="P114" s="78">
        <v>44814.64175925926</v>
      </c>
      <c r="Q114" s="76" t="s">
        <v>631</v>
      </c>
      <c r="R114" s="76"/>
      <c r="S114" s="76"/>
      <c r="T114" s="76"/>
      <c r="U114" s="76"/>
      <c r="V114" s="79" t="str">
        <f>HYPERLINK("https://pbs.twimg.com/profile_images/1281338721518997505/XqzhddJm_normal.jpg")</f>
        <v>https://pbs.twimg.com/profile_images/1281338721518997505/XqzhddJm_normal.jpg</v>
      </c>
      <c r="W114" s="78">
        <v>44814.64175925926</v>
      </c>
      <c r="X114" s="84">
        <v>44814</v>
      </c>
      <c r="Y114" s="81" t="s">
        <v>966</v>
      </c>
      <c r="Z114" s="79" t="str">
        <f>HYPERLINK("https://twitter.com/brian_lefevre_/status/1568621353263054848")</f>
        <v>https://twitter.com/brian_lefevre_/status/1568621353263054848</v>
      </c>
      <c r="AA114" s="76"/>
      <c r="AB114" s="76"/>
      <c r="AC114" s="81" t="s">
        <v>1297</v>
      </c>
      <c r="AD114" s="81" t="s">
        <v>1581</v>
      </c>
      <c r="AE114" s="76" t="b">
        <v>0</v>
      </c>
      <c r="AF114" s="76">
        <v>1</v>
      </c>
      <c r="AG114" s="81" t="s">
        <v>1691</v>
      </c>
      <c r="AH114" s="76" t="b">
        <v>0</v>
      </c>
      <c r="AI114" s="76" t="s">
        <v>1772</v>
      </c>
      <c r="AJ114" s="76"/>
      <c r="AK114" s="81" t="s">
        <v>1674</v>
      </c>
      <c r="AL114" s="76" t="b">
        <v>0</v>
      </c>
      <c r="AM114" s="76">
        <v>0</v>
      </c>
      <c r="AN114" s="81" t="s">
        <v>1674</v>
      </c>
      <c r="AO114" s="81" t="s">
        <v>1807</v>
      </c>
      <c r="AP114" s="76" t="b">
        <v>0</v>
      </c>
      <c r="AQ114" s="81" t="s">
        <v>1581</v>
      </c>
      <c r="AR114" s="76" t="s">
        <v>219</v>
      </c>
      <c r="AS114" s="76">
        <v>0</v>
      </c>
      <c r="AT114" s="76">
        <v>0</v>
      </c>
      <c r="AU114" s="76"/>
      <c r="AV114" s="76"/>
      <c r="AW114" s="76"/>
      <c r="AX114" s="76"/>
      <c r="AY114" s="76"/>
      <c r="AZ114" s="76"/>
      <c r="BA114" s="76"/>
      <c r="BB114" s="76"/>
      <c r="BC114">
        <v>1</v>
      </c>
      <c r="BD114" s="75" t="str">
        <f>REPLACE(INDEX(GroupVertices[Group],MATCH(Edges[[#This Row],[Vertex 1]],GroupVertices[Vertex],0)),1,1,"")</f>
        <v>11</v>
      </c>
      <c r="BE114" s="75" t="str">
        <f>REPLACE(INDEX(GroupVertices[Group],MATCH(Edges[[#This Row],[Vertex 2]],GroupVertices[Vertex],0)),1,1,"")</f>
        <v>11</v>
      </c>
      <c r="BF114" s="45">
        <v>0</v>
      </c>
      <c r="BG114" s="46">
        <v>0</v>
      </c>
      <c r="BH114" s="45">
        <v>2</v>
      </c>
      <c r="BI114" s="46">
        <v>4.761904761904762</v>
      </c>
      <c r="BJ114" s="45">
        <v>0</v>
      </c>
      <c r="BK114" s="46">
        <v>0</v>
      </c>
      <c r="BL114" s="45">
        <v>40</v>
      </c>
      <c r="BM114" s="46">
        <v>95.23809523809524</v>
      </c>
      <c r="BN114" s="45">
        <v>42</v>
      </c>
    </row>
    <row r="115" spans="1:66" ht="15">
      <c r="A115" s="61" t="s">
        <v>313</v>
      </c>
      <c r="B115" s="61" t="s">
        <v>301</v>
      </c>
      <c r="C115" s="62" t="s">
        <v>4688</v>
      </c>
      <c r="D115" s="63">
        <v>5</v>
      </c>
      <c r="E115" s="62"/>
      <c r="F115" s="65">
        <v>50</v>
      </c>
      <c r="G115" s="62"/>
      <c r="H115" s="66"/>
      <c r="I115" s="67"/>
      <c r="J115" s="67"/>
      <c r="K115" s="31" t="s">
        <v>65</v>
      </c>
      <c r="L115" s="68">
        <v>115</v>
      </c>
      <c r="M115" s="68"/>
      <c r="N115" s="69"/>
      <c r="O115" s="76" t="s">
        <v>587</v>
      </c>
      <c r="P115" s="78">
        <v>44814.64175925926</v>
      </c>
      <c r="Q115" s="76" t="s">
        <v>631</v>
      </c>
      <c r="R115" s="76"/>
      <c r="S115" s="76"/>
      <c r="T115" s="76"/>
      <c r="U115" s="76"/>
      <c r="V115" s="79" t="str">
        <f>HYPERLINK("https://pbs.twimg.com/profile_images/1281338721518997505/XqzhddJm_normal.jpg")</f>
        <v>https://pbs.twimg.com/profile_images/1281338721518997505/XqzhddJm_normal.jpg</v>
      </c>
      <c r="W115" s="78">
        <v>44814.64175925926</v>
      </c>
      <c r="X115" s="84">
        <v>44814</v>
      </c>
      <c r="Y115" s="81" t="s">
        <v>966</v>
      </c>
      <c r="Z115" s="79" t="str">
        <f>HYPERLINK("https://twitter.com/brian_lefevre_/status/1568621353263054848")</f>
        <v>https://twitter.com/brian_lefevre_/status/1568621353263054848</v>
      </c>
      <c r="AA115" s="76"/>
      <c r="AB115" s="76"/>
      <c r="AC115" s="81" t="s">
        <v>1297</v>
      </c>
      <c r="AD115" s="81" t="s">
        <v>1581</v>
      </c>
      <c r="AE115" s="76" t="b">
        <v>0</v>
      </c>
      <c r="AF115" s="76">
        <v>1</v>
      </c>
      <c r="AG115" s="81" t="s">
        <v>1691</v>
      </c>
      <c r="AH115" s="76" t="b">
        <v>0</v>
      </c>
      <c r="AI115" s="76" t="s">
        <v>1772</v>
      </c>
      <c r="AJ115" s="76"/>
      <c r="AK115" s="81" t="s">
        <v>1674</v>
      </c>
      <c r="AL115" s="76" t="b">
        <v>0</v>
      </c>
      <c r="AM115" s="76">
        <v>0</v>
      </c>
      <c r="AN115" s="81" t="s">
        <v>1674</v>
      </c>
      <c r="AO115" s="81" t="s">
        <v>1807</v>
      </c>
      <c r="AP115" s="76" t="b">
        <v>0</v>
      </c>
      <c r="AQ115" s="81" t="s">
        <v>1581</v>
      </c>
      <c r="AR115" s="76" t="s">
        <v>219</v>
      </c>
      <c r="AS115" s="76">
        <v>0</v>
      </c>
      <c r="AT115" s="76">
        <v>0</v>
      </c>
      <c r="AU115" s="76"/>
      <c r="AV115" s="76"/>
      <c r="AW115" s="76"/>
      <c r="AX115" s="76"/>
      <c r="AY115" s="76"/>
      <c r="AZ115" s="76"/>
      <c r="BA115" s="76"/>
      <c r="BB115" s="76"/>
      <c r="BC115">
        <v>1</v>
      </c>
      <c r="BD115" s="75" t="str">
        <f>REPLACE(INDEX(GroupVertices[Group],MATCH(Edges[[#This Row],[Vertex 1]],GroupVertices[Vertex],0)),1,1,"")</f>
        <v>11</v>
      </c>
      <c r="BE115" s="75" t="str">
        <f>REPLACE(INDEX(GroupVertices[Group],MATCH(Edges[[#This Row],[Vertex 2]],GroupVertices[Vertex],0)),1,1,"")</f>
        <v>11</v>
      </c>
      <c r="BF115" s="45"/>
      <c r="BG115" s="46"/>
      <c r="BH115" s="45"/>
      <c r="BI115" s="46"/>
      <c r="BJ115" s="45"/>
      <c r="BK115" s="46"/>
      <c r="BL115" s="45"/>
      <c r="BM115" s="46"/>
      <c r="BN115" s="45"/>
    </row>
    <row r="116" spans="1:66" ht="15">
      <c r="A116" s="61" t="s">
        <v>314</v>
      </c>
      <c r="B116" s="61" t="s">
        <v>414</v>
      </c>
      <c r="C116" s="62" t="s">
        <v>4688</v>
      </c>
      <c r="D116" s="63">
        <v>5</v>
      </c>
      <c r="E116" s="62"/>
      <c r="F116" s="65">
        <v>50</v>
      </c>
      <c r="G116" s="62"/>
      <c r="H116" s="66"/>
      <c r="I116" s="67"/>
      <c r="J116" s="67"/>
      <c r="K116" s="31" t="s">
        <v>65</v>
      </c>
      <c r="L116" s="68">
        <v>116</v>
      </c>
      <c r="M116" s="68"/>
      <c r="N116" s="69"/>
      <c r="O116" s="76" t="s">
        <v>586</v>
      </c>
      <c r="P116" s="78">
        <v>44814.921111111114</v>
      </c>
      <c r="Q116" s="76" t="s">
        <v>632</v>
      </c>
      <c r="R116" s="76"/>
      <c r="S116" s="76"/>
      <c r="T116" s="81" t="s">
        <v>819</v>
      </c>
      <c r="U116" s="76"/>
      <c r="V116" s="79" t="str">
        <f>HYPERLINK("https://pbs.twimg.com/profile_images/1558576684005265414/xPXXVVG2_normal.jpg")</f>
        <v>https://pbs.twimg.com/profile_images/1558576684005265414/xPXXVVG2_normal.jpg</v>
      </c>
      <c r="W116" s="78">
        <v>44814.921111111114</v>
      </c>
      <c r="X116" s="84">
        <v>44814</v>
      </c>
      <c r="Y116" s="81" t="s">
        <v>967</v>
      </c>
      <c r="Z116" s="79" t="str">
        <f>HYPERLINK("https://twitter.com/neprfl/status/1568722583800905728")</f>
        <v>https://twitter.com/neprfl/status/1568722583800905728</v>
      </c>
      <c r="AA116" s="76"/>
      <c r="AB116" s="76"/>
      <c r="AC116" s="81" t="s">
        <v>1298</v>
      </c>
      <c r="AD116" s="76"/>
      <c r="AE116" s="76" t="b">
        <v>0</v>
      </c>
      <c r="AF116" s="76">
        <v>0</v>
      </c>
      <c r="AG116" s="81" t="s">
        <v>1674</v>
      </c>
      <c r="AH116" s="76" t="b">
        <v>0</v>
      </c>
      <c r="AI116" s="76" t="s">
        <v>1771</v>
      </c>
      <c r="AJ116" s="76"/>
      <c r="AK116" s="81" t="s">
        <v>1674</v>
      </c>
      <c r="AL116" s="76" t="b">
        <v>0</v>
      </c>
      <c r="AM116" s="76">
        <v>4</v>
      </c>
      <c r="AN116" s="81" t="s">
        <v>1450</v>
      </c>
      <c r="AO116" s="81" t="s">
        <v>1807</v>
      </c>
      <c r="AP116" s="76" t="b">
        <v>0</v>
      </c>
      <c r="AQ116" s="81" t="s">
        <v>1450</v>
      </c>
      <c r="AR116" s="76" t="s">
        <v>219</v>
      </c>
      <c r="AS116" s="76">
        <v>0</v>
      </c>
      <c r="AT116" s="76">
        <v>0</v>
      </c>
      <c r="AU116" s="76"/>
      <c r="AV116" s="76"/>
      <c r="AW116" s="76"/>
      <c r="AX116" s="76"/>
      <c r="AY116" s="76"/>
      <c r="AZ116" s="76"/>
      <c r="BA116" s="76"/>
      <c r="BB116" s="76"/>
      <c r="BC116">
        <v>1</v>
      </c>
      <c r="BD116" s="75" t="str">
        <f>REPLACE(INDEX(GroupVertices[Group],MATCH(Edges[[#This Row],[Vertex 1]],GroupVertices[Vertex],0)),1,1,"")</f>
        <v>3</v>
      </c>
      <c r="BE116" s="75" t="str">
        <f>REPLACE(INDEX(GroupVertices[Group],MATCH(Edges[[#This Row],[Vertex 2]],GroupVertices[Vertex],0)),1,1,"")</f>
        <v>3</v>
      </c>
      <c r="BF116" s="45">
        <v>0</v>
      </c>
      <c r="BG116" s="46">
        <v>0</v>
      </c>
      <c r="BH116" s="45">
        <v>0</v>
      </c>
      <c r="BI116" s="46">
        <v>0</v>
      </c>
      <c r="BJ116" s="45">
        <v>0</v>
      </c>
      <c r="BK116" s="46">
        <v>0</v>
      </c>
      <c r="BL116" s="45">
        <v>5</v>
      </c>
      <c r="BM116" s="46">
        <v>100</v>
      </c>
      <c r="BN116" s="45">
        <v>5</v>
      </c>
    </row>
    <row r="117" spans="1:66" ht="15">
      <c r="A117" s="61" t="s">
        <v>315</v>
      </c>
      <c r="B117" s="61" t="s">
        <v>315</v>
      </c>
      <c r="C117" s="62" t="s">
        <v>4689</v>
      </c>
      <c r="D117" s="63">
        <v>5.416666666666667</v>
      </c>
      <c r="E117" s="62"/>
      <c r="F117" s="65">
        <v>47.083333333333336</v>
      </c>
      <c r="G117" s="62"/>
      <c r="H117" s="66"/>
      <c r="I117" s="67"/>
      <c r="J117" s="67"/>
      <c r="K117" s="31" t="s">
        <v>65</v>
      </c>
      <c r="L117" s="68">
        <v>117</v>
      </c>
      <c r="M117" s="68"/>
      <c r="N117" s="69"/>
      <c r="O117" s="76" t="s">
        <v>219</v>
      </c>
      <c r="P117" s="78">
        <v>44814.87075231481</v>
      </c>
      <c r="Q117" s="76" t="s">
        <v>633</v>
      </c>
      <c r="R117" s="79" t="str">
        <f>HYPERLINK("https://twitter.com/MMerangul/status/1568596784678666250")</f>
        <v>https://twitter.com/MMerangul/status/1568596784678666250</v>
      </c>
      <c r="S117" s="76" t="s">
        <v>783</v>
      </c>
      <c r="T117" s="81" t="s">
        <v>820</v>
      </c>
      <c r="U117" s="76"/>
      <c r="V117" s="79" t="str">
        <f>HYPERLINK("https://pbs.twimg.com/profile_images/1568948429656674306/euHVm6a2_normal.jpg")</f>
        <v>https://pbs.twimg.com/profile_images/1568948429656674306/euHVm6a2_normal.jpg</v>
      </c>
      <c r="W117" s="78">
        <v>44814.87075231481</v>
      </c>
      <c r="X117" s="84">
        <v>44814</v>
      </c>
      <c r="Y117" s="81" t="s">
        <v>968</v>
      </c>
      <c r="Z117" s="79" t="str">
        <f>HYPERLINK("https://twitter.com/doctornazab/status/1568704337144061952")</f>
        <v>https://twitter.com/doctornazab/status/1568704337144061952</v>
      </c>
      <c r="AA117" s="76"/>
      <c r="AB117" s="76"/>
      <c r="AC117" s="81" t="s">
        <v>1299</v>
      </c>
      <c r="AD117" s="76"/>
      <c r="AE117" s="76" t="b">
        <v>0</v>
      </c>
      <c r="AF117" s="76">
        <v>1</v>
      </c>
      <c r="AG117" s="81" t="s">
        <v>1674</v>
      </c>
      <c r="AH117" s="76" t="b">
        <v>1</v>
      </c>
      <c r="AI117" s="76" t="s">
        <v>1772</v>
      </c>
      <c r="AJ117" s="76"/>
      <c r="AK117" s="81" t="s">
        <v>1793</v>
      </c>
      <c r="AL117" s="76" t="b">
        <v>0</v>
      </c>
      <c r="AM117" s="76">
        <v>1</v>
      </c>
      <c r="AN117" s="81" t="s">
        <v>1674</v>
      </c>
      <c r="AO117" s="81" t="s">
        <v>1808</v>
      </c>
      <c r="AP117" s="76" t="b">
        <v>0</v>
      </c>
      <c r="AQ117" s="81" t="s">
        <v>1299</v>
      </c>
      <c r="AR117" s="76" t="s">
        <v>219</v>
      </c>
      <c r="AS117" s="76">
        <v>0</v>
      </c>
      <c r="AT117" s="76">
        <v>0</v>
      </c>
      <c r="AU117" s="76"/>
      <c r="AV117" s="76"/>
      <c r="AW117" s="76"/>
      <c r="AX117" s="76"/>
      <c r="AY117" s="76"/>
      <c r="AZ117" s="76"/>
      <c r="BA117" s="76"/>
      <c r="BB117" s="76"/>
      <c r="BC117">
        <v>2</v>
      </c>
      <c r="BD117" s="75" t="str">
        <f>REPLACE(INDEX(GroupVertices[Group],MATCH(Edges[[#This Row],[Vertex 1]],GroupVertices[Vertex],0)),1,1,"")</f>
        <v>2</v>
      </c>
      <c r="BE117" s="75" t="str">
        <f>REPLACE(INDEX(GroupVertices[Group],MATCH(Edges[[#This Row],[Vertex 2]],GroupVertices[Vertex],0)),1,1,"")</f>
        <v>2</v>
      </c>
      <c r="BF117" s="45">
        <v>0</v>
      </c>
      <c r="BG117" s="46">
        <v>0</v>
      </c>
      <c r="BH117" s="45">
        <v>0</v>
      </c>
      <c r="BI117" s="46">
        <v>0</v>
      </c>
      <c r="BJ117" s="45">
        <v>0</v>
      </c>
      <c r="BK117" s="46">
        <v>0</v>
      </c>
      <c r="BL117" s="45">
        <v>6</v>
      </c>
      <c r="BM117" s="46">
        <v>100</v>
      </c>
      <c r="BN117" s="45">
        <v>6</v>
      </c>
    </row>
    <row r="118" spans="1:66" ht="15">
      <c r="A118" s="61" t="s">
        <v>315</v>
      </c>
      <c r="B118" s="61" t="s">
        <v>315</v>
      </c>
      <c r="C118" s="62" t="s">
        <v>4689</v>
      </c>
      <c r="D118" s="63">
        <v>5.416666666666667</v>
      </c>
      <c r="E118" s="62"/>
      <c r="F118" s="65">
        <v>47.083333333333336</v>
      </c>
      <c r="G118" s="62"/>
      <c r="H118" s="66"/>
      <c r="I118" s="67"/>
      <c r="J118" s="67"/>
      <c r="K118" s="31" t="s">
        <v>65</v>
      </c>
      <c r="L118" s="68">
        <v>118</v>
      </c>
      <c r="M118" s="68"/>
      <c r="N118" s="69"/>
      <c r="O118" s="76" t="s">
        <v>586</v>
      </c>
      <c r="P118" s="78">
        <v>44814.937314814815</v>
      </c>
      <c r="Q118" s="76" t="s">
        <v>633</v>
      </c>
      <c r="R118" s="79" t="str">
        <f>HYPERLINK("https://twitter.com/MMerangul/status/1568596784678666250")</f>
        <v>https://twitter.com/MMerangul/status/1568596784678666250</v>
      </c>
      <c r="S118" s="76" t="s">
        <v>783</v>
      </c>
      <c r="T118" s="81" t="s">
        <v>820</v>
      </c>
      <c r="U118" s="76"/>
      <c r="V118" s="79" t="str">
        <f>HYPERLINK("https://pbs.twimg.com/profile_images/1568948429656674306/euHVm6a2_normal.jpg")</f>
        <v>https://pbs.twimg.com/profile_images/1568948429656674306/euHVm6a2_normal.jpg</v>
      </c>
      <c r="W118" s="78">
        <v>44814.937314814815</v>
      </c>
      <c r="X118" s="84">
        <v>44814</v>
      </c>
      <c r="Y118" s="81" t="s">
        <v>969</v>
      </c>
      <c r="Z118" s="79" t="str">
        <f>HYPERLINK("https://twitter.com/doctornazab/status/1568728456543993856")</f>
        <v>https://twitter.com/doctornazab/status/1568728456543993856</v>
      </c>
      <c r="AA118" s="76"/>
      <c r="AB118" s="76"/>
      <c r="AC118" s="81" t="s">
        <v>1300</v>
      </c>
      <c r="AD118" s="76"/>
      <c r="AE118" s="76" t="b">
        <v>0</v>
      </c>
      <c r="AF118" s="76">
        <v>0</v>
      </c>
      <c r="AG118" s="81" t="s">
        <v>1674</v>
      </c>
      <c r="AH118" s="76" t="b">
        <v>1</v>
      </c>
      <c r="AI118" s="76" t="s">
        <v>1772</v>
      </c>
      <c r="AJ118" s="76"/>
      <c r="AK118" s="81" t="s">
        <v>1793</v>
      </c>
      <c r="AL118" s="76" t="b">
        <v>0</v>
      </c>
      <c r="AM118" s="76">
        <v>1</v>
      </c>
      <c r="AN118" s="81" t="s">
        <v>1299</v>
      </c>
      <c r="AO118" s="81" t="s">
        <v>1808</v>
      </c>
      <c r="AP118" s="76" t="b">
        <v>0</v>
      </c>
      <c r="AQ118" s="81" t="s">
        <v>1299</v>
      </c>
      <c r="AR118" s="76" t="s">
        <v>219</v>
      </c>
      <c r="AS118" s="76">
        <v>0</v>
      </c>
      <c r="AT118" s="76">
        <v>0</v>
      </c>
      <c r="AU118" s="76"/>
      <c r="AV118" s="76"/>
      <c r="AW118" s="76"/>
      <c r="AX118" s="76"/>
      <c r="AY118" s="76"/>
      <c r="AZ118" s="76"/>
      <c r="BA118" s="76"/>
      <c r="BB118" s="76"/>
      <c r="BC118">
        <v>2</v>
      </c>
      <c r="BD118" s="75" t="str">
        <f>REPLACE(INDEX(GroupVertices[Group],MATCH(Edges[[#This Row],[Vertex 1]],GroupVertices[Vertex],0)),1,1,"")</f>
        <v>2</v>
      </c>
      <c r="BE118" s="75" t="str">
        <f>REPLACE(INDEX(GroupVertices[Group],MATCH(Edges[[#This Row],[Vertex 2]],GroupVertices[Vertex],0)),1,1,"")</f>
        <v>2</v>
      </c>
      <c r="BF118" s="45">
        <v>0</v>
      </c>
      <c r="BG118" s="46">
        <v>0</v>
      </c>
      <c r="BH118" s="45">
        <v>0</v>
      </c>
      <c r="BI118" s="46">
        <v>0</v>
      </c>
      <c r="BJ118" s="45">
        <v>0</v>
      </c>
      <c r="BK118" s="46">
        <v>0</v>
      </c>
      <c r="BL118" s="45">
        <v>6</v>
      </c>
      <c r="BM118" s="46">
        <v>100</v>
      </c>
      <c r="BN118" s="45">
        <v>6</v>
      </c>
    </row>
    <row r="119" spans="1:66" ht="15">
      <c r="A119" s="61" t="s">
        <v>316</v>
      </c>
      <c r="B119" s="61" t="s">
        <v>379</v>
      </c>
      <c r="C119" s="62" t="s">
        <v>4688</v>
      </c>
      <c r="D119" s="63">
        <v>5</v>
      </c>
      <c r="E119" s="62"/>
      <c r="F119" s="65">
        <v>50</v>
      </c>
      <c r="G119" s="62"/>
      <c r="H119" s="66"/>
      <c r="I119" s="67"/>
      <c r="J119" s="67"/>
      <c r="K119" s="31" t="s">
        <v>65</v>
      </c>
      <c r="L119" s="68">
        <v>119</v>
      </c>
      <c r="M119" s="68"/>
      <c r="N119" s="69"/>
      <c r="O119" s="76" t="s">
        <v>586</v>
      </c>
      <c r="P119" s="78">
        <v>44815.27347222222</v>
      </c>
      <c r="Q119" s="76" t="s">
        <v>634</v>
      </c>
      <c r="R119" s="79" t="str">
        <f>HYPERLINK("https://twitter.com/StepanGronk/status/1568043302032928768")</f>
        <v>https://twitter.com/StepanGronk/status/1568043302032928768</v>
      </c>
      <c r="S119" s="76" t="s">
        <v>783</v>
      </c>
      <c r="T119" s="81" t="s">
        <v>821</v>
      </c>
      <c r="U119" s="76"/>
      <c r="V119" s="79" t="str">
        <f>HYPERLINK("https://pbs.twimg.com/profile_images/1523823077171208192/-W8oi3yt_normal.jpg")</f>
        <v>https://pbs.twimg.com/profile_images/1523823077171208192/-W8oi3yt_normal.jpg</v>
      </c>
      <c r="W119" s="78">
        <v>44815.27347222222</v>
      </c>
      <c r="X119" s="84">
        <v>44815</v>
      </c>
      <c r="Y119" s="81" t="s">
        <v>970</v>
      </c>
      <c r="Z119" s="79" t="str">
        <f>HYPERLINK("https://twitter.com/alex87431641/status/1568850275829686272")</f>
        <v>https://twitter.com/alex87431641/status/1568850275829686272</v>
      </c>
      <c r="AA119" s="76"/>
      <c r="AB119" s="76"/>
      <c r="AC119" s="81" t="s">
        <v>1301</v>
      </c>
      <c r="AD119" s="76"/>
      <c r="AE119" s="76" t="b">
        <v>0</v>
      </c>
      <c r="AF119" s="76">
        <v>0</v>
      </c>
      <c r="AG119" s="81" t="s">
        <v>1674</v>
      </c>
      <c r="AH119" s="76" t="b">
        <v>1</v>
      </c>
      <c r="AI119" s="76" t="s">
        <v>1772</v>
      </c>
      <c r="AJ119" s="76"/>
      <c r="AK119" s="81" t="s">
        <v>1794</v>
      </c>
      <c r="AL119" s="76" t="b">
        <v>0</v>
      </c>
      <c r="AM119" s="76">
        <v>2</v>
      </c>
      <c r="AN119" s="81" t="s">
        <v>1386</v>
      </c>
      <c r="AO119" s="81" t="s">
        <v>1809</v>
      </c>
      <c r="AP119" s="76" t="b">
        <v>0</v>
      </c>
      <c r="AQ119" s="81" t="s">
        <v>1386</v>
      </c>
      <c r="AR119" s="76" t="s">
        <v>219</v>
      </c>
      <c r="AS119" s="76">
        <v>0</v>
      </c>
      <c r="AT119" s="76">
        <v>0</v>
      </c>
      <c r="AU119" s="76"/>
      <c r="AV119" s="76"/>
      <c r="AW119" s="76"/>
      <c r="AX119" s="76"/>
      <c r="AY119" s="76"/>
      <c r="AZ119" s="76"/>
      <c r="BA119" s="76"/>
      <c r="BB119" s="76"/>
      <c r="BC119">
        <v>1</v>
      </c>
      <c r="BD119" s="75" t="str">
        <f>REPLACE(INDEX(GroupVertices[Group],MATCH(Edges[[#This Row],[Vertex 1]],GroupVertices[Vertex],0)),1,1,"")</f>
        <v>13</v>
      </c>
      <c r="BE119" s="75" t="str">
        <f>REPLACE(INDEX(GroupVertices[Group],MATCH(Edges[[#This Row],[Vertex 2]],GroupVertices[Vertex],0)),1,1,"")</f>
        <v>13</v>
      </c>
      <c r="BF119" s="45">
        <v>0</v>
      </c>
      <c r="BG119" s="46">
        <v>0</v>
      </c>
      <c r="BH119" s="45">
        <v>1</v>
      </c>
      <c r="BI119" s="46">
        <v>6.25</v>
      </c>
      <c r="BJ119" s="45">
        <v>0</v>
      </c>
      <c r="BK119" s="46">
        <v>0</v>
      </c>
      <c r="BL119" s="45">
        <v>15</v>
      </c>
      <c r="BM119" s="46">
        <v>93.75</v>
      </c>
      <c r="BN119" s="45">
        <v>16</v>
      </c>
    </row>
    <row r="120" spans="1:66" ht="15">
      <c r="A120" s="61" t="s">
        <v>317</v>
      </c>
      <c r="B120" s="61" t="s">
        <v>476</v>
      </c>
      <c r="C120" s="62" t="s">
        <v>4688</v>
      </c>
      <c r="D120" s="63">
        <v>5</v>
      </c>
      <c r="E120" s="62"/>
      <c r="F120" s="65">
        <v>50</v>
      </c>
      <c r="G120" s="62"/>
      <c r="H120" s="66"/>
      <c r="I120" s="67"/>
      <c r="J120" s="67"/>
      <c r="K120" s="31" t="s">
        <v>65</v>
      </c>
      <c r="L120" s="68">
        <v>120</v>
      </c>
      <c r="M120" s="68"/>
      <c r="N120" s="69"/>
      <c r="O120" s="76" t="s">
        <v>588</v>
      </c>
      <c r="P120" s="78">
        <v>44815.287465277775</v>
      </c>
      <c r="Q120" s="76" t="s">
        <v>635</v>
      </c>
      <c r="R120" s="76"/>
      <c r="S120" s="76"/>
      <c r="T120" s="81" t="s">
        <v>795</v>
      </c>
      <c r="U120" s="76"/>
      <c r="V120" s="79" t="str">
        <f>HYPERLINK("https://pbs.twimg.com/profile_images/1542401699238789124/Qzd6s1He_normal.jpg")</f>
        <v>https://pbs.twimg.com/profile_images/1542401699238789124/Qzd6s1He_normal.jpg</v>
      </c>
      <c r="W120" s="78">
        <v>44815.287465277775</v>
      </c>
      <c r="X120" s="84">
        <v>44815</v>
      </c>
      <c r="Y120" s="81" t="s">
        <v>971</v>
      </c>
      <c r="Z120" s="79" t="str">
        <f>HYPERLINK("https://twitter.com/levin3700/status/1568855346373869568")</f>
        <v>https://twitter.com/levin3700/status/1568855346373869568</v>
      </c>
      <c r="AA120" s="76"/>
      <c r="AB120" s="76"/>
      <c r="AC120" s="81" t="s">
        <v>1302</v>
      </c>
      <c r="AD120" s="81" t="s">
        <v>1582</v>
      </c>
      <c r="AE120" s="76" t="b">
        <v>0</v>
      </c>
      <c r="AF120" s="76">
        <v>0</v>
      </c>
      <c r="AG120" s="81" t="s">
        <v>1692</v>
      </c>
      <c r="AH120" s="76" t="b">
        <v>0</v>
      </c>
      <c r="AI120" s="76" t="s">
        <v>1773</v>
      </c>
      <c r="AJ120" s="76"/>
      <c r="AK120" s="81" t="s">
        <v>1674</v>
      </c>
      <c r="AL120" s="76" t="b">
        <v>0</v>
      </c>
      <c r="AM120" s="76">
        <v>0</v>
      </c>
      <c r="AN120" s="81" t="s">
        <v>1674</v>
      </c>
      <c r="AO120" s="81" t="s">
        <v>1808</v>
      </c>
      <c r="AP120" s="76" t="b">
        <v>0</v>
      </c>
      <c r="AQ120" s="81" t="s">
        <v>1582</v>
      </c>
      <c r="AR120" s="76" t="s">
        <v>219</v>
      </c>
      <c r="AS120" s="76">
        <v>0</v>
      </c>
      <c r="AT120" s="76">
        <v>0</v>
      </c>
      <c r="AU120" s="76"/>
      <c r="AV120" s="76"/>
      <c r="AW120" s="76"/>
      <c r="AX120" s="76"/>
      <c r="AY120" s="76"/>
      <c r="AZ120" s="76"/>
      <c r="BA120" s="76"/>
      <c r="BB120" s="76"/>
      <c r="BC120">
        <v>1</v>
      </c>
      <c r="BD120" s="75" t="str">
        <f>REPLACE(INDEX(GroupVertices[Group],MATCH(Edges[[#This Row],[Vertex 1]],GroupVertices[Vertex],0)),1,1,"")</f>
        <v>25</v>
      </c>
      <c r="BE120" s="75" t="str">
        <f>REPLACE(INDEX(GroupVertices[Group],MATCH(Edges[[#This Row],[Vertex 2]],GroupVertices[Vertex],0)),1,1,"")</f>
        <v>25</v>
      </c>
      <c r="BF120" s="45"/>
      <c r="BG120" s="46"/>
      <c r="BH120" s="45"/>
      <c r="BI120" s="46"/>
      <c r="BJ120" s="45"/>
      <c r="BK120" s="46"/>
      <c r="BL120" s="45"/>
      <c r="BM120" s="46"/>
      <c r="BN120" s="45"/>
    </row>
    <row r="121" spans="1:66" ht="15">
      <c r="A121" s="61" t="s">
        <v>317</v>
      </c>
      <c r="B121" s="61" t="s">
        <v>477</v>
      </c>
      <c r="C121" s="62" t="s">
        <v>4688</v>
      </c>
      <c r="D121" s="63">
        <v>5</v>
      </c>
      <c r="E121" s="62"/>
      <c r="F121" s="65">
        <v>50</v>
      </c>
      <c r="G121" s="62"/>
      <c r="H121" s="66"/>
      <c r="I121" s="67"/>
      <c r="J121" s="67"/>
      <c r="K121" s="31" t="s">
        <v>65</v>
      </c>
      <c r="L121" s="68">
        <v>121</v>
      </c>
      <c r="M121" s="68"/>
      <c r="N121" s="69"/>
      <c r="O121" s="76" t="s">
        <v>587</v>
      </c>
      <c r="P121" s="78">
        <v>44815.287465277775</v>
      </c>
      <c r="Q121" s="76" t="s">
        <v>635</v>
      </c>
      <c r="R121" s="76"/>
      <c r="S121" s="76"/>
      <c r="T121" s="81" t="s">
        <v>795</v>
      </c>
      <c r="U121" s="76"/>
      <c r="V121" s="79" t="str">
        <f>HYPERLINK("https://pbs.twimg.com/profile_images/1542401699238789124/Qzd6s1He_normal.jpg")</f>
        <v>https://pbs.twimg.com/profile_images/1542401699238789124/Qzd6s1He_normal.jpg</v>
      </c>
      <c r="W121" s="78">
        <v>44815.287465277775</v>
      </c>
      <c r="X121" s="84">
        <v>44815</v>
      </c>
      <c r="Y121" s="81" t="s">
        <v>971</v>
      </c>
      <c r="Z121" s="79" t="str">
        <f>HYPERLINK("https://twitter.com/levin3700/status/1568855346373869568")</f>
        <v>https://twitter.com/levin3700/status/1568855346373869568</v>
      </c>
      <c r="AA121" s="76"/>
      <c r="AB121" s="76"/>
      <c r="AC121" s="81" t="s">
        <v>1302</v>
      </c>
      <c r="AD121" s="81" t="s">
        <v>1582</v>
      </c>
      <c r="AE121" s="76" t="b">
        <v>0</v>
      </c>
      <c r="AF121" s="76">
        <v>0</v>
      </c>
      <c r="AG121" s="81" t="s">
        <v>1692</v>
      </c>
      <c r="AH121" s="76" t="b">
        <v>0</v>
      </c>
      <c r="AI121" s="76" t="s">
        <v>1773</v>
      </c>
      <c r="AJ121" s="76"/>
      <c r="AK121" s="81" t="s">
        <v>1674</v>
      </c>
      <c r="AL121" s="76" t="b">
        <v>0</v>
      </c>
      <c r="AM121" s="76">
        <v>0</v>
      </c>
      <c r="AN121" s="81" t="s">
        <v>1674</v>
      </c>
      <c r="AO121" s="81" t="s">
        <v>1808</v>
      </c>
      <c r="AP121" s="76" t="b">
        <v>0</v>
      </c>
      <c r="AQ121" s="81" t="s">
        <v>1582</v>
      </c>
      <c r="AR121" s="76" t="s">
        <v>219</v>
      </c>
      <c r="AS121" s="76">
        <v>0</v>
      </c>
      <c r="AT121" s="76">
        <v>0</v>
      </c>
      <c r="AU121" s="76"/>
      <c r="AV121" s="76"/>
      <c r="AW121" s="76"/>
      <c r="AX121" s="76"/>
      <c r="AY121" s="76"/>
      <c r="AZ121" s="76"/>
      <c r="BA121" s="76"/>
      <c r="BB121" s="76"/>
      <c r="BC121">
        <v>1</v>
      </c>
      <c r="BD121" s="75" t="str">
        <f>REPLACE(INDEX(GroupVertices[Group],MATCH(Edges[[#This Row],[Vertex 1]],GroupVertices[Vertex],0)),1,1,"")</f>
        <v>25</v>
      </c>
      <c r="BE121" s="75" t="str">
        <f>REPLACE(INDEX(GroupVertices[Group],MATCH(Edges[[#This Row],[Vertex 2]],GroupVertices[Vertex],0)),1,1,"")</f>
        <v>25</v>
      </c>
      <c r="BF121" s="45"/>
      <c r="BG121" s="46"/>
      <c r="BH121" s="45"/>
      <c r="BI121" s="46"/>
      <c r="BJ121" s="45"/>
      <c r="BK121" s="46"/>
      <c r="BL121" s="45"/>
      <c r="BM121" s="46"/>
      <c r="BN121" s="45"/>
    </row>
    <row r="122" spans="1:66" ht="15">
      <c r="A122" s="61" t="s">
        <v>317</v>
      </c>
      <c r="B122" s="61" t="s">
        <v>478</v>
      </c>
      <c r="C122" s="62" t="s">
        <v>4688</v>
      </c>
      <c r="D122" s="63">
        <v>5</v>
      </c>
      <c r="E122" s="62"/>
      <c r="F122" s="65">
        <v>50</v>
      </c>
      <c r="G122" s="62"/>
      <c r="H122" s="66"/>
      <c r="I122" s="67"/>
      <c r="J122" s="67"/>
      <c r="K122" s="31" t="s">
        <v>65</v>
      </c>
      <c r="L122" s="68">
        <v>122</v>
      </c>
      <c r="M122" s="68"/>
      <c r="N122" s="69"/>
      <c r="O122" s="76" t="s">
        <v>588</v>
      </c>
      <c r="P122" s="78">
        <v>44815.287465277775</v>
      </c>
      <c r="Q122" s="76" t="s">
        <v>635</v>
      </c>
      <c r="R122" s="76"/>
      <c r="S122" s="76"/>
      <c r="T122" s="81" t="s">
        <v>795</v>
      </c>
      <c r="U122" s="76"/>
      <c r="V122" s="79" t="str">
        <f>HYPERLINK("https://pbs.twimg.com/profile_images/1542401699238789124/Qzd6s1He_normal.jpg")</f>
        <v>https://pbs.twimg.com/profile_images/1542401699238789124/Qzd6s1He_normal.jpg</v>
      </c>
      <c r="W122" s="78">
        <v>44815.287465277775</v>
      </c>
      <c r="X122" s="84">
        <v>44815</v>
      </c>
      <c r="Y122" s="81" t="s">
        <v>971</v>
      </c>
      <c r="Z122" s="79" t="str">
        <f>HYPERLINK("https://twitter.com/levin3700/status/1568855346373869568")</f>
        <v>https://twitter.com/levin3700/status/1568855346373869568</v>
      </c>
      <c r="AA122" s="76"/>
      <c r="AB122" s="76"/>
      <c r="AC122" s="81" t="s">
        <v>1302</v>
      </c>
      <c r="AD122" s="81" t="s">
        <v>1582</v>
      </c>
      <c r="AE122" s="76" t="b">
        <v>0</v>
      </c>
      <c r="AF122" s="76">
        <v>0</v>
      </c>
      <c r="AG122" s="81" t="s">
        <v>1692</v>
      </c>
      <c r="AH122" s="76" t="b">
        <v>0</v>
      </c>
      <c r="AI122" s="76" t="s">
        <v>1773</v>
      </c>
      <c r="AJ122" s="76"/>
      <c r="AK122" s="81" t="s">
        <v>1674</v>
      </c>
      <c r="AL122" s="76" t="b">
        <v>0</v>
      </c>
      <c r="AM122" s="76">
        <v>0</v>
      </c>
      <c r="AN122" s="81" t="s">
        <v>1674</v>
      </c>
      <c r="AO122" s="81" t="s">
        <v>1808</v>
      </c>
      <c r="AP122" s="76" t="b">
        <v>0</v>
      </c>
      <c r="AQ122" s="81" t="s">
        <v>1582</v>
      </c>
      <c r="AR122" s="76" t="s">
        <v>219</v>
      </c>
      <c r="AS122" s="76">
        <v>0</v>
      </c>
      <c r="AT122" s="76">
        <v>0</v>
      </c>
      <c r="AU122" s="76"/>
      <c r="AV122" s="76"/>
      <c r="AW122" s="76"/>
      <c r="AX122" s="76"/>
      <c r="AY122" s="76"/>
      <c r="AZ122" s="76"/>
      <c r="BA122" s="76"/>
      <c r="BB122" s="76"/>
      <c r="BC122">
        <v>1</v>
      </c>
      <c r="BD122" s="75" t="str">
        <f>REPLACE(INDEX(GroupVertices[Group],MATCH(Edges[[#This Row],[Vertex 1]],GroupVertices[Vertex],0)),1,1,"")</f>
        <v>25</v>
      </c>
      <c r="BE122" s="75" t="str">
        <f>REPLACE(INDEX(GroupVertices[Group],MATCH(Edges[[#This Row],[Vertex 2]],GroupVertices[Vertex],0)),1,1,"")</f>
        <v>25</v>
      </c>
      <c r="BF122" s="45">
        <v>0</v>
      </c>
      <c r="BG122" s="46">
        <v>0</v>
      </c>
      <c r="BH122" s="45">
        <v>0</v>
      </c>
      <c r="BI122" s="46">
        <v>0</v>
      </c>
      <c r="BJ122" s="45">
        <v>0</v>
      </c>
      <c r="BK122" s="46">
        <v>0</v>
      </c>
      <c r="BL122" s="45">
        <v>4</v>
      </c>
      <c r="BM122" s="46">
        <v>100</v>
      </c>
      <c r="BN122" s="45">
        <v>4</v>
      </c>
    </row>
    <row r="123" spans="1:66" ht="15">
      <c r="A123" s="61" t="s">
        <v>318</v>
      </c>
      <c r="B123" s="61" t="s">
        <v>460</v>
      </c>
      <c r="C123" s="62" t="s">
        <v>4688</v>
      </c>
      <c r="D123" s="63">
        <v>5</v>
      </c>
      <c r="E123" s="62"/>
      <c r="F123" s="65">
        <v>50</v>
      </c>
      <c r="G123" s="62"/>
      <c r="H123" s="66"/>
      <c r="I123" s="67"/>
      <c r="J123" s="67"/>
      <c r="K123" s="31" t="s">
        <v>65</v>
      </c>
      <c r="L123" s="68">
        <v>123</v>
      </c>
      <c r="M123" s="68"/>
      <c r="N123" s="69"/>
      <c r="O123" s="76" t="s">
        <v>588</v>
      </c>
      <c r="P123" s="78">
        <v>44809.77690972222</v>
      </c>
      <c r="Q123" s="76" t="s">
        <v>589</v>
      </c>
      <c r="R123" s="76"/>
      <c r="S123" s="76"/>
      <c r="T123" s="81" t="s">
        <v>792</v>
      </c>
      <c r="U123" s="79" t="str">
        <f>HYPERLINK("https://pbs.twimg.com/media/Fb6ZZsqWYAUww3Q.jpg")</f>
        <v>https://pbs.twimg.com/media/Fb6ZZsqWYAUww3Q.jpg</v>
      </c>
      <c r="V123" s="79" t="str">
        <f>HYPERLINK("https://pbs.twimg.com/media/Fb6ZZsqWYAUww3Q.jpg")</f>
        <v>https://pbs.twimg.com/media/Fb6ZZsqWYAUww3Q.jpg</v>
      </c>
      <c r="W123" s="78">
        <v>44809.77690972222</v>
      </c>
      <c r="X123" s="84">
        <v>44809</v>
      </c>
      <c r="Y123" s="81" t="s">
        <v>972</v>
      </c>
      <c r="Z123" s="79" t="str">
        <f>HYPERLINK("https://twitter.com/spydercof/status/1566858391003209729")</f>
        <v>https://twitter.com/spydercof/status/1566858391003209729</v>
      </c>
      <c r="AA123" s="76"/>
      <c r="AB123" s="76"/>
      <c r="AC123" s="81" t="s">
        <v>1303</v>
      </c>
      <c r="AD123" s="76"/>
      <c r="AE123" s="76" t="b">
        <v>0</v>
      </c>
      <c r="AF123" s="76">
        <v>74</v>
      </c>
      <c r="AG123" s="81" t="s">
        <v>1674</v>
      </c>
      <c r="AH123" s="76" t="b">
        <v>0</v>
      </c>
      <c r="AI123" s="76" t="s">
        <v>1770</v>
      </c>
      <c r="AJ123" s="76"/>
      <c r="AK123" s="81" t="s">
        <v>1674</v>
      </c>
      <c r="AL123" s="76" t="b">
        <v>0</v>
      </c>
      <c r="AM123" s="76">
        <v>35</v>
      </c>
      <c r="AN123" s="81" t="s">
        <v>1674</v>
      </c>
      <c r="AO123" s="81" t="s">
        <v>1807</v>
      </c>
      <c r="AP123" s="76" t="b">
        <v>0</v>
      </c>
      <c r="AQ123" s="81" t="s">
        <v>1303</v>
      </c>
      <c r="AR123" s="76" t="s">
        <v>586</v>
      </c>
      <c r="AS123" s="76">
        <v>0</v>
      </c>
      <c r="AT123" s="76">
        <v>0</v>
      </c>
      <c r="AU123" s="76"/>
      <c r="AV123" s="76"/>
      <c r="AW123" s="76"/>
      <c r="AX123" s="76"/>
      <c r="AY123" s="76"/>
      <c r="AZ123" s="76"/>
      <c r="BA123" s="76"/>
      <c r="BB123" s="76"/>
      <c r="BC123">
        <v>1</v>
      </c>
      <c r="BD123" s="75" t="str">
        <f>REPLACE(INDEX(GroupVertices[Group],MATCH(Edges[[#This Row],[Vertex 1]],GroupVertices[Vertex],0)),1,1,"")</f>
        <v>10</v>
      </c>
      <c r="BE123" s="75" t="str">
        <f>REPLACE(INDEX(GroupVertices[Group],MATCH(Edges[[#This Row],[Vertex 2]],GroupVertices[Vertex],0)),1,1,"")</f>
        <v>10</v>
      </c>
      <c r="BF123" s="45"/>
      <c r="BG123" s="46"/>
      <c r="BH123" s="45"/>
      <c r="BI123" s="46"/>
      <c r="BJ123" s="45"/>
      <c r="BK123" s="46"/>
      <c r="BL123" s="45"/>
      <c r="BM123" s="46"/>
      <c r="BN123" s="45"/>
    </row>
    <row r="124" spans="1:66" ht="15">
      <c r="A124" s="61" t="s">
        <v>319</v>
      </c>
      <c r="B124" s="61" t="s">
        <v>460</v>
      </c>
      <c r="C124" s="62" t="s">
        <v>4688</v>
      </c>
      <c r="D124" s="63">
        <v>5</v>
      </c>
      <c r="E124" s="62"/>
      <c r="F124" s="65">
        <v>50</v>
      </c>
      <c r="G124" s="62"/>
      <c r="H124" s="66"/>
      <c r="I124" s="67"/>
      <c r="J124" s="67"/>
      <c r="K124" s="31" t="s">
        <v>65</v>
      </c>
      <c r="L124" s="68">
        <v>124</v>
      </c>
      <c r="M124" s="68"/>
      <c r="N124" s="69"/>
      <c r="O124" s="76" t="s">
        <v>585</v>
      </c>
      <c r="P124" s="78">
        <v>44815.30583333333</v>
      </c>
      <c r="Q124" s="76" t="s">
        <v>589</v>
      </c>
      <c r="R124" s="76"/>
      <c r="S124" s="76"/>
      <c r="T124" s="81" t="s">
        <v>792</v>
      </c>
      <c r="U124" s="79" t="str">
        <f>HYPERLINK("https://pbs.twimg.com/media/Fb6ZZsqWYAUww3Q.jpg")</f>
        <v>https://pbs.twimg.com/media/Fb6ZZsqWYAUww3Q.jpg</v>
      </c>
      <c r="V124" s="79" t="str">
        <f>HYPERLINK("https://pbs.twimg.com/media/Fb6ZZsqWYAUww3Q.jpg")</f>
        <v>https://pbs.twimg.com/media/Fb6ZZsqWYAUww3Q.jpg</v>
      </c>
      <c r="W124" s="78">
        <v>44815.30583333333</v>
      </c>
      <c r="X124" s="84">
        <v>44815</v>
      </c>
      <c r="Y124" s="81" t="s">
        <v>973</v>
      </c>
      <c r="Z124" s="79" t="str">
        <f>HYPERLINK("https://twitter.com/jeanonekit/status/1568862005901103105")</f>
        <v>https://twitter.com/jeanonekit/status/1568862005901103105</v>
      </c>
      <c r="AA124" s="76"/>
      <c r="AB124" s="76"/>
      <c r="AC124" s="81" t="s">
        <v>1304</v>
      </c>
      <c r="AD124" s="76"/>
      <c r="AE124" s="76" t="b">
        <v>0</v>
      </c>
      <c r="AF124" s="76">
        <v>0</v>
      </c>
      <c r="AG124" s="81" t="s">
        <v>1674</v>
      </c>
      <c r="AH124" s="76" t="b">
        <v>0</v>
      </c>
      <c r="AI124" s="76" t="s">
        <v>1770</v>
      </c>
      <c r="AJ124" s="76"/>
      <c r="AK124" s="81" t="s">
        <v>1674</v>
      </c>
      <c r="AL124" s="76" t="b">
        <v>0</v>
      </c>
      <c r="AM124" s="76">
        <v>35</v>
      </c>
      <c r="AN124" s="81" t="s">
        <v>1303</v>
      </c>
      <c r="AO124" s="81" t="s">
        <v>1808</v>
      </c>
      <c r="AP124" s="76" t="b">
        <v>0</v>
      </c>
      <c r="AQ124" s="81" t="s">
        <v>1303</v>
      </c>
      <c r="AR124" s="76" t="s">
        <v>219</v>
      </c>
      <c r="AS124" s="76">
        <v>0</v>
      </c>
      <c r="AT124" s="76">
        <v>0</v>
      </c>
      <c r="AU124" s="76"/>
      <c r="AV124" s="76"/>
      <c r="AW124" s="76"/>
      <c r="AX124" s="76"/>
      <c r="AY124" s="76"/>
      <c r="AZ124" s="76"/>
      <c r="BA124" s="76"/>
      <c r="BB124" s="76"/>
      <c r="BC124">
        <v>1</v>
      </c>
      <c r="BD124" s="75" t="str">
        <f>REPLACE(INDEX(GroupVertices[Group],MATCH(Edges[[#This Row],[Vertex 1]],GroupVertices[Vertex],0)),1,1,"")</f>
        <v>10</v>
      </c>
      <c r="BE124" s="75" t="str">
        <f>REPLACE(INDEX(GroupVertices[Group],MATCH(Edges[[#This Row],[Vertex 2]],GroupVertices[Vertex],0)),1,1,"")</f>
        <v>10</v>
      </c>
      <c r="BF124" s="45"/>
      <c r="BG124" s="46"/>
      <c r="BH124" s="45"/>
      <c r="BI124" s="46"/>
      <c r="BJ124" s="45"/>
      <c r="BK124" s="46"/>
      <c r="BL124" s="45"/>
      <c r="BM124" s="46"/>
      <c r="BN124" s="45"/>
    </row>
    <row r="125" spans="1:66" ht="15">
      <c r="A125" s="61" t="s">
        <v>318</v>
      </c>
      <c r="B125" s="61" t="s">
        <v>430</v>
      </c>
      <c r="C125" s="62" t="s">
        <v>4688</v>
      </c>
      <c r="D125" s="63">
        <v>5</v>
      </c>
      <c r="E125" s="62"/>
      <c r="F125" s="65">
        <v>50</v>
      </c>
      <c r="G125" s="62"/>
      <c r="H125" s="66"/>
      <c r="I125" s="67"/>
      <c r="J125" s="67"/>
      <c r="K125" s="31" t="s">
        <v>65</v>
      </c>
      <c r="L125" s="68">
        <v>125</v>
      </c>
      <c r="M125" s="68"/>
      <c r="N125" s="69"/>
      <c r="O125" s="76" t="s">
        <v>588</v>
      </c>
      <c r="P125" s="78">
        <v>44809.77690972222</v>
      </c>
      <c r="Q125" s="76" t="s">
        <v>589</v>
      </c>
      <c r="R125" s="76"/>
      <c r="S125" s="76"/>
      <c r="T125" s="81" t="s">
        <v>792</v>
      </c>
      <c r="U125" s="79" t="str">
        <f>HYPERLINK("https://pbs.twimg.com/media/Fb6ZZsqWYAUww3Q.jpg")</f>
        <v>https://pbs.twimg.com/media/Fb6ZZsqWYAUww3Q.jpg</v>
      </c>
      <c r="V125" s="79" t="str">
        <f>HYPERLINK("https://pbs.twimg.com/media/Fb6ZZsqWYAUww3Q.jpg")</f>
        <v>https://pbs.twimg.com/media/Fb6ZZsqWYAUww3Q.jpg</v>
      </c>
      <c r="W125" s="78">
        <v>44809.77690972222</v>
      </c>
      <c r="X125" s="84">
        <v>44809</v>
      </c>
      <c r="Y125" s="81" t="s">
        <v>972</v>
      </c>
      <c r="Z125" s="79" t="str">
        <f>HYPERLINK("https://twitter.com/spydercof/status/1566858391003209729")</f>
        <v>https://twitter.com/spydercof/status/1566858391003209729</v>
      </c>
      <c r="AA125" s="76"/>
      <c r="AB125" s="76"/>
      <c r="AC125" s="81" t="s">
        <v>1303</v>
      </c>
      <c r="AD125" s="76"/>
      <c r="AE125" s="76" t="b">
        <v>0</v>
      </c>
      <c r="AF125" s="76">
        <v>74</v>
      </c>
      <c r="AG125" s="81" t="s">
        <v>1674</v>
      </c>
      <c r="AH125" s="76" t="b">
        <v>0</v>
      </c>
      <c r="AI125" s="76" t="s">
        <v>1770</v>
      </c>
      <c r="AJ125" s="76"/>
      <c r="AK125" s="81" t="s">
        <v>1674</v>
      </c>
      <c r="AL125" s="76" t="b">
        <v>0</v>
      </c>
      <c r="AM125" s="76">
        <v>35</v>
      </c>
      <c r="AN125" s="81" t="s">
        <v>1674</v>
      </c>
      <c r="AO125" s="81" t="s">
        <v>1807</v>
      </c>
      <c r="AP125" s="76" t="b">
        <v>0</v>
      </c>
      <c r="AQ125" s="81" t="s">
        <v>1303</v>
      </c>
      <c r="AR125" s="76" t="s">
        <v>586</v>
      </c>
      <c r="AS125" s="76">
        <v>0</v>
      </c>
      <c r="AT125" s="76">
        <v>0</v>
      </c>
      <c r="AU125" s="76"/>
      <c r="AV125" s="76"/>
      <c r="AW125" s="76"/>
      <c r="AX125" s="76"/>
      <c r="AY125" s="76"/>
      <c r="AZ125" s="76"/>
      <c r="BA125" s="76"/>
      <c r="BB125" s="76"/>
      <c r="BC125">
        <v>1</v>
      </c>
      <c r="BD125" s="75" t="str">
        <f>REPLACE(INDEX(GroupVertices[Group],MATCH(Edges[[#This Row],[Vertex 1]],GroupVertices[Vertex],0)),1,1,"")</f>
        <v>10</v>
      </c>
      <c r="BE125" s="75" t="str">
        <f>REPLACE(INDEX(GroupVertices[Group],MATCH(Edges[[#This Row],[Vertex 2]],GroupVertices[Vertex],0)),1,1,"")</f>
        <v>10</v>
      </c>
      <c r="BF125" s="45"/>
      <c r="BG125" s="46"/>
      <c r="BH125" s="45"/>
      <c r="BI125" s="46"/>
      <c r="BJ125" s="45"/>
      <c r="BK125" s="46"/>
      <c r="BL125" s="45"/>
      <c r="BM125" s="46"/>
      <c r="BN125" s="45"/>
    </row>
    <row r="126" spans="1:66" ht="15">
      <c r="A126" s="61" t="s">
        <v>319</v>
      </c>
      <c r="B126" s="61" t="s">
        <v>430</v>
      </c>
      <c r="C126" s="62" t="s">
        <v>4688</v>
      </c>
      <c r="D126" s="63">
        <v>5</v>
      </c>
      <c r="E126" s="62"/>
      <c r="F126" s="65">
        <v>50</v>
      </c>
      <c r="G126" s="62"/>
      <c r="H126" s="66"/>
      <c r="I126" s="67"/>
      <c r="J126" s="67"/>
      <c r="K126" s="31" t="s">
        <v>65</v>
      </c>
      <c r="L126" s="68">
        <v>126</v>
      </c>
      <c r="M126" s="68"/>
      <c r="N126" s="69"/>
      <c r="O126" s="76" t="s">
        <v>585</v>
      </c>
      <c r="P126" s="78">
        <v>44815.30583333333</v>
      </c>
      <c r="Q126" s="76" t="s">
        <v>589</v>
      </c>
      <c r="R126" s="76"/>
      <c r="S126" s="76"/>
      <c r="T126" s="81" t="s">
        <v>792</v>
      </c>
      <c r="U126" s="79" t="str">
        <f>HYPERLINK("https://pbs.twimg.com/media/Fb6ZZsqWYAUww3Q.jpg")</f>
        <v>https://pbs.twimg.com/media/Fb6ZZsqWYAUww3Q.jpg</v>
      </c>
      <c r="V126" s="79" t="str">
        <f>HYPERLINK("https://pbs.twimg.com/media/Fb6ZZsqWYAUww3Q.jpg")</f>
        <v>https://pbs.twimg.com/media/Fb6ZZsqWYAUww3Q.jpg</v>
      </c>
      <c r="W126" s="78">
        <v>44815.30583333333</v>
      </c>
      <c r="X126" s="84">
        <v>44815</v>
      </c>
      <c r="Y126" s="81" t="s">
        <v>973</v>
      </c>
      <c r="Z126" s="79" t="str">
        <f>HYPERLINK("https://twitter.com/jeanonekit/status/1568862005901103105")</f>
        <v>https://twitter.com/jeanonekit/status/1568862005901103105</v>
      </c>
      <c r="AA126" s="76"/>
      <c r="AB126" s="76"/>
      <c r="AC126" s="81" t="s">
        <v>1304</v>
      </c>
      <c r="AD126" s="76"/>
      <c r="AE126" s="76" t="b">
        <v>0</v>
      </c>
      <c r="AF126" s="76">
        <v>0</v>
      </c>
      <c r="AG126" s="81" t="s">
        <v>1674</v>
      </c>
      <c r="AH126" s="76" t="b">
        <v>0</v>
      </c>
      <c r="AI126" s="76" t="s">
        <v>1770</v>
      </c>
      <c r="AJ126" s="76"/>
      <c r="AK126" s="81" t="s">
        <v>1674</v>
      </c>
      <c r="AL126" s="76" t="b">
        <v>0</v>
      </c>
      <c r="AM126" s="76">
        <v>35</v>
      </c>
      <c r="AN126" s="81" t="s">
        <v>1303</v>
      </c>
      <c r="AO126" s="81" t="s">
        <v>1808</v>
      </c>
      <c r="AP126" s="76" t="b">
        <v>0</v>
      </c>
      <c r="AQ126" s="81" t="s">
        <v>1303</v>
      </c>
      <c r="AR126" s="76" t="s">
        <v>219</v>
      </c>
      <c r="AS126" s="76">
        <v>0</v>
      </c>
      <c r="AT126" s="76">
        <v>0</v>
      </c>
      <c r="AU126" s="76"/>
      <c r="AV126" s="76"/>
      <c r="AW126" s="76"/>
      <c r="AX126" s="76"/>
      <c r="AY126" s="76"/>
      <c r="AZ126" s="76"/>
      <c r="BA126" s="76"/>
      <c r="BB126" s="76"/>
      <c r="BC126">
        <v>1</v>
      </c>
      <c r="BD126" s="75" t="str">
        <f>REPLACE(INDEX(GroupVertices[Group],MATCH(Edges[[#This Row],[Vertex 1]],GroupVertices[Vertex],0)),1,1,"")</f>
        <v>10</v>
      </c>
      <c r="BE126" s="75" t="str">
        <f>REPLACE(INDEX(GroupVertices[Group],MATCH(Edges[[#This Row],[Vertex 2]],GroupVertices[Vertex],0)),1,1,"")</f>
        <v>10</v>
      </c>
      <c r="BF126" s="45"/>
      <c r="BG126" s="46"/>
      <c r="BH126" s="45"/>
      <c r="BI126" s="46"/>
      <c r="BJ126" s="45"/>
      <c r="BK126" s="46"/>
      <c r="BL126" s="45"/>
      <c r="BM126" s="46"/>
      <c r="BN126" s="45"/>
    </row>
    <row r="127" spans="1:66" ht="15">
      <c r="A127" s="61" t="s">
        <v>318</v>
      </c>
      <c r="B127" s="61" t="s">
        <v>431</v>
      </c>
      <c r="C127" s="62" t="s">
        <v>4688</v>
      </c>
      <c r="D127" s="63">
        <v>5</v>
      </c>
      <c r="E127" s="62"/>
      <c r="F127" s="65">
        <v>50</v>
      </c>
      <c r="G127" s="62"/>
      <c r="H127" s="66"/>
      <c r="I127" s="67"/>
      <c r="J127" s="67"/>
      <c r="K127" s="31" t="s">
        <v>65</v>
      </c>
      <c r="L127" s="68">
        <v>127</v>
      </c>
      <c r="M127" s="68"/>
      <c r="N127" s="69"/>
      <c r="O127" s="76" t="s">
        <v>588</v>
      </c>
      <c r="P127" s="78">
        <v>44809.77690972222</v>
      </c>
      <c r="Q127" s="76" t="s">
        <v>589</v>
      </c>
      <c r="R127" s="76"/>
      <c r="S127" s="76"/>
      <c r="T127" s="81" t="s">
        <v>792</v>
      </c>
      <c r="U127" s="79" t="str">
        <f>HYPERLINK("https://pbs.twimg.com/media/Fb6ZZsqWYAUww3Q.jpg")</f>
        <v>https://pbs.twimg.com/media/Fb6ZZsqWYAUww3Q.jpg</v>
      </c>
      <c r="V127" s="79" t="str">
        <f>HYPERLINK("https://pbs.twimg.com/media/Fb6ZZsqWYAUww3Q.jpg")</f>
        <v>https://pbs.twimg.com/media/Fb6ZZsqWYAUww3Q.jpg</v>
      </c>
      <c r="W127" s="78">
        <v>44809.77690972222</v>
      </c>
      <c r="X127" s="84">
        <v>44809</v>
      </c>
      <c r="Y127" s="81" t="s">
        <v>972</v>
      </c>
      <c r="Z127" s="79" t="str">
        <f>HYPERLINK("https://twitter.com/spydercof/status/1566858391003209729")</f>
        <v>https://twitter.com/spydercof/status/1566858391003209729</v>
      </c>
      <c r="AA127" s="76"/>
      <c r="AB127" s="76"/>
      <c r="AC127" s="81" t="s">
        <v>1303</v>
      </c>
      <c r="AD127" s="76"/>
      <c r="AE127" s="76" t="b">
        <v>0</v>
      </c>
      <c r="AF127" s="76">
        <v>74</v>
      </c>
      <c r="AG127" s="81" t="s">
        <v>1674</v>
      </c>
      <c r="AH127" s="76" t="b">
        <v>0</v>
      </c>
      <c r="AI127" s="76" t="s">
        <v>1770</v>
      </c>
      <c r="AJ127" s="76"/>
      <c r="AK127" s="81" t="s">
        <v>1674</v>
      </c>
      <c r="AL127" s="76" t="b">
        <v>0</v>
      </c>
      <c r="AM127" s="76">
        <v>35</v>
      </c>
      <c r="AN127" s="81" t="s">
        <v>1674</v>
      </c>
      <c r="AO127" s="81" t="s">
        <v>1807</v>
      </c>
      <c r="AP127" s="76" t="b">
        <v>0</v>
      </c>
      <c r="AQ127" s="81" t="s">
        <v>1303</v>
      </c>
      <c r="AR127" s="76" t="s">
        <v>586</v>
      </c>
      <c r="AS127" s="76">
        <v>0</v>
      </c>
      <c r="AT127" s="76">
        <v>0</v>
      </c>
      <c r="AU127" s="76"/>
      <c r="AV127" s="76"/>
      <c r="AW127" s="76"/>
      <c r="AX127" s="76"/>
      <c r="AY127" s="76"/>
      <c r="AZ127" s="76"/>
      <c r="BA127" s="76"/>
      <c r="BB127" s="76"/>
      <c r="BC127">
        <v>1</v>
      </c>
      <c r="BD127" s="75" t="str">
        <f>REPLACE(INDEX(GroupVertices[Group],MATCH(Edges[[#This Row],[Vertex 1]],GroupVertices[Vertex],0)),1,1,"")</f>
        <v>10</v>
      </c>
      <c r="BE127" s="75" t="str">
        <f>REPLACE(INDEX(GroupVertices[Group],MATCH(Edges[[#This Row],[Vertex 2]],GroupVertices[Vertex],0)),1,1,"")</f>
        <v>10</v>
      </c>
      <c r="BF127" s="45">
        <v>0</v>
      </c>
      <c r="BG127" s="46">
        <v>0</v>
      </c>
      <c r="BH127" s="45">
        <v>1</v>
      </c>
      <c r="BI127" s="46">
        <v>2.7777777777777777</v>
      </c>
      <c r="BJ127" s="45">
        <v>0</v>
      </c>
      <c r="BK127" s="46">
        <v>0</v>
      </c>
      <c r="BL127" s="45">
        <v>35</v>
      </c>
      <c r="BM127" s="46">
        <v>97.22222222222223</v>
      </c>
      <c r="BN127" s="45">
        <v>36</v>
      </c>
    </row>
    <row r="128" spans="1:66" ht="15">
      <c r="A128" s="61" t="s">
        <v>319</v>
      </c>
      <c r="B128" s="61" t="s">
        <v>431</v>
      </c>
      <c r="C128" s="62" t="s">
        <v>4688</v>
      </c>
      <c r="D128" s="63">
        <v>5</v>
      </c>
      <c r="E128" s="62"/>
      <c r="F128" s="65">
        <v>50</v>
      </c>
      <c r="G128" s="62"/>
      <c r="H128" s="66"/>
      <c r="I128" s="67"/>
      <c r="J128" s="67"/>
      <c r="K128" s="31" t="s">
        <v>65</v>
      </c>
      <c r="L128" s="68">
        <v>128</v>
      </c>
      <c r="M128" s="68"/>
      <c r="N128" s="69"/>
      <c r="O128" s="76" t="s">
        <v>585</v>
      </c>
      <c r="P128" s="78">
        <v>44815.30583333333</v>
      </c>
      <c r="Q128" s="76" t="s">
        <v>589</v>
      </c>
      <c r="R128" s="76"/>
      <c r="S128" s="76"/>
      <c r="T128" s="81" t="s">
        <v>792</v>
      </c>
      <c r="U128" s="79" t="str">
        <f>HYPERLINK("https://pbs.twimg.com/media/Fb6ZZsqWYAUww3Q.jpg")</f>
        <v>https://pbs.twimg.com/media/Fb6ZZsqWYAUww3Q.jpg</v>
      </c>
      <c r="V128" s="79" t="str">
        <f>HYPERLINK("https://pbs.twimg.com/media/Fb6ZZsqWYAUww3Q.jpg")</f>
        <v>https://pbs.twimg.com/media/Fb6ZZsqWYAUww3Q.jpg</v>
      </c>
      <c r="W128" s="78">
        <v>44815.30583333333</v>
      </c>
      <c r="X128" s="84">
        <v>44815</v>
      </c>
      <c r="Y128" s="81" t="s">
        <v>973</v>
      </c>
      <c r="Z128" s="79" t="str">
        <f>HYPERLINK("https://twitter.com/jeanonekit/status/1568862005901103105")</f>
        <v>https://twitter.com/jeanonekit/status/1568862005901103105</v>
      </c>
      <c r="AA128" s="76"/>
      <c r="AB128" s="76"/>
      <c r="AC128" s="81" t="s">
        <v>1304</v>
      </c>
      <c r="AD128" s="76"/>
      <c r="AE128" s="76" t="b">
        <v>0</v>
      </c>
      <c r="AF128" s="76">
        <v>0</v>
      </c>
      <c r="AG128" s="81" t="s">
        <v>1674</v>
      </c>
      <c r="AH128" s="76" t="b">
        <v>0</v>
      </c>
      <c r="AI128" s="76" t="s">
        <v>1770</v>
      </c>
      <c r="AJ128" s="76"/>
      <c r="AK128" s="81" t="s">
        <v>1674</v>
      </c>
      <c r="AL128" s="76" t="b">
        <v>0</v>
      </c>
      <c r="AM128" s="76">
        <v>35</v>
      </c>
      <c r="AN128" s="81" t="s">
        <v>1303</v>
      </c>
      <c r="AO128" s="81" t="s">
        <v>1808</v>
      </c>
      <c r="AP128" s="76" t="b">
        <v>0</v>
      </c>
      <c r="AQ128" s="81" t="s">
        <v>1303</v>
      </c>
      <c r="AR128" s="76" t="s">
        <v>219</v>
      </c>
      <c r="AS128" s="76">
        <v>0</v>
      </c>
      <c r="AT128" s="76">
        <v>0</v>
      </c>
      <c r="AU128" s="76"/>
      <c r="AV128" s="76"/>
      <c r="AW128" s="76"/>
      <c r="AX128" s="76"/>
      <c r="AY128" s="76"/>
      <c r="AZ128" s="76"/>
      <c r="BA128" s="76"/>
      <c r="BB128" s="76"/>
      <c r="BC128">
        <v>1</v>
      </c>
      <c r="BD128" s="75" t="str">
        <f>REPLACE(INDEX(GroupVertices[Group],MATCH(Edges[[#This Row],[Vertex 1]],GroupVertices[Vertex],0)),1,1,"")</f>
        <v>10</v>
      </c>
      <c r="BE128" s="75" t="str">
        <f>REPLACE(INDEX(GroupVertices[Group],MATCH(Edges[[#This Row],[Vertex 2]],GroupVertices[Vertex],0)),1,1,"")</f>
        <v>10</v>
      </c>
      <c r="BF128" s="45"/>
      <c r="BG128" s="46"/>
      <c r="BH128" s="45"/>
      <c r="BI128" s="46"/>
      <c r="BJ128" s="45"/>
      <c r="BK128" s="46"/>
      <c r="BL128" s="45"/>
      <c r="BM128" s="46"/>
      <c r="BN128" s="45"/>
    </row>
    <row r="129" spans="1:66" ht="15">
      <c r="A129" s="61" t="s">
        <v>319</v>
      </c>
      <c r="B129" s="61" t="s">
        <v>318</v>
      </c>
      <c r="C129" s="62" t="s">
        <v>4688</v>
      </c>
      <c r="D129" s="63">
        <v>5</v>
      </c>
      <c r="E129" s="62"/>
      <c r="F129" s="65">
        <v>50</v>
      </c>
      <c r="G129" s="62"/>
      <c r="H129" s="66"/>
      <c r="I129" s="67"/>
      <c r="J129" s="67"/>
      <c r="K129" s="31" t="s">
        <v>65</v>
      </c>
      <c r="L129" s="68">
        <v>129</v>
      </c>
      <c r="M129" s="68"/>
      <c r="N129" s="69"/>
      <c r="O129" s="76" t="s">
        <v>586</v>
      </c>
      <c r="P129" s="78">
        <v>44815.30583333333</v>
      </c>
      <c r="Q129" s="76" t="s">
        <v>589</v>
      </c>
      <c r="R129" s="76"/>
      <c r="S129" s="76"/>
      <c r="T129" s="81" t="s">
        <v>792</v>
      </c>
      <c r="U129" s="79" t="str">
        <f>HYPERLINK("https://pbs.twimg.com/media/Fb6ZZsqWYAUww3Q.jpg")</f>
        <v>https://pbs.twimg.com/media/Fb6ZZsqWYAUww3Q.jpg</v>
      </c>
      <c r="V129" s="79" t="str">
        <f>HYPERLINK("https://pbs.twimg.com/media/Fb6ZZsqWYAUww3Q.jpg")</f>
        <v>https://pbs.twimg.com/media/Fb6ZZsqWYAUww3Q.jpg</v>
      </c>
      <c r="W129" s="78">
        <v>44815.30583333333</v>
      </c>
      <c r="X129" s="84">
        <v>44815</v>
      </c>
      <c r="Y129" s="81" t="s">
        <v>973</v>
      </c>
      <c r="Z129" s="79" t="str">
        <f>HYPERLINK("https://twitter.com/jeanonekit/status/1568862005901103105")</f>
        <v>https://twitter.com/jeanonekit/status/1568862005901103105</v>
      </c>
      <c r="AA129" s="76"/>
      <c r="AB129" s="76"/>
      <c r="AC129" s="81" t="s">
        <v>1304</v>
      </c>
      <c r="AD129" s="76"/>
      <c r="AE129" s="76" t="b">
        <v>0</v>
      </c>
      <c r="AF129" s="76">
        <v>0</v>
      </c>
      <c r="AG129" s="81" t="s">
        <v>1674</v>
      </c>
      <c r="AH129" s="76" t="b">
        <v>0</v>
      </c>
      <c r="AI129" s="76" t="s">
        <v>1770</v>
      </c>
      <c r="AJ129" s="76"/>
      <c r="AK129" s="81" t="s">
        <v>1674</v>
      </c>
      <c r="AL129" s="76" t="b">
        <v>0</v>
      </c>
      <c r="AM129" s="76">
        <v>35</v>
      </c>
      <c r="AN129" s="81" t="s">
        <v>1303</v>
      </c>
      <c r="AO129" s="81" t="s">
        <v>1808</v>
      </c>
      <c r="AP129" s="76" t="b">
        <v>0</v>
      </c>
      <c r="AQ129" s="81" t="s">
        <v>1303</v>
      </c>
      <c r="AR129" s="76" t="s">
        <v>219</v>
      </c>
      <c r="AS129" s="76">
        <v>0</v>
      </c>
      <c r="AT129" s="76">
        <v>0</v>
      </c>
      <c r="AU129" s="76"/>
      <c r="AV129" s="76"/>
      <c r="AW129" s="76"/>
      <c r="AX129" s="76"/>
      <c r="AY129" s="76"/>
      <c r="AZ129" s="76"/>
      <c r="BA129" s="76"/>
      <c r="BB129" s="76"/>
      <c r="BC129">
        <v>1</v>
      </c>
      <c r="BD129" s="75" t="str">
        <f>REPLACE(INDEX(GroupVertices[Group],MATCH(Edges[[#This Row],[Vertex 1]],GroupVertices[Vertex],0)),1,1,"")</f>
        <v>10</v>
      </c>
      <c r="BE129" s="75" t="str">
        <f>REPLACE(INDEX(GroupVertices[Group],MATCH(Edges[[#This Row],[Vertex 2]],GroupVertices[Vertex],0)),1,1,"")</f>
        <v>10</v>
      </c>
      <c r="BF129" s="45">
        <v>0</v>
      </c>
      <c r="BG129" s="46">
        <v>0</v>
      </c>
      <c r="BH129" s="45">
        <v>1</v>
      </c>
      <c r="BI129" s="46">
        <v>2.7777777777777777</v>
      </c>
      <c r="BJ129" s="45">
        <v>0</v>
      </c>
      <c r="BK129" s="46">
        <v>0</v>
      </c>
      <c r="BL129" s="45">
        <v>35</v>
      </c>
      <c r="BM129" s="46">
        <v>97.22222222222223</v>
      </c>
      <c r="BN129" s="45">
        <v>36</v>
      </c>
    </row>
    <row r="130" spans="1:66" ht="15">
      <c r="A130" s="61" t="s">
        <v>320</v>
      </c>
      <c r="B130" s="61" t="s">
        <v>320</v>
      </c>
      <c r="C130" s="62" t="s">
        <v>4688</v>
      </c>
      <c r="D130" s="63">
        <v>5</v>
      </c>
      <c r="E130" s="62"/>
      <c r="F130" s="65">
        <v>50</v>
      </c>
      <c r="G130" s="62"/>
      <c r="H130" s="66"/>
      <c r="I130" s="67"/>
      <c r="J130" s="67"/>
      <c r="K130" s="31" t="s">
        <v>65</v>
      </c>
      <c r="L130" s="68">
        <v>130</v>
      </c>
      <c r="M130" s="68"/>
      <c r="N130" s="69"/>
      <c r="O130" s="76" t="s">
        <v>219</v>
      </c>
      <c r="P130" s="78">
        <v>44815.32828703704</v>
      </c>
      <c r="Q130" s="76" t="s">
        <v>636</v>
      </c>
      <c r="R130" s="76"/>
      <c r="S130" s="76"/>
      <c r="T130" s="81" t="s">
        <v>795</v>
      </c>
      <c r="U130" s="76"/>
      <c r="V130" s="79" t="str">
        <f>HYPERLINK("https://pbs.twimg.com/profile_images/1544171727412150273/O6KLm71w_normal.jpg")</f>
        <v>https://pbs.twimg.com/profile_images/1544171727412150273/O6KLm71w_normal.jpg</v>
      </c>
      <c r="W130" s="78">
        <v>44815.32828703704</v>
      </c>
      <c r="X130" s="84">
        <v>44815</v>
      </c>
      <c r="Y130" s="81" t="s">
        <v>974</v>
      </c>
      <c r="Z130" s="79" t="str">
        <f>HYPERLINK("https://twitter.com/hamfordjohn/status/1568870142599397379")</f>
        <v>https://twitter.com/hamfordjohn/status/1568870142599397379</v>
      </c>
      <c r="AA130" s="76"/>
      <c r="AB130" s="76"/>
      <c r="AC130" s="81" t="s">
        <v>1305</v>
      </c>
      <c r="AD130" s="76"/>
      <c r="AE130" s="76" t="b">
        <v>0</v>
      </c>
      <c r="AF130" s="76">
        <v>0</v>
      </c>
      <c r="AG130" s="81" t="s">
        <v>1674</v>
      </c>
      <c r="AH130" s="76" t="b">
        <v>0</v>
      </c>
      <c r="AI130" s="76" t="s">
        <v>1772</v>
      </c>
      <c r="AJ130" s="76"/>
      <c r="AK130" s="81" t="s">
        <v>1674</v>
      </c>
      <c r="AL130" s="76" t="b">
        <v>0</v>
      </c>
      <c r="AM130" s="76">
        <v>0</v>
      </c>
      <c r="AN130" s="81" t="s">
        <v>1674</v>
      </c>
      <c r="AO130" s="81" t="s">
        <v>1808</v>
      </c>
      <c r="AP130" s="76" t="b">
        <v>0</v>
      </c>
      <c r="AQ130" s="81" t="s">
        <v>1305</v>
      </c>
      <c r="AR130" s="76" t="s">
        <v>219</v>
      </c>
      <c r="AS130" s="76">
        <v>0</v>
      </c>
      <c r="AT130" s="76">
        <v>0</v>
      </c>
      <c r="AU130" s="76"/>
      <c r="AV130" s="76"/>
      <c r="AW130" s="76"/>
      <c r="AX130" s="76"/>
      <c r="AY130" s="76"/>
      <c r="AZ130" s="76"/>
      <c r="BA130" s="76"/>
      <c r="BB130" s="76"/>
      <c r="BC130">
        <v>1</v>
      </c>
      <c r="BD130" s="75" t="str">
        <f>REPLACE(INDEX(GroupVertices[Group],MATCH(Edges[[#This Row],[Vertex 1]],GroupVertices[Vertex],0)),1,1,"")</f>
        <v>2</v>
      </c>
      <c r="BE130" s="75" t="str">
        <f>REPLACE(INDEX(GroupVertices[Group],MATCH(Edges[[#This Row],[Vertex 2]],GroupVertices[Vertex],0)),1,1,"")</f>
        <v>2</v>
      </c>
      <c r="BF130" s="45">
        <v>0</v>
      </c>
      <c r="BG130" s="46">
        <v>0</v>
      </c>
      <c r="BH130" s="45">
        <v>0</v>
      </c>
      <c r="BI130" s="46">
        <v>0</v>
      </c>
      <c r="BJ130" s="45">
        <v>0</v>
      </c>
      <c r="BK130" s="46">
        <v>0</v>
      </c>
      <c r="BL130" s="45">
        <v>17</v>
      </c>
      <c r="BM130" s="46">
        <v>100</v>
      </c>
      <c r="BN130" s="45">
        <v>17</v>
      </c>
    </row>
    <row r="131" spans="1:66" ht="15">
      <c r="A131" s="61" t="s">
        <v>321</v>
      </c>
      <c r="B131" s="61" t="s">
        <v>414</v>
      </c>
      <c r="C131" s="62" t="s">
        <v>4688</v>
      </c>
      <c r="D131" s="63">
        <v>5</v>
      </c>
      <c r="E131" s="62"/>
      <c r="F131" s="65">
        <v>50</v>
      </c>
      <c r="G131" s="62"/>
      <c r="H131" s="66"/>
      <c r="I131" s="67"/>
      <c r="J131" s="67"/>
      <c r="K131" s="31" t="s">
        <v>65</v>
      </c>
      <c r="L131" s="68">
        <v>131</v>
      </c>
      <c r="M131" s="68"/>
      <c r="N131" s="69"/>
      <c r="O131" s="76" t="s">
        <v>586</v>
      </c>
      <c r="P131" s="78">
        <v>44815.468298611115</v>
      </c>
      <c r="Q131" s="76" t="s">
        <v>632</v>
      </c>
      <c r="R131" s="76"/>
      <c r="S131" s="76"/>
      <c r="T131" s="81" t="s">
        <v>819</v>
      </c>
      <c r="U131" s="76"/>
      <c r="V131" s="79" t="str">
        <f>HYPERLINK("https://pbs.twimg.com/profile_images/1558145228825059337/iMGMDJlF_normal.jpg")</f>
        <v>https://pbs.twimg.com/profile_images/1558145228825059337/iMGMDJlF_normal.jpg</v>
      </c>
      <c r="W131" s="78">
        <v>44815.468298611115</v>
      </c>
      <c r="X131" s="84">
        <v>44815</v>
      </c>
      <c r="Y131" s="81" t="s">
        <v>975</v>
      </c>
      <c r="Z131" s="79" t="str">
        <f>HYPERLINK("https://twitter.com/bilgeozyurt/status/1568920878825574400")</f>
        <v>https://twitter.com/bilgeozyurt/status/1568920878825574400</v>
      </c>
      <c r="AA131" s="76"/>
      <c r="AB131" s="76"/>
      <c r="AC131" s="81" t="s">
        <v>1306</v>
      </c>
      <c r="AD131" s="76"/>
      <c r="AE131" s="76" t="b">
        <v>0</v>
      </c>
      <c r="AF131" s="76">
        <v>0</v>
      </c>
      <c r="AG131" s="81" t="s">
        <v>1674</v>
      </c>
      <c r="AH131" s="76" t="b">
        <v>0</v>
      </c>
      <c r="AI131" s="76" t="s">
        <v>1771</v>
      </c>
      <c r="AJ131" s="76"/>
      <c r="AK131" s="81" t="s">
        <v>1674</v>
      </c>
      <c r="AL131" s="76" t="b">
        <v>0</v>
      </c>
      <c r="AM131" s="76">
        <v>4</v>
      </c>
      <c r="AN131" s="81" t="s">
        <v>1450</v>
      </c>
      <c r="AO131" s="81" t="s">
        <v>1807</v>
      </c>
      <c r="AP131" s="76" t="b">
        <v>0</v>
      </c>
      <c r="AQ131" s="81" t="s">
        <v>1450</v>
      </c>
      <c r="AR131" s="76" t="s">
        <v>219</v>
      </c>
      <c r="AS131" s="76">
        <v>0</v>
      </c>
      <c r="AT131" s="76">
        <v>0</v>
      </c>
      <c r="AU131" s="76"/>
      <c r="AV131" s="76"/>
      <c r="AW131" s="76"/>
      <c r="AX131" s="76"/>
      <c r="AY131" s="76"/>
      <c r="AZ131" s="76"/>
      <c r="BA131" s="76"/>
      <c r="BB131" s="76"/>
      <c r="BC131">
        <v>1</v>
      </c>
      <c r="BD131" s="75" t="str">
        <f>REPLACE(INDEX(GroupVertices[Group],MATCH(Edges[[#This Row],[Vertex 1]],GroupVertices[Vertex],0)),1,1,"")</f>
        <v>3</v>
      </c>
      <c r="BE131" s="75" t="str">
        <f>REPLACE(INDEX(GroupVertices[Group],MATCH(Edges[[#This Row],[Vertex 2]],GroupVertices[Vertex],0)),1,1,"")</f>
        <v>3</v>
      </c>
      <c r="BF131" s="45">
        <v>0</v>
      </c>
      <c r="BG131" s="46">
        <v>0</v>
      </c>
      <c r="BH131" s="45">
        <v>0</v>
      </c>
      <c r="BI131" s="46">
        <v>0</v>
      </c>
      <c r="BJ131" s="45">
        <v>0</v>
      </c>
      <c r="BK131" s="46">
        <v>0</v>
      </c>
      <c r="BL131" s="45">
        <v>5</v>
      </c>
      <c r="BM131" s="46">
        <v>100</v>
      </c>
      <c r="BN131" s="45">
        <v>5</v>
      </c>
    </row>
    <row r="132" spans="1:66" ht="15">
      <c r="A132" s="61" t="s">
        <v>322</v>
      </c>
      <c r="B132" s="61" t="s">
        <v>479</v>
      </c>
      <c r="C132" s="62" t="s">
        <v>4688</v>
      </c>
      <c r="D132" s="63">
        <v>5</v>
      </c>
      <c r="E132" s="62"/>
      <c r="F132" s="65">
        <v>50</v>
      </c>
      <c r="G132" s="62"/>
      <c r="H132" s="66"/>
      <c r="I132" s="67"/>
      <c r="J132" s="67"/>
      <c r="K132" s="31" t="s">
        <v>65</v>
      </c>
      <c r="L132" s="68">
        <v>132</v>
      </c>
      <c r="M132" s="68"/>
      <c r="N132" s="69"/>
      <c r="O132" s="76" t="s">
        <v>588</v>
      </c>
      <c r="P132" s="78">
        <v>44815.43917824074</v>
      </c>
      <c r="Q132" s="76" t="s">
        <v>637</v>
      </c>
      <c r="R132" s="76"/>
      <c r="S132" s="76"/>
      <c r="T132" s="76"/>
      <c r="U132" s="76"/>
      <c r="V132" s="79" t="str">
        <f>HYPERLINK("https://pbs.twimg.com/profile_images/1564861883064242177/pOz801Wy_normal.jpg")</f>
        <v>https://pbs.twimg.com/profile_images/1564861883064242177/pOz801Wy_normal.jpg</v>
      </c>
      <c r="W132" s="78">
        <v>44815.43917824074</v>
      </c>
      <c r="X132" s="84">
        <v>44815</v>
      </c>
      <c r="Y132" s="81" t="s">
        <v>976</v>
      </c>
      <c r="Z132" s="79" t="str">
        <f>HYPERLINK("https://twitter.com/filipkatundsk/status/1568910326992715776")</f>
        <v>https://twitter.com/filipkatundsk/status/1568910326992715776</v>
      </c>
      <c r="AA132" s="76"/>
      <c r="AB132" s="76"/>
      <c r="AC132" s="81" t="s">
        <v>1307</v>
      </c>
      <c r="AD132" s="81" t="s">
        <v>1583</v>
      </c>
      <c r="AE132" s="76" t="b">
        <v>0</v>
      </c>
      <c r="AF132" s="76">
        <v>1</v>
      </c>
      <c r="AG132" s="81" t="s">
        <v>1693</v>
      </c>
      <c r="AH132" s="76" t="b">
        <v>0</v>
      </c>
      <c r="AI132" s="76" t="s">
        <v>1772</v>
      </c>
      <c r="AJ132" s="76"/>
      <c r="AK132" s="81" t="s">
        <v>1674</v>
      </c>
      <c r="AL132" s="76" t="b">
        <v>0</v>
      </c>
      <c r="AM132" s="76">
        <v>0</v>
      </c>
      <c r="AN132" s="81" t="s">
        <v>1674</v>
      </c>
      <c r="AO132" s="81" t="s">
        <v>1808</v>
      </c>
      <c r="AP132" s="76" t="b">
        <v>0</v>
      </c>
      <c r="AQ132" s="81" t="s">
        <v>1583</v>
      </c>
      <c r="AR132" s="76" t="s">
        <v>219</v>
      </c>
      <c r="AS132" s="76">
        <v>0</v>
      </c>
      <c r="AT132" s="76">
        <v>0</v>
      </c>
      <c r="AU132" s="76"/>
      <c r="AV132" s="76"/>
      <c r="AW132" s="76"/>
      <c r="AX132" s="76"/>
      <c r="AY132" s="76"/>
      <c r="AZ132" s="76"/>
      <c r="BA132" s="76"/>
      <c r="BB132" s="76"/>
      <c r="BC132">
        <v>1</v>
      </c>
      <c r="BD132" s="75" t="str">
        <f>REPLACE(INDEX(GroupVertices[Group],MATCH(Edges[[#This Row],[Vertex 1]],GroupVertices[Vertex],0)),1,1,"")</f>
        <v>18</v>
      </c>
      <c r="BE132" s="75" t="str">
        <f>REPLACE(INDEX(GroupVertices[Group],MATCH(Edges[[#This Row],[Vertex 2]],GroupVertices[Vertex],0)),1,1,"")</f>
        <v>18</v>
      </c>
      <c r="BF132" s="45"/>
      <c r="BG132" s="46"/>
      <c r="BH132" s="45"/>
      <c r="BI132" s="46"/>
      <c r="BJ132" s="45"/>
      <c r="BK132" s="46"/>
      <c r="BL132" s="45"/>
      <c r="BM132" s="46"/>
      <c r="BN132" s="45"/>
    </row>
    <row r="133" spans="1:66" ht="15">
      <c r="A133" s="61" t="s">
        <v>322</v>
      </c>
      <c r="B133" s="61" t="s">
        <v>480</v>
      </c>
      <c r="C133" s="62" t="s">
        <v>4688</v>
      </c>
      <c r="D133" s="63">
        <v>5</v>
      </c>
      <c r="E133" s="62"/>
      <c r="F133" s="65">
        <v>50</v>
      </c>
      <c r="G133" s="62"/>
      <c r="H133" s="66"/>
      <c r="I133" s="67"/>
      <c r="J133" s="67"/>
      <c r="K133" s="31" t="s">
        <v>65</v>
      </c>
      <c r="L133" s="68">
        <v>133</v>
      </c>
      <c r="M133" s="68"/>
      <c r="N133" s="69"/>
      <c r="O133" s="76" t="s">
        <v>588</v>
      </c>
      <c r="P133" s="78">
        <v>44815.43917824074</v>
      </c>
      <c r="Q133" s="76" t="s">
        <v>637</v>
      </c>
      <c r="R133" s="76"/>
      <c r="S133" s="76"/>
      <c r="T133" s="76"/>
      <c r="U133" s="76"/>
      <c r="V133" s="79" t="str">
        <f>HYPERLINK("https://pbs.twimg.com/profile_images/1564861883064242177/pOz801Wy_normal.jpg")</f>
        <v>https://pbs.twimg.com/profile_images/1564861883064242177/pOz801Wy_normal.jpg</v>
      </c>
      <c r="W133" s="78">
        <v>44815.43917824074</v>
      </c>
      <c r="X133" s="84">
        <v>44815</v>
      </c>
      <c r="Y133" s="81" t="s">
        <v>976</v>
      </c>
      <c r="Z133" s="79" t="str">
        <f>HYPERLINK("https://twitter.com/filipkatundsk/status/1568910326992715776")</f>
        <v>https://twitter.com/filipkatundsk/status/1568910326992715776</v>
      </c>
      <c r="AA133" s="76"/>
      <c r="AB133" s="76"/>
      <c r="AC133" s="81" t="s">
        <v>1307</v>
      </c>
      <c r="AD133" s="81" t="s">
        <v>1583</v>
      </c>
      <c r="AE133" s="76" t="b">
        <v>0</v>
      </c>
      <c r="AF133" s="76">
        <v>1</v>
      </c>
      <c r="AG133" s="81" t="s">
        <v>1693</v>
      </c>
      <c r="AH133" s="76" t="b">
        <v>0</v>
      </c>
      <c r="AI133" s="76" t="s">
        <v>1772</v>
      </c>
      <c r="AJ133" s="76"/>
      <c r="AK133" s="81" t="s">
        <v>1674</v>
      </c>
      <c r="AL133" s="76" t="b">
        <v>0</v>
      </c>
      <c r="AM133" s="76">
        <v>0</v>
      </c>
      <c r="AN133" s="81" t="s">
        <v>1674</v>
      </c>
      <c r="AO133" s="81" t="s">
        <v>1808</v>
      </c>
      <c r="AP133" s="76" t="b">
        <v>0</v>
      </c>
      <c r="AQ133" s="81" t="s">
        <v>1583</v>
      </c>
      <c r="AR133" s="76" t="s">
        <v>219</v>
      </c>
      <c r="AS133" s="76">
        <v>0</v>
      </c>
      <c r="AT133" s="76">
        <v>0</v>
      </c>
      <c r="AU133" s="76"/>
      <c r="AV133" s="76"/>
      <c r="AW133" s="76"/>
      <c r="AX133" s="76"/>
      <c r="AY133" s="76"/>
      <c r="AZ133" s="76"/>
      <c r="BA133" s="76"/>
      <c r="BB133" s="76"/>
      <c r="BC133">
        <v>1</v>
      </c>
      <c r="BD133" s="75" t="str">
        <f>REPLACE(INDEX(GroupVertices[Group],MATCH(Edges[[#This Row],[Vertex 1]],GroupVertices[Vertex],0)),1,1,"")</f>
        <v>18</v>
      </c>
      <c r="BE133" s="75" t="str">
        <f>REPLACE(INDEX(GroupVertices[Group],MATCH(Edges[[#This Row],[Vertex 2]],GroupVertices[Vertex],0)),1,1,"")</f>
        <v>18</v>
      </c>
      <c r="BF133" s="45"/>
      <c r="BG133" s="46"/>
      <c r="BH133" s="45"/>
      <c r="BI133" s="46"/>
      <c r="BJ133" s="45"/>
      <c r="BK133" s="46"/>
      <c r="BL133" s="45"/>
      <c r="BM133" s="46"/>
      <c r="BN133" s="45"/>
    </row>
    <row r="134" spans="1:66" ht="15">
      <c r="A134" s="61" t="s">
        <v>322</v>
      </c>
      <c r="B134" s="61" t="s">
        <v>481</v>
      </c>
      <c r="C134" s="62" t="s">
        <v>4688</v>
      </c>
      <c r="D134" s="63">
        <v>5</v>
      </c>
      <c r="E134" s="62"/>
      <c r="F134" s="65">
        <v>50</v>
      </c>
      <c r="G134" s="62"/>
      <c r="H134" s="66"/>
      <c r="I134" s="67"/>
      <c r="J134" s="67"/>
      <c r="K134" s="31" t="s">
        <v>65</v>
      </c>
      <c r="L134" s="68">
        <v>134</v>
      </c>
      <c r="M134" s="68"/>
      <c r="N134" s="69"/>
      <c r="O134" s="76" t="s">
        <v>587</v>
      </c>
      <c r="P134" s="78">
        <v>44815.43917824074</v>
      </c>
      <c r="Q134" s="76" t="s">
        <v>637</v>
      </c>
      <c r="R134" s="76"/>
      <c r="S134" s="76"/>
      <c r="T134" s="76"/>
      <c r="U134" s="76"/>
      <c r="V134" s="79" t="str">
        <f>HYPERLINK("https://pbs.twimg.com/profile_images/1564861883064242177/pOz801Wy_normal.jpg")</f>
        <v>https://pbs.twimg.com/profile_images/1564861883064242177/pOz801Wy_normal.jpg</v>
      </c>
      <c r="W134" s="78">
        <v>44815.43917824074</v>
      </c>
      <c r="X134" s="84">
        <v>44815</v>
      </c>
      <c r="Y134" s="81" t="s">
        <v>976</v>
      </c>
      <c r="Z134" s="79" t="str">
        <f>HYPERLINK("https://twitter.com/filipkatundsk/status/1568910326992715776")</f>
        <v>https://twitter.com/filipkatundsk/status/1568910326992715776</v>
      </c>
      <c r="AA134" s="76"/>
      <c r="AB134" s="76"/>
      <c r="AC134" s="81" t="s">
        <v>1307</v>
      </c>
      <c r="AD134" s="81" t="s">
        <v>1583</v>
      </c>
      <c r="AE134" s="76" t="b">
        <v>0</v>
      </c>
      <c r="AF134" s="76">
        <v>1</v>
      </c>
      <c r="AG134" s="81" t="s">
        <v>1693</v>
      </c>
      <c r="AH134" s="76" t="b">
        <v>0</v>
      </c>
      <c r="AI134" s="76" t="s">
        <v>1772</v>
      </c>
      <c r="AJ134" s="76"/>
      <c r="AK134" s="81" t="s">
        <v>1674</v>
      </c>
      <c r="AL134" s="76" t="b">
        <v>0</v>
      </c>
      <c r="AM134" s="76">
        <v>0</v>
      </c>
      <c r="AN134" s="81" t="s">
        <v>1674</v>
      </c>
      <c r="AO134" s="81" t="s">
        <v>1808</v>
      </c>
      <c r="AP134" s="76" t="b">
        <v>0</v>
      </c>
      <c r="AQ134" s="81" t="s">
        <v>1583</v>
      </c>
      <c r="AR134" s="76" t="s">
        <v>219</v>
      </c>
      <c r="AS134" s="76">
        <v>0</v>
      </c>
      <c r="AT134" s="76">
        <v>0</v>
      </c>
      <c r="AU134" s="76"/>
      <c r="AV134" s="76"/>
      <c r="AW134" s="76"/>
      <c r="AX134" s="76"/>
      <c r="AY134" s="76"/>
      <c r="AZ134" s="76"/>
      <c r="BA134" s="76"/>
      <c r="BB134" s="76"/>
      <c r="BC134">
        <v>1</v>
      </c>
      <c r="BD134" s="75" t="str">
        <f>REPLACE(INDEX(GroupVertices[Group],MATCH(Edges[[#This Row],[Vertex 1]],GroupVertices[Vertex],0)),1,1,"")</f>
        <v>18</v>
      </c>
      <c r="BE134" s="75" t="str">
        <f>REPLACE(INDEX(GroupVertices[Group],MATCH(Edges[[#This Row],[Vertex 2]],GroupVertices[Vertex],0)),1,1,"")</f>
        <v>18</v>
      </c>
      <c r="BF134" s="45">
        <v>0</v>
      </c>
      <c r="BG134" s="46">
        <v>0</v>
      </c>
      <c r="BH134" s="45">
        <v>1</v>
      </c>
      <c r="BI134" s="46">
        <v>2.7027027027027026</v>
      </c>
      <c r="BJ134" s="45">
        <v>0</v>
      </c>
      <c r="BK134" s="46">
        <v>0</v>
      </c>
      <c r="BL134" s="45">
        <v>36</v>
      </c>
      <c r="BM134" s="46">
        <v>97.29729729729729</v>
      </c>
      <c r="BN134" s="45">
        <v>37</v>
      </c>
    </row>
    <row r="135" spans="1:66" ht="15">
      <c r="A135" s="61" t="s">
        <v>322</v>
      </c>
      <c r="B135" s="61" t="s">
        <v>482</v>
      </c>
      <c r="C135" s="62" t="s">
        <v>4688</v>
      </c>
      <c r="D135" s="63">
        <v>5</v>
      </c>
      <c r="E135" s="62"/>
      <c r="F135" s="65">
        <v>50</v>
      </c>
      <c r="G135" s="62"/>
      <c r="H135" s="66"/>
      <c r="I135" s="67"/>
      <c r="J135" s="67"/>
      <c r="K135" s="31" t="s">
        <v>65</v>
      </c>
      <c r="L135" s="68">
        <v>135</v>
      </c>
      <c r="M135" s="68"/>
      <c r="N135" s="69"/>
      <c r="O135" s="76" t="s">
        <v>587</v>
      </c>
      <c r="P135" s="78">
        <v>44815.470613425925</v>
      </c>
      <c r="Q135" s="76" t="s">
        <v>638</v>
      </c>
      <c r="R135" s="76"/>
      <c r="S135" s="76"/>
      <c r="T135" s="76"/>
      <c r="U135" s="76"/>
      <c r="V135" s="79" t="str">
        <f>HYPERLINK("https://pbs.twimg.com/profile_images/1564861883064242177/pOz801Wy_normal.jpg")</f>
        <v>https://pbs.twimg.com/profile_images/1564861883064242177/pOz801Wy_normal.jpg</v>
      </c>
      <c r="W135" s="78">
        <v>44815.470613425925</v>
      </c>
      <c r="X135" s="84">
        <v>44815</v>
      </c>
      <c r="Y135" s="81" t="s">
        <v>977</v>
      </c>
      <c r="Z135" s="79" t="str">
        <f>HYPERLINK("https://twitter.com/filipkatundsk/status/1568921720399994881")</f>
        <v>https://twitter.com/filipkatundsk/status/1568921720399994881</v>
      </c>
      <c r="AA135" s="76"/>
      <c r="AB135" s="76"/>
      <c r="AC135" s="81" t="s">
        <v>1308</v>
      </c>
      <c r="AD135" s="81" t="s">
        <v>1584</v>
      </c>
      <c r="AE135" s="76" t="b">
        <v>0</v>
      </c>
      <c r="AF135" s="76">
        <v>1</v>
      </c>
      <c r="AG135" s="81" t="s">
        <v>1694</v>
      </c>
      <c r="AH135" s="76" t="b">
        <v>0</v>
      </c>
      <c r="AI135" s="76" t="s">
        <v>1772</v>
      </c>
      <c r="AJ135" s="76"/>
      <c r="AK135" s="81" t="s">
        <v>1674</v>
      </c>
      <c r="AL135" s="76" t="b">
        <v>0</v>
      </c>
      <c r="AM135" s="76">
        <v>0</v>
      </c>
      <c r="AN135" s="81" t="s">
        <v>1674</v>
      </c>
      <c r="AO135" s="81" t="s">
        <v>1808</v>
      </c>
      <c r="AP135" s="76" t="b">
        <v>0</v>
      </c>
      <c r="AQ135" s="81" t="s">
        <v>1584</v>
      </c>
      <c r="AR135" s="76" t="s">
        <v>219</v>
      </c>
      <c r="AS135" s="76">
        <v>0</v>
      </c>
      <c r="AT135" s="76">
        <v>0</v>
      </c>
      <c r="AU135" s="76"/>
      <c r="AV135" s="76"/>
      <c r="AW135" s="76"/>
      <c r="AX135" s="76"/>
      <c r="AY135" s="76"/>
      <c r="AZ135" s="76"/>
      <c r="BA135" s="76"/>
      <c r="BB135" s="76"/>
      <c r="BC135">
        <v>1</v>
      </c>
      <c r="BD135" s="75" t="str">
        <f>REPLACE(INDEX(GroupVertices[Group],MATCH(Edges[[#This Row],[Vertex 1]],GroupVertices[Vertex],0)),1,1,"")</f>
        <v>18</v>
      </c>
      <c r="BE135" s="75" t="str">
        <f>REPLACE(INDEX(GroupVertices[Group],MATCH(Edges[[#This Row],[Vertex 2]],GroupVertices[Vertex],0)),1,1,"")</f>
        <v>18</v>
      </c>
      <c r="BF135" s="45">
        <v>0</v>
      </c>
      <c r="BG135" s="46">
        <v>0</v>
      </c>
      <c r="BH135" s="45">
        <v>1</v>
      </c>
      <c r="BI135" s="46">
        <v>2.6315789473684212</v>
      </c>
      <c r="BJ135" s="45">
        <v>0</v>
      </c>
      <c r="BK135" s="46">
        <v>0</v>
      </c>
      <c r="BL135" s="45">
        <v>37</v>
      </c>
      <c r="BM135" s="46">
        <v>97.36842105263158</v>
      </c>
      <c r="BN135" s="45">
        <v>38</v>
      </c>
    </row>
    <row r="136" spans="1:66" ht="15">
      <c r="A136" s="61" t="s">
        <v>323</v>
      </c>
      <c r="B136" s="61" t="s">
        <v>483</v>
      </c>
      <c r="C136" s="62" t="s">
        <v>4688</v>
      </c>
      <c r="D136" s="63">
        <v>5</v>
      </c>
      <c r="E136" s="62"/>
      <c r="F136" s="65">
        <v>50</v>
      </c>
      <c r="G136" s="62"/>
      <c r="H136" s="66"/>
      <c r="I136" s="67"/>
      <c r="J136" s="67"/>
      <c r="K136" s="31" t="s">
        <v>65</v>
      </c>
      <c r="L136" s="68">
        <v>136</v>
      </c>
      <c r="M136" s="68"/>
      <c r="N136" s="69"/>
      <c r="O136" s="76" t="s">
        <v>587</v>
      </c>
      <c r="P136" s="78">
        <v>44815.49607638889</v>
      </c>
      <c r="Q136" s="76" t="s">
        <v>639</v>
      </c>
      <c r="R136" s="76"/>
      <c r="S136" s="76"/>
      <c r="T136" s="81" t="s">
        <v>795</v>
      </c>
      <c r="U136" s="76"/>
      <c r="V136" s="79" t="str">
        <f>HYPERLINK("https://pbs.twimg.com/profile_images/1454814605964939264/gx1lpE_A_normal.jpg")</f>
        <v>https://pbs.twimg.com/profile_images/1454814605964939264/gx1lpE_A_normal.jpg</v>
      </c>
      <c r="W136" s="78">
        <v>44815.49607638889</v>
      </c>
      <c r="X136" s="84">
        <v>44815</v>
      </c>
      <c r="Y136" s="81" t="s">
        <v>978</v>
      </c>
      <c r="Z136" s="79" t="str">
        <f>HYPERLINK("https://twitter.com/nzabakira4/status/1568930943938998272")</f>
        <v>https://twitter.com/nzabakira4/status/1568930943938998272</v>
      </c>
      <c r="AA136" s="76"/>
      <c r="AB136" s="76"/>
      <c r="AC136" s="81" t="s">
        <v>1309</v>
      </c>
      <c r="AD136" s="81" t="s">
        <v>1585</v>
      </c>
      <c r="AE136" s="76" t="b">
        <v>0</v>
      </c>
      <c r="AF136" s="76">
        <v>0</v>
      </c>
      <c r="AG136" s="81" t="s">
        <v>1695</v>
      </c>
      <c r="AH136" s="76" t="b">
        <v>0</v>
      </c>
      <c r="AI136" s="76" t="s">
        <v>1773</v>
      </c>
      <c r="AJ136" s="76"/>
      <c r="AK136" s="81" t="s">
        <v>1674</v>
      </c>
      <c r="AL136" s="76" t="b">
        <v>0</v>
      </c>
      <c r="AM136" s="76">
        <v>0</v>
      </c>
      <c r="AN136" s="81" t="s">
        <v>1674</v>
      </c>
      <c r="AO136" s="81" t="s">
        <v>1809</v>
      </c>
      <c r="AP136" s="76" t="b">
        <v>0</v>
      </c>
      <c r="AQ136" s="81" t="s">
        <v>1585</v>
      </c>
      <c r="AR136" s="76" t="s">
        <v>219</v>
      </c>
      <c r="AS136" s="76">
        <v>0</v>
      </c>
      <c r="AT136" s="76">
        <v>0</v>
      </c>
      <c r="AU136" s="76"/>
      <c r="AV136" s="76"/>
      <c r="AW136" s="76"/>
      <c r="AX136" s="76"/>
      <c r="AY136" s="76"/>
      <c r="AZ136" s="76"/>
      <c r="BA136" s="76"/>
      <c r="BB136" s="76"/>
      <c r="BC136">
        <v>1</v>
      </c>
      <c r="BD136" s="75" t="str">
        <f>REPLACE(INDEX(GroupVertices[Group],MATCH(Edges[[#This Row],[Vertex 1]],GroupVertices[Vertex],0)),1,1,"")</f>
        <v>53</v>
      </c>
      <c r="BE136" s="75" t="str">
        <f>REPLACE(INDEX(GroupVertices[Group],MATCH(Edges[[#This Row],[Vertex 2]],GroupVertices[Vertex],0)),1,1,"")</f>
        <v>53</v>
      </c>
      <c r="BF136" s="45">
        <v>0</v>
      </c>
      <c r="BG136" s="46">
        <v>0</v>
      </c>
      <c r="BH136" s="45">
        <v>0</v>
      </c>
      <c r="BI136" s="46">
        <v>0</v>
      </c>
      <c r="BJ136" s="45">
        <v>0</v>
      </c>
      <c r="BK136" s="46">
        <v>0</v>
      </c>
      <c r="BL136" s="45">
        <v>2</v>
      </c>
      <c r="BM136" s="46">
        <v>100</v>
      </c>
      <c r="BN136" s="45">
        <v>2</v>
      </c>
    </row>
    <row r="137" spans="1:66" ht="15">
      <c r="A137" s="61" t="s">
        <v>324</v>
      </c>
      <c r="B137" s="61" t="s">
        <v>484</v>
      </c>
      <c r="C137" s="62" t="s">
        <v>4688</v>
      </c>
      <c r="D137" s="63">
        <v>5</v>
      </c>
      <c r="E137" s="62"/>
      <c r="F137" s="65">
        <v>50</v>
      </c>
      <c r="G137" s="62"/>
      <c r="H137" s="66"/>
      <c r="I137" s="67"/>
      <c r="J137" s="67"/>
      <c r="K137" s="31" t="s">
        <v>65</v>
      </c>
      <c r="L137" s="68">
        <v>137</v>
      </c>
      <c r="M137" s="68"/>
      <c r="N137" s="69"/>
      <c r="O137" s="76" t="s">
        <v>587</v>
      </c>
      <c r="P137" s="78">
        <v>44815.54141203704</v>
      </c>
      <c r="Q137" s="76" t="s">
        <v>640</v>
      </c>
      <c r="R137" s="76"/>
      <c r="S137" s="76"/>
      <c r="T137" s="76"/>
      <c r="U137" s="76"/>
      <c r="V137" s="79" t="str">
        <f>HYPERLINK("https://pbs.twimg.com/profile_images/1569229813604560896/uGgriCjb_normal.jpg")</f>
        <v>https://pbs.twimg.com/profile_images/1569229813604560896/uGgriCjb_normal.jpg</v>
      </c>
      <c r="W137" s="78">
        <v>44815.54141203704</v>
      </c>
      <c r="X137" s="84">
        <v>44815</v>
      </c>
      <c r="Y137" s="81" t="s">
        <v>979</v>
      </c>
      <c r="Z137" s="79" t="str">
        <f>HYPERLINK("https://twitter.com/serpens48/status/1568947376035090433")</f>
        <v>https://twitter.com/serpens48/status/1568947376035090433</v>
      </c>
      <c r="AA137" s="76"/>
      <c r="AB137" s="76"/>
      <c r="AC137" s="81" t="s">
        <v>1310</v>
      </c>
      <c r="AD137" s="81" t="s">
        <v>1586</v>
      </c>
      <c r="AE137" s="76" t="b">
        <v>0</v>
      </c>
      <c r="AF137" s="76">
        <v>0</v>
      </c>
      <c r="AG137" s="81" t="s">
        <v>1696</v>
      </c>
      <c r="AH137" s="76" t="b">
        <v>0</v>
      </c>
      <c r="AI137" s="76" t="s">
        <v>1772</v>
      </c>
      <c r="AJ137" s="76"/>
      <c r="AK137" s="81" t="s">
        <v>1674</v>
      </c>
      <c r="AL137" s="76" t="b">
        <v>0</v>
      </c>
      <c r="AM137" s="76">
        <v>0</v>
      </c>
      <c r="AN137" s="81" t="s">
        <v>1674</v>
      </c>
      <c r="AO137" s="81" t="s">
        <v>1808</v>
      </c>
      <c r="AP137" s="76" t="b">
        <v>0</v>
      </c>
      <c r="AQ137" s="81" t="s">
        <v>1586</v>
      </c>
      <c r="AR137" s="76" t="s">
        <v>219</v>
      </c>
      <c r="AS137" s="76">
        <v>0</v>
      </c>
      <c r="AT137" s="76">
        <v>0</v>
      </c>
      <c r="AU137" s="76"/>
      <c r="AV137" s="76"/>
      <c r="AW137" s="76"/>
      <c r="AX137" s="76"/>
      <c r="AY137" s="76"/>
      <c r="AZ137" s="76"/>
      <c r="BA137" s="76"/>
      <c r="BB137" s="76"/>
      <c r="BC137">
        <v>1</v>
      </c>
      <c r="BD137" s="75" t="str">
        <f>REPLACE(INDEX(GroupVertices[Group],MATCH(Edges[[#This Row],[Vertex 1]],GroupVertices[Vertex],0)),1,1,"")</f>
        <v>52</v>
      </c>
      <c r="BE137" s="75" t="str">
        <f>REPLACE(INDEX(GroupVertices[Group],MATCH(Edges[[#This Row],[Vertex 2]],GroupVertices[Vertex],0)),1,1,"")</f>
        <v>52</v>
      </c>
      <c r="BF137" s="45">
        <v>0</v>
      </c>
      <c r="BG137" s="46">
        <v>0</v>
      </c>
      <c r="BH137" s="45">
        <v>0</v>
      </c>
      <c r="BI137" s="46">
        <v>0</v>
      </c>
      <c r="BJ137" s="45">
        <v>0</v>
      </c>
      <c r="BK137" s="46">
        <v>0</v>
      </c>
      <c r="BL137" s="45">
        <v>40</v>
      </c>
      <c r="BM137" s="46">
        <v>100</v>
      </c>
      <c r="BN137" s="45">
        <v>40</v>
      </c>
    </row>
    <row r="138" spans="1:66" ht="15">
      <c r="A138" s="61" t="s">
        <v>325</v>
      </c>
      <c r="B138" s="61" t="s">
        <v>337</v>
      </c>
      <c r="C138" s="62" t="s">
        <v>4688</v>
      </c>
      <c r="D138" s="63">
        <v>5</v>
      </c>
      <c r="E138" s="62"/>
      <c r="F138" s="65">
        <v>50</v>
      </c>
      <c r="G138" s="62"/>
      <c r="H138" s="66"/>
      <c r="I138" s="67"/>
      <c r="J138" s="67"/>
      <c r="K138" s="31" t="s">
        <v>65</v>
      </c>
      <c r="L138" s="68">
        <v>138</v>
      </c>
      <c r="M138" s="68"/>
      <c r="N138" s="69"/>
      <c r="O138" s="76" t="s">
        <v>586</v>
      </c>
      <c r="P138" s="78">
        <v>44815.587013888886</v>
      </c>
      <c r="Q138" s="76" t="s">
        <v>641</v>
      </c>
      <c r="R138" s="79" t="str">
        <f>HYPERLINK("https://www.lesechos.fr/monde/enjeux-internationaux/les-etats-unis-reclament-lunite-des-allies-contre-la-russie-1787144?xtor=CS4-6235")</f>
        <v>https://www.lesechos.fr/monde/enjeux-internationaux/les-etats-unis-reclament-lunite-des-allies-contre-la-russie-1787144?xtor=CS4-6235</v>
      </c>
      <c r="S138" s="76" t="s">
        <v>785</v>
      </c>
      <c r="T138" s="81" t="s">
        <v>822</v>
      </c>
      <c r="U138" s="76"/>
      <c r="V138" s="79" t="str">
        <f>HYPERLINK("https://pbs.twimg.com/profile_images/1567936250111221762/yooKi464_normal.jpg")</f>
        <v>https://pbs.twimg.com/profile_images/1567936250111221762/yooKi464_normal.jpg</v>
      </c>
      <c r="W138" s="78">
        <v>44815.587013888886</v>
      </c>
      <c r="X138" s="84">
        <v>44815</v>
      </c>
      <c r="Y138" s="81" t="s">
        <v>980</v>
      </c>
      <c r="Z138" s="79" t="str">
        <f>HYPERLINK("https://twitter.com/genoisemile/status/1568963900116291584")</f>
        <v>https://twitter.com/genoisemile/status/1568963900116291584</v>
      </c>
      <c r="AA138" s="76"/>
      <c r="AB138" s="76"/>
      <c r="AC138" s="81" t="s">
        <v>1311</v>
      </c>
      <c r="AD138" s="76"/>
      <c r="AE138" s="76" t="b">
        <v>0</v>
      </c>
      <c r="AF138" s="76">
        <v>0</v>
      </c>
      <c r="AG138" s="81" t="s">
        <v>1674</v>
      </c>
      <c r="AH138" s="76" t="b">
        <v>0</v>
      </c>
      <c r="AI138" s="76" t="s">
        <v>1770</v>
      </c>
      <c r="AJ138" s="76"/>
      <c r="AK138" s="81" t="s">
        <v>1674</v>
      </c>
      <c r="AL138" s="76" t="b">
        <v>0</v>
      </c>
      <c r="AM138" s="76">
        <v>10</v>
      </c>
      <c r="AN138" s="81" t="s">
        <v>1332</v>
      </c>
      <c r="AO138" s="81" t="s">
        <v>1807</v>
      </c>
      <c r="AP138" s="76" t="b">
        <v>0</v>
      </c>
      <c r="AQ138" s="81" t="s">
        <v>1332</v>
      </c>
      <c r="AR138" s="76" t="s">
        <v>219</v>
      </c>
      <c r="AS138" s="76">
        <v>0</v>
      </c>
      <c r="AT138" s="76">
        <v>0</v>
      </c>
      <c r="AU138" s="76"/>
      <c r="AV138" s="76"/>
      <c r="AW138" s="76"/>
      <c r="AX138" s="76"/>
      <c r="AY138" s="76"/>
      <c r="AZ138" s="76"/>
      <c r="BA138" s="76"/>
      <c r="BB138" s="76"/>
      <c r="BC138">
        <v>1</v>
      </c>
      <c r="BD138" s="75" t="str">
        <f>REPLACE(INDEX(GroupVertices[Group],MATCH(Edges[[#This Row],[Vertex 1]],GroupVertices[Vertex],0)),1,1,"")</f>
        <v>7</v>
      </c>
      <c r="BE138" s="75" t="str">
        <f>REPLACE(INDEX(GroupVertices[Group],MATCH(Edges[[#This Row],[Vertex 2]],GroupVertices[Vertex],0)),1,1,"")</f>
        <v>7</v>
      </c>
      <c r="BF138" s="45">
        <v>0</v>
      </c>
      <c r="BG138" s="46">
        <v>0</v>
      </c>
      <c r="BH138" s="45">
        <v>0</v>
      </c>
      <c r="BI138" s="46">
        <v>0</v>
      </c>
      <c r="BJ138" s="45">
        <v>0</v>
      </c>
      <c r="BK138" s="46">
        <v>0</v>
      </c>
      <c r="BL138" s="45">
        <v>27</v>
      </c>
      <c r="BM138" s="46">
        <v>100</v>
      </c>
      <c r="BN138" s="45">
        <v>27</v>
      </c>
    </row>
    <row r="139" spans="1:66" ht="15">
      <c r="A139" s="61" t="s">
        <v>326</v>
      </c>
      <c r="B139" s="61" t="s">
        <v>485</v>
      </c>
      <c r="C139" s="62" t="s">
        <v>4688</v>
      </c>
      <c r="D139" s="63">
        <v>5</v>
      </c>
      <c r="E139" s="62"/>
      <c r="F139" s="65">
        <v>50</v>
      </c>
      <c r="G139" s="62"/>
      <c r="H139" s="66"/>
      <c r="I139" s="67"/>
      <c r="J139" s="67"/>
      <c r="K139" s="31" t="s">
        <v>65</v>
      </c>
      <c r="L139" s="68">
        <v>139</v>
      </c>
      <c r="M139" s="68"/>
      <c r="N139" s="69"/>
      <c r="O139" s="76" t="s">
        <v>587</v>
      </c>
      <c r="P139" s="78">
        <v>44812.68133101852</v>
      </c>
      <c r="Q139" s="76" t="s">
        <v>642</v>
      </c>
      <c r="R139" s="76"/>
      <c r="S139" s="76"/>
      <c r="T139" s="81" t="s">
        <v>795</v>
      </c>
      <c r="U139" s="76"/>
      <c r="V139" s="79" t="str">
        <f>HYPERLINK("https://pbs.twimg.com/profile_images/1495462778240475136/aqiyN_O6_normal.jpg")</f>
        <v>https://pbs.twimg.com/profile_images/1495462778240475136/aqiyN_O6_normal.jpg</v>
      </c>
      <c r="W139" s="78">
        <v>44812.68133101852</v>
      </c>
      <c r="X139" s="84">
        <v>44812</v>
      </c>
      <c r="Y139" s="81" t="s">
        <v>981</v>
      </c>
      <c r="Z139" s="79" t="str">
        <f>HYPERLINK("https://twitter.com/reservoir_dogs8/status/1567910915068121091")</f>
        <v>https://twitter.com/reservoir_dogs8/status/1567910915068121091</v>
      </c>
      <c r="AA139" s="76"/>
      <c r="AB139" s="76"/>
      <c r="AC139" s="81" t="s">
        <v>1312</v>
      </c>
      <c r="AD139" s="81" t="s">
        <v>1587</v>
      </c>
      <c r="AE139" s="76" t="b">
        <v>0</v>
      </c>
      <c r="AF139" s="76">
        <v>0</v>
      </c>
      <c r="AG139" s="81" t="s">
        <v>1697</v>
      </c>
      <c r="AH139" s="76" t="b">
        <v>0</v>
      </c>
      <c r="AI139" s="76" t="s">
        <v>1773</v>
      </c>
      <c r="AJ139" s="76"/>
      <c r="AK139" s="81" t="s">
        <v>1674</v>
      </c>
      <c r="AL139" s="76" t="b">
        <v>0</v>
      </c>
      <c r="AM139" s="76">
        <v>0</v>
      </c>
      <c r="AN139" s="81" t="s">
        <v>1674</v>
      </c>
      <c r="AO139" s="81" t="s">
        <v>1807</v>
      </c>
      <c r="AP139" s="76" t="b">
        <v>0</v>
      </c>
      <c r="AQ139" s="81" t="s">
        <v>1587</v>
      </c>
      <c r="AR139" s="76" t="s">
        <v>219</v>
      </c>
      <c r="AS139" s="76">
        <v>0</v>
      </c>
      <c r="AT139" s="76">
        <v>0</v>
      </c>
      <c r="AU139" s="76"/>
      <c r="AV139" s="76"/>
      <c r="AW139" s="76"/>
      <c r="AX139" s="76"/>
      <c r="AY139" s="76"/>
      <c r="AZ139" s="76"/>
      <c r="BA139" s="76"/>
      <c r="BB139" s="76"/>
      <c r="BC139">
        <v>1</v>
      </c>
      <c r="BD139" s="75" t="str">
        <f>REPLACE(INDEX(GroupVertices[Group],MATCH(Edges[[#This Row],[Vertex 1]],GroupVertices[Vertex],0)),1,1,"")</f>
        <v>29</v>
      </c>
      <c r="BE139" s="75" t="str">
        <f>REPLACE(INDEX(GroupVertices[Group],MATCH(Edges[[#This Row],[Vertex 2]],GroupVertices[Vertex],0)),1,1,"")</f>
        <v>29</v>
      </c>
      <c r="BF139" s="45">
        <v>0</v>
      </c>
      <c r="BG139" s="46">
        <v>0</v>
      </c>
      <c r="BH139" s="45">
        <v>0</v>
      </c>
      <c r="BI139" s="46">
        <v>0</v>
      </c>
      <c r="BJ139" s="45">
        <v>0</v>
      </c>
      <c r="BK139" s="46">
        <v>0</v>
      </c>
      <c r="BL139" s="45">
        <v>2</v>
      </c>
      <c r="BM139" s="46">
        <v>100</v>
      </c>
      <c r="BN139" s="45">
        <v>2</v>
      </c>
    </row>
    <row r="140" spans="1:66" ht="15">
      <c r="A140" s="61" t="s">
        <v>326</v>
      </c>
      <c r="B140" s="61" t="s">
        <v>486</v>
      </c>
      <c r="C140" s="62" t="s">
        <v>4688</v>
      </c>
      <c r="D140" s="63">
        <v>5</v>
      </c>
      <c r="E140" s="62"/>
      <c r="F140" s="65">
        <v>50</v>
      </c>
      <c r="G140" s="62"/>
      <c r="H140" s="66"/>
      <c r="I140" s="67"/>
      <c r="J140" s="67"/>
      <c r="K140" s="31" t="s">
        <v>65</v>
      </c>
      <c r="L140" s="68">
        <v>140</v>
      </c>
      <c r="M140" s="68"/>
      <c r="N140" s="69"/>
      <c r="O140" s="76" t="s">
        <v>587</v>
      </c>
      <c r="P140" s="78">
        <v>44814.51563657408</v>
      </c>
      <c r="Q140" s="76" t="s">
        <v>643</v>
      </c>
      <c r="R140" s="76"/>
      <c r="S140" s="76"/>
      <c r="T140" s="81" t="s">
        <v>795</v>
      </c>
      <c r="U140" s="76"/>
      <c r="V140" s="79" t="str">
        <f>HYPERLINK("https://pbs.twimg.com/profile_images/1495462778240475136/aqiyN_O6_normal.jpg")</f>
        <v>https://pbs.twimg.com/profile_images/1495462778240475136/aqiyN_O6_normal.jpg</v>
      </c>
      <c r="W140" s="78">
        <v>44814.51563657408</v>
      </c>
      <c r="X140" s="84">
        <v>44814</v>
      </c>
      <c r="Y140" s="81" t="s">
        <v>982</v>
      </c>
      <c r="Z140" s="79" t="str">
        <f>HYPERLINK("https://twitter.com/reservoir_dogs8/status/1568575646254698501")</f>
        <v>https://twitter.com/reservoir_dogs8/status/1568575646254698501</v>
      </c>
      <c r="AA140" s="76"/>
      <c r="AB140" s="76"/>
      <c r="AC140" s="81" t="s">
        <v>1313</v>
      </c>
      <c r="AD140" s="81" t="s">
        <v>1588</v>
      </c>
      <c r="AE140" s="76" t="b">
        <v>0</v>
      </c>
      <c r="AF140" s="76">
        <v>1</v>
      </c>
      <c r="AG140" s="81" t="s">
        <v>1698</v>
      </c>
      <c r="AH140" s="76" t="b">
        <v>0</v>
      </c>
      <c r="AI140" s="76" t="s">
        <v>1779</v>
      </c>
      <c r="AJ140" s="76"/>
      <c r="AK140" s="81" t="s">
        <v>1674</v>
      </c>
      <c r="AL140" s="76" t="b">
        <v>0</v>
      </c>
      <c r="AM140" s="76">
        <v>0</v>
      </c>
      <c r="AN140" s="81" t="s">
        <v>1674</v>
      </c>
      <c r="AO140" s="81" t="s">
        <v>1807</v>
      </c>
      <c r="AP140" s="76" t="b">
        <v>0</v>
      </c>
      <c r="AQ140" s="81" t="s">
        <v>1588</v>
      </c>
      <c r="AR140" s="76" t="s">
        <v>219</v>
      </c>
      <c r="AS140" s="76">
        <v>0</v>
      </c>
      <c r="AT140" s="76">
        <v>0</v>
      </c>
      <c r="AU140" s="76"/>
      <c r="AV140" s="76"/>
      <c r="AW140" s="76"/>
      <c r="AX140" s="76"/>
      <c r="AY140" s="76"/>
      <c r="AZ140" s="76"/>
      <c r="BA140" s="76"/>
      <c r="BB140" s="76"/>
      <c r="BC140">
        <v>1</v>
      </c>
      <c r="BD140" s="75" t="str">
        <f>REPLACE(INDEX(GroupVertices[Group],MATCH(Edges[[#This Row],[Vertex 1]],GroupVertices[Vertex],0)),1,1,"")</f>
        <v>29</v>
      </c>
      <c r="BE140" s="75" t="str">
        <f>REPLACE(INDEX(GroupVertices[Group],MATCH(Edges[[#This Row],[Vertex 2]],GroupVertices[Vertex],0)),1,1,"")</f>
        <v>29</v>
      </c>
      <c r="BF140" s="45">
        <v>0</v>
      </c>
      <c r="BG140" s="46">
        <v>0</v>
      </c>
      <c r="BH140" s="45">
        <v>0</v>
      </c>
      <c r="BI140" s="46">
        <v>0</v>
      </c>
      <c r="BJ140" s="45">
        <v>0</v>
      </c>
      <c r="BK140" s="46">
        <v>0</v>
      </c>
      <c r="BL140" s="45">
        <v>8</v>
      </c>
      <c r="BM140" s="46">
        <v>100</v>
      </c>
      <c r="BN140" s="45">
        <v>8</v>
      </c>
    </row>
    <row r="141" spans="1:66" ht="15">
      <c r="A141" s="61" t="s">
        <v>326</v>
      </c>
      <c r="B141" s="61" t="s">
        <v>487</v>
      </c>
      <c r="C141" s="62" t="s">
        <v>4688</v>
      </c>
      <c r="D141" s="63">
        <v>5</v>
      </c>
      <c r="E141" s="62"/>
      <c r="F141" s="65">
        <v>50</v>
      </c>
      <c r="G141" s="62"/>
      <c r="H141" s="66"/>
      <c r="I141" s="67"/>
      <c r="J141" s="67"/>
      <c r="K141" s="31" t="s">
        <v>65</v>
      </c>
      <c r="L141" s="68">
        <v>141</v>
      </c>
      <c r="M141" s="68"/>
      <c r="N141" s="69"/>
      <c r="O141" s="76" t="s">
        <v>587</v>
      </c>
      <c r="P141" s="78">
        <v>44815.60875</v>
      </c>
      <c r="Q141" s="76" t="s">
        <v>644</v>
      </c>
      <c r="R141" s="76"/>
      <c r="S141" s="76"/>
      <c r="T141" s="81" t="s">
        <v>795</v>
      </c>
      <c r="U141" s="76"/>
      <c r="V141" s="79" t="str">
        <f>HYPERLINK("https://pbs.twimg.com/profile_images/1495462778240475136/aqiyN_O6_normal.jpg")</f>
        <v>https://pbs.twimg.com/profile_images/1495462778240475136/aqiyN_O6_normal.jpg</v>
      </c>
      <c r="W141" s="78">
        <v>44815.60875</v>
      </c>
      <c r="X141" s="84">
        <v>44815</v>
      </c>
      <c r="Y141" s="81" t="s">
        <v>983</v>
      </c>
      <c r="Z141" s="79" t="str">
        <f>HYPERLINK("https://twitter.com/reservoir_dogs8/status/1568971775870115841")</f>
        <v>https://twitter.com/reservoir_dogs8/status/1568971775870115841</v>
      </c>
      <c r="AA141" s="76"/>
      <c r="AB141" s="76"/>
      <c r="AC141" s="81" t="s">
        <v>1314</v>
      </c>
      <c r="AD141" s="81" t="s">
        <v>1589</v>
      </c>
      <c r="AE141" s="76" t="b">
        <v>0</v>
      </c>
      <c r="AF141" s="76">
        <v>3</v>
      </c>
      <c r="AG141" s="81" t="s">
        <v>1699</v>
      </c>
      <c r="AH141" s="76" t="b">
        <v>0</v>
      </c>
      <c r="AI141" s="76" t="s">
        <v>1773</v>
      </c>
      <c r="AJ141" s="76"/>
      <c r="AK141" s="81" t="s">
        <v>1674</v>
      </c>
      <c r="AL141" s="76" t="b">
        <v>0</v>
      </c>
      <c r="AM141" s="76">
        <v>0</v>
      </c>
      <c r="AN141" s="81" t="s">
        <v>1674</v>
      </c>
      <c r="AO141" s="81" t="s">
        <v>1807</v>
      </c>
      <c r="AP141" s="76" t="b">
        <v>0</v>
      </c>
      <c r="AQ141" s="81" t="s">
        <v>1589</v>
      </c>
      <c r="AR141" s="76" t="s">
        <v>219</v>
      </c>
      <c r="AS141" s="76">
        <v>0</v>
      </c>
      <c r="AT141" s="76">
        <v>0</v>
      </c>
      <c r="AU141" s="76"/>
      <c r="AV141" s="76"/>
      <c r="AW141" s="76"/>
      <c r="AX141" s="76"/>
      <c r="AY141" s="76"/>
      <c r="AZ141" s="76"/>
      <c r="BA141" s="76"/>
      <c r="BB141" s="76"/>
      <c r="BC141">
        <v>1</v>
      </c>
      <c r="BD141" s="75" t="str">
        <f>REPLACE(INDEX(GroupVertices[Group],MATCH(Edges[[#This Row],[Vertex 1]],GroupVertices[Vertex],0)),1,1,"")</f>
        <v>29</v>
      </c>
      <c r="BE141" s="75" t="str">
        <f>REPLACE(INDEX(GroupVertices[Group],MATCH(Edges[[#This Row],[Vertex 2]],GroupVertices[Vertex],0)),1,1,"")</f>
        <v>29</v>
      </c>
      <c r="BF141" s="45">
        <v>0</v>
      </c>
      <c r="BG141" s="46">
        <v>0</v>
      </c>
      <c r="BH141" s="45">
        <v>0</v>
      </c>
      <c r="BI141" s="46">
        <v>0</v>
      </c>
      <c r="BJ141" s="45">
        <v>0</v>
      </c>
      <c r="BK141" s="46">
        <v>0</v>
      </c>
      <c r="BL141" s="45">
        <v>2</v>
      </c>
      <c r="BM141" s="46">
        <v>100</v>
      </c>
      <c r="BN141" s="45">
        <v>2</v>
      </c>
    </row>
    <row r="142" spans="1:66" ht="15">
      <c r="A142" s="61" t="s">
        <v>327</v>
      </c>
      <c r="B142" s="61" t="s">
        <v>337</v>
      </c>
      <c r="C142" s="62" t="s">
        <v>4688</v>
      </c>
      <c r="D142" s="63">
        <v>5</v>
      </c>
      <c r="E142" s="62"/>
      <c r="F142" s="65">
        <v>50</v>
      </c>
      <c r="G142" s="62"/>
      <c r="H142" s="66"/>
      <c r="I142" s="67"/>
      <c r="J142" s="67"/>
      <c r="K142" s="31" t="s">
        <v>65</v>
      </c>
      <c r="L142" s="68">
        <v>142</v>
      </c>
      <c r="M142" s="68"/>
      <c r="N142" s="69"/>
      <c r="O142" s="76" t="s">
        <v>586</v>
      </c>
      <c r="P142" s="78">
        <v>44815.70738425926</v>
      </c>
      <c r="Q142" s="76" t="s">
        <v>641</v>
      </c>
      <c r="R142" s="79" t="str">
        <f>HYPERLINK("https://www.lesechos.fr/monde/enjeux-internationaux/les-etats-unis-reclament-lunite-des-allies-contre-la-russie-1787144?xtor=CS4-6235")</f>
        <v>https://www.lesechos.fr/monde/enjeux-internationaux/les-etats-unis-reclament-lunite-des-allies-contre-la-russie-1787144?xtor=CS4-6235</v>
      </c>
      <c r="S142" s="76" t="s">
        <v>785</v>
      </c>
      <c r="T142" s="81" t="s">
        <v>822</v>
      </c>
      <c r="U142" s="76"/>
      <c r="V142" s="79" t="str">
        <f>HYPERLINK("https://pbs.twimg.com/profile_images/1459825612328210437/u88l91HM_normal.png")</f>
        <v>https://pbs.twimg.com/profile_images/1459825612328210437/u88l91HM_normal.png</v>
      </c>
      <c r="W142" s="78">
        <v>44815.70738425926</v>
      </c>
      <c r="X142" s="84">
        <v>44815</v>
      </c>
      <c r="Y142" s="81" t="s">
        <v>984</v>
      </c>
      <c r="Z142" s="79" t="str">
        <f>HYPERLINK("https://twitter.com/patricialcq/status/1569007523147010048")</f>
        <v>https://twitter.com/patricialcq/status/1569007523147010048</v>
      </c>
      <c r="AA142" s="76"/>
      <c r="AB142" s="76"/>
      <c r="AC142" s="81" t="s">
        <v>1315</v>
      </c>
      <c r="AD142" s="76"/>
      <c r="AE142" s="76" t="b">
        <v>0</v>
      </c>
      <c r="AF142" s="76">
        <v>0</v>
      </c>
      <c r="AG142" s="81" t="s">
        <v>1674</v>
      </c>
      <c r="AH142" s="76" t="b">
        <v>0</v>
      </c>
      <c r="AI142" s="76" t="s">
        <v>1770</v>
      </c>
      <c r="AJ142" s="76"/>
      <c r="AK142" s="81" t="s">
        <v>1674</v>
      </c>
      <c r="AL142" s="76" t="b">
        <v>0</v>
      </c>
      <c r="AM142" s="76">
        <v>10</v>
      </c>
      <c r="AN142" s="81" t="s">
        <v>1332</v>
      </c>
      <c r="AO142" s="81" t="s">
        <v>1809</v>
      </c>
      <c r="AP142" s="76" t="b">
        <v>0</v>
      </c>
      <c r="AQ142" s="81" t="s">
        <v>1332</v>
      </c>
      <c r="AR142" s="76" t="s">
        <v>219</v>
      </c>
      <c r="AS142" s="76">
        <v>0</v>
      </c>
      <c r="AT142" s="76">
        <v>0</v>
      </c>
      <c r="AU142" s="76"/>
      <c r="AV142" s="76"/>
      <c r="AW142" s="76"/>
      <c r="AX142" s="76"/>
      <c r="AY142" s="76"/>
      <c r="AZ142" s="76"/>
      <c r="BA142" s="76"/>
      <c r="BB142" s="76"/>
      <c r="BC142">
        <v>1</v>
      </c>
      <c r="BD142" s="75" t="str">
        <f>REPLACE(INDEX(GroupVertices[Group],MATCH(Edges[[#This Row],[Vertex 1]],GroupVertices[Vertex],0)),1,1,"")</f>
        <v>7</v>
      </c>
      <c r="BE142" s="75" t="str">
        <f>REPLACE(INDEX(GroupVertices[Group],MATCH(Edges[[#This Row],[Vertex 2]],GroupVertices[Vertex],0)),1,1,"")</f>
        <v>7</v>
      </c>
      <c r="BF142" s="45">
        <v>0</v>
      </c>
      <c r="BG142" s="46">
        <v>0</v>
      </c>
      <c r="BH142" s="45">
        <v>0</v>
      </c>
      <c r="BI142" s="46">
        <v>0</v>
      </c>
      <c r="BJ142" s="45">
        <v>0</v>
      </c>
      <c r="BK142" s="46">
        <v>0</v>
      </c>
      <c r="BL142" s="45">
        <v>27</v>
      </c>
      <c r="BM142" s="46">
        <v>100</v>
      </c>
      <c r="BN142" s="45">
        <v>27</v>
      </c>
    </row>
    <row r="143" spans="1:66" ht="15">
      <c r="A143" s="61" t="s">
        <v>328</v>
      </c>
      <c r="B143" s="61" t="s">
        <v>488</v>
      </c>
      <c r="C143" s="62" t="s">
        <v>4688</v>
      </c>
      <c r="D143" s="63">
        <v>5</v>
      </c>
      <c r="E143" s="62"/>
      <c r="F143" s="65">
        <v>50</v>
      </c>
      <c r="G143" s="62"/>
      <c r="H143" s="66"/>
      <c r="I143" s="67"/>
      <c r="J143" s="67"/>
      <c r="K143" s="31" t="s">
        <v>65</v>
      </c>
      <c r="L143" s="68">
        <v>143</v>
      </c>
      <c r="M143" s="68"/>
      <c r="N143" s="69"/>
      <c r="O143" s="76" t="s">
        <v>588</v>
      </c>
      <c r="P143" s="78">
        <v>44815.60820601852</v>
      </c>
      <c r="Q143" s="76" t="s">
        <v>645</v>
      </c>
      <c r="R143" s="76"/>
      <c r="S143" s="76"/>
      <c r="T143" s="81" t="s">
        <v>795</v>
      </c>
      <c r="U143" s="79" t="str">
        <f>HYPERLINK("https://pbs.twimg.com/media/FcYbUwDX0AAdpGE.jpg")</f>
        <v>https://pbs.twimg.com/media/FcYbUwDX0AAdpGE.jpg</v>
      </c>
      <c r="V143" s="79" t="str">
        <f>HYPERLINK("https://pbs.twimg.com/media/FcYbUwDX0AAdpGE.jpg")</f>
        <v>https://pbs.twimg.com/media/FcYbUwDX0AAdpGE.jpg</v>
      </c>
      <c r="W143" s="78">
        <v>44815.60820601852</v>
      </c>
      <c r="X143" s="84">
        <v>44815</v>
      </c>
      <c r="Y143" s="81" t="s">
        <v>985</v>
      </c>
      <c r="Z143" s="79" t="str">
        <f>HYPERLINK("https://twitter.com/kakukktakukta/status/1568971578653671425")</f>
        <v>https://twitter.com/kakukktakukta/status/1568971578653671425</v>
      </c>
      <c r="AA143" s="76"/>
      <c r="AB143" s="76"/>
      <c r="AC143" s="81" t="s">
        <v>1316</v>
      </c>
      <c r="AD143" s="81" t="s">
        <v>1590</v>
      </c>
      <c r="AE143" s="76" t="b">
        <v>0</v>
      </c>
      <c r="AF143" s="76">
        <v>0</v>
      </c>
      <c r="AG143" s="81" t="s">
        <v>1700</v>
      </c>
      <c r="AH143" s="76" t="b">
        <v>0</v>
      </c>
      <c r="AI143" s="76" t="s">
        <v>1772</v>
      </c>
      <c r="AJ143" s="76"/>
      <c r="AK143" s="81" t="s">
        <v>1674</v>
      </c>
      <c r="AL143" s="76" t="b">
        <v>0</v>
      </c>
      <c r="AM143" s="76">
        <v>0</v>
      </c>
      <c r="AN143" s="81" t="s">
        <v>1674</v>
      </c>
      <c r="AO143" s="81" t="s">
        <v>1808</v>
      </c>
      <c r="AP143" s="76" t="b">
        <v>0</v>
      </c>
      <c r="AQ143" s="81" t="s">
        <v>1590</v>
      </c>
      <c r="AR143" s="76" t="s">
        <v>219</v>
      </c>
      <c r="AS143" s="76">
        <v>0</v>
      </c>
      <c r="AT143" s="76">
        <v>0</v>
      </c>
      <c r="AU143" s="76"/>
      <c r="AV143" s="76"/>
      <c r="AW143" s="76"/>
      <c r="AX143" s="76"/>
      <c r="AY143" s="76"/>
      <c r="AZ143" s="76"/>
      <c r="BA143" s="76"/>
      <c r="BB143" s="76"/>
      <c r="BC143">
        <v>1</v>
      </c>
      <c r="BD143" s="75" t="str">
        <f>REPLACE(INDEX(GroupVertices[Group],MATCH(Edges[[#This Row],[Vertex 1]],GroupVertices[Vertex],0)),1,1,"")</f>
        <v>9</v>
      </c>
      <c r="BE143" s="75" t="str">
        <f>REPLACE(INDEX(GroupVertices[Group],MATCH(Edges[[#This Row],[Vertex 2]],GroupVertices[Vertex],0)),1,1,"")</f>
        <v>9</v>
      </c>
      <c r="BF143" s="45"/>
      <c r="BG143" s="46"/>
      <c r="BH143" s="45"/>
      <c r="BI143" s="46"/>
      <c r="BJ143" s="45"/>
      <c r="BK143" s="46"/>
      <c r="BL143" s="45"/>
      <c r="BM143" s="46"/>
      <c r="BN143" s="45"/>
    </row>
    <row r="144" spans="1:66" ht="15">
      <c r="A144" s="61" t="s">
        <v>328</v>
      </c>
      <c r="B144" s="61" t="s">
        <v>489</v>
      </c>
      <c r="C144" s="62" t="s">
        <v>4688</v>
      </c>
      <c r="D144" s="63">
        <v>5</v>
      </c>
      <c r="E144" s="62"/>
      <c r="F144" s="65">
        <v>50</v>
      </c>
      <c r="G144" s="62"/>
      <c r="H144" s="66"/>
      <c r="I144" s="67"/>
      <c r="J144" s="67"/>
      <c r="K144" s="31" t="s">
        <v>65</v>
      </c>
      <c r="L144" s="68">
        <v>144</v>
      </c>
      <c r="M144" s="68"/>
      <c r="N144" s="69"/>
      <c r="O144" s="76" t="s">
        <v>587</v>
      </c>
      <c r="P144" s="78">
        <v>44815.60820601852</v>
      </c>
      <c r="Q144" s="76" t="s">
        <v>645</v>
      </c>
      <c r="R144" s="76"/>
      <c r="S144" s="76"/>
      <c r="T144" s="81" t="s">
        <v>795</v>
      </c>
      <c r="U144" s="79" t="str">
        <f>HYPERLINK("https://pbs.twimg.com/media/FcYbUwDX0AAdpGE.jpg")</f>
        <v>https://pbs.twimg.com/media/FcYbUwDX0AAdpGE.jpg</v>
      </c>
      <c r="V144" s="79" t="str">
        <f>HYPERLINK("https://pbs.twimg.com/media/FcYbUwDX0AAdpGE.jpg")</f>
        <v>https://pbs.twimg.com/media/FcYbUwDX0AAdpGE.jpg</v>
      </c>
      <c r="W144" s="78">
        <v>44815.60820601852</v>
      </c>
      <c r="X144" s="84">
        <v>44815</v>
      </c>
      <c r="Y144" s="81" t="s">
        <v>985</v>
      </c>
      <c r="Z144" s="79" t="str">
        <f>HYPERLINK("https://twitter.com/kakukktakukta/status/1568971578653671425")</f>
        <v>https://twitter.com/kakukktakukta/status/1568971578653671425</v>
      </c>
      <c r="AA144" s="76"/>
      <c r="AB144" s="76"/>
      <c r="AC144" s="81" t="s">
        <v>1316</v>
      </c>
      <c r="AD144" s="81" t="s">
        <v>1590</v>
      </c>
      <c r="AE144" s="76" t="b">
        <v>0</v>
      </c>
      <c r="AF144" s="76">
        <v>0</v>
      </c>
      <c r="AG144" s="81" t="s">
        <v>1700</v>
      </c>
      <c r="AH144" s="76" t="b">
        <v>0</v>
      </c>
      <c r="AI144" s="76" t="s">
        <v>1772</v>
      </c>
      <c r="AJ144" s="76"/>
      <c r="AK144" s="81" t="s">
        <v>1674</v>
      </c>
      <c r="AL144" s="76" t="b">
        <v>0</v>
      </c>
      <c r="AM144" s="76">
        <v>0</v>
      </c>
      <c r="AN144" s="81" t="s">
        <v>1674</v>
      </c>
      <c r="AO144" s="81" t="s">
        <v>1808</v>
      </c>
      <c r="AP144" s="76" t="b">
        <v>0</v>
      </c>
      <c r="AQ144" s="81" t="s">
        <v>1590</v>
      </c>
      <c r="AR144" s="76" t="s">
        <v>219</v>
      </c>
      <c r="AS144" s="76">
        <v>0</v>
      </c>
      <c r="AT144" s="76">
        <v>0</v>
      </c>
      <c r="AU144" s="76"/>
      <c r="AV144" s="76"/>
      <c r="AW144" s="76"/>
      <c r="AX144" s="76"/>
      <c r="AY144" s="76"/>
      <c r="AZ144" s="76"/>
      <c r="BA144" s="76"/>
      <c r="BB144" s="76"/>
      <c r="BC144">
        <v>1</v>
      </c>
      <c r="BD144" s="75" t="str">
        <f>REPLACE(INDEX(GroupVertices[Group],MATCH(Edges[[#This Row],[Vertex 1]],GroupVertices[Vertex],0)),1,1,"")</f>
        <v>9</v>
      </c>
      <c r="BE144" s="75" t="str">
        <f>REPLACE(INDEX(GroupVertices[Group],MATCH(Edges[[#This Row],[Vertex 2]],GroupVertices[Vertex],0)),1,1,"")</f>
        <v>9</v>
      </c>
      <c r="BF144" s="45"/>
      <c r="BG144" s="46"/>
      <c r="BH144" s="45"/>
      <c r="BI144" s="46"/>
      <c r="BJ144" s="45"/>
      <c r="BK144" s="46"/>
      <c r="BL144" s="45"/>
      <c r="BM144" s="46"/>
      <c r="BN144" s="45"/>
    </row>
    <row r="145" spans="1:66" ht="15">
      <c r="A145" s="61" t="s">
        <v>328</v>
      </c>
      <c r="B145" s="61" t="s">
        <v>490</v>
      </c>
      <c r="C145" s="62" t="s">
        <v>4691</v>
      </c>
      <c r="D145" s="63">
        <v>5.833333333333333</v>
      </c>
      <c r="E145" s="62"/>
      <c r="F145" s="65">
        <v>44.166666666666664</v>
      </c>
      <c r="G145" s="62"/>
      <c r="H145" s="66"/>
      <c r="I145" s="67"/>
      <c r="J145" s="67"/>
      <c r="K145" s="31" t="s">
        <v>65</v>
      </c>
      <c r="L145" s="68">
        <v>145</v>
      </c>
      <c r="M145" s="68"/>
      <c r="N145" s="69"/>
      <c r="O145" s="76" t="s">
        <v>588</v>
      </c>
      <c r="P145" s="78">
        <v>44815.60563657407</v>
      </c>
      <c r="Q145" s="76" t="s">
        <v>646</v>
      </c>
      <c r="R145" s="76"/>
      <c r="S145" s="76"/>
      <c r="T145" s="81" t="s">
        <v>795</v>
      </c>
      <c r="U145" s="79" t="str">
        <f>HYPERLINK("https://pbs.twimg.com/media/FcYaewQXoAEXrIZ.jpg")</f>
        <v>https://pbs.twimg.com/media/FcYaewQXoAEXrIZ.jpg</v>
      </c>
      <c r="V145" s="79" t="str">
        <f>HYPERLINK("https://pbs.twimg.com/media/FcYaewQXoAEXrIZ.jpg")</f>
        <v>https://pbs.twimg.com/media/FcYaewQXoAEXrIZ.jpg</v>
      </c>
      <c r="W145" s="78">
        <v>44815.60563657407</v>
      </c>
      <c r="X145" s="84">
        <v>44815</v>
      </c>
      <c r="Y145" s="81" t="s">
        <v>986</v>
      </c>
      <c r="Z145" s="79" t="str">
        <f>HYPERLINK("https://twitter.com/kakukktakukta/status/1568970647816085505")</f>
        <v>https://twitter.com/kakukktakukta/status/1568970647816085505</v>
      </c>
      <c r="AA145" s="76"/>
      <c r="AB145" s="76"/>
      <c r="AC145" s="81" t="s">
        <v>1317</v>
      </c>
      <c r="AD145" s="81" t="s">
        <v>1591</v>
      </c>
      <c r="AE145" s="76" t="b">
        <v>0</v>
      </c>
      <c r="AF145" s="76">
        <v>0</v>
      </c>
      <c r="AG145" s="81" t="s">
        <v>1701</v>
      </c>
      <c r="AH145" s="76" t="b">
        <v>0</v>
      </c>
      <c r="AI145" s="76" t="s">
        <v>1772</v>
      </c>
      <c r="AJ145" s="76"/>
      <c r="AK145" s="81" t="s">
        <v>1674</v>
      </c>
      <c r="AL145" s="76" t="b">
        <v>0</v>
      </c>
      <c r="AM145" s="76">
        <v>0</v>
      </c>
      <c r="AN145" s="81" t="s">
        <v>1674</v>
      </c>
      <c r="AO145" s="81" t="s">
        <v>1808</v>
      </c>
      <c r="AP145" s="76" t="b">
        <v>0</v>
      </c>
      <c r="AQ145" s="81" t="s">
        <v>1591</v>
      </c>
      <c r="AR145" s="76" t="s">
        <v>219</v>
      </c>
      <c r="AS145" s="76">
        <v>0</v>
      </c>
      <c r="AT145" s="76">
        <v>0</v>
      </c>
      <c r="AU145" s="76"/>
      <c r="AV145" s="76"/>
      <c r="AW145" s="76"/>
      <c r="AX145" s="76"/>
      <c r="AY145" s="76"/>
      <c r="AZ145" s="76"/>
      <c r="BA145" s="76"/>
      <c r="BB145" s="76"/>
      <c r="BC145">
        <v>3</v>
      </c>
      <c r="BD145" s="75" t="str">
        <f>REPLACE(INDEX(GroupVertices[Group],MATCH(Edges[[#This Row],[Vertex 1]],GroupVertices[Vertex],0)),1,1,"")</f>
        <v>9</v>
      </c>
      <c r="BE145" s="75" t="str">
        <f>REPLACE(INDEX(GroupVertices[Group],MATCH(Edges[[#This Row],[Vertex 2]],GroupVertices[Vertex],0)),1,1,"")</f>
        <v>9</v>
      </c>
      <c r="BF145" s="45"/>
      <c r="BG145" s="46"/>
      <c r="BH145" s="45"/>
      <c r="BI145" s="46"/>
      <c r="BJ145" s="45"/>
      <c r="BK145" s="46"/>
      <c r="BL145" s="45"/>
      <c r="BM145" s="46"/>
      <c r="BN145" s="45"/>
    </row>
    <row r="146" spans="1:66" ht="15">
      <c r="A146" s="61" t="s">
        <v>328</v>
      </c>
      <c r="B146" s="61" t="s">
        <v>490</v>
      </c>
      <c r="C146" s="62" t="s">
        <v>4691</v>
      </c>
      <c r="D146" s="63">
        <v>5.833333333333333</v>
      </c>
      <c r="E146" s="62"/>
      <c r="F146" s="65">
        <v>44.166666666666664</v>
      </c>
      <c r="G146" s="62"/>
      <c r="H146" s="66"/>
      <c r="I146" s="67"/>
      <c r="J146" s="67"/>
      <c r="K146" s="31" t="s">
        <v>65</v>
      </c>
      <c r="L146" s="68">
        <v>146</v>
      </c>
      <c r="M146" s="68"/>
      <c r="N146" s="69"/>
      <c r="O146" s="76" t="s">
        <v>588</v>
      </c>
      <c r="P146" s="78">
        <v>44815.60820601852</v>
      </c>
      <c r="Q146" s="76" t="s">
        <v>645</v>
      </c>
      <c r="R146" s="76"/>
      <c r="S146" s="76"/>
      <c r="T146" s="81" t="s">
        <v>795</v>
      </c>
      <c r="U146" s="79" t="str">
        <f>HYPERLINK("https://pbs.twimg.com/media/FcYbUwDX0AAdpGE.jpg")</f>
        <v>https://pbs.twimg.com/media/FcYbUwDX0AAdpGE.jpg</v>
      </c>
      <c r="V146" s="79" t="str">
        <f>HYPERLINK("https://pbs.twimg.com/media/FcYbUwDX0AAdpGE.jpg")</f>
        <v>https://pbs.twimg.com/media/FcYbUwDX0AAdpGE.jpg</v>
      </c>
      <c r="W146" s="78">
        <v>44815.60820601852</v>
      </c>
      <c r="X146" s="84">
        <v>44815</v>
      </c>
      <c r="Y146" s="81" t="s">
        <v>985</v>
      </c>
      <c r="Z146" s="79" t="str">
        <f>HYPERLINK("https://twitter.com/kakukktakukta/status/1568971578653671425")</f>
        <v>https://twitter.com/kakukktakukta/status/1568971578653671425</v>
      </c>
      <c r="AA146" s="76"/>
      <c r="AB146" s="76"/>
      <c r="AC146" s="81" t="s">
        <v>1316</v>
      </c>
      <c r="AD146" s="81" t="s">
        <v>1590</v>
      </c>
      <c r="AE146" s="76" t="b">
        <v>0</v>
      </c>
      <c r="AF146" s="76">
        <v>0</v>
      </c>
      <c r="AG146" s="81" t="s">
        <v>1700</v>
      </c>
      <c r="AH146" s="76" t="b">
        <v>0</v>
      </c>
      <c r="AI146" s="76" t="s">
        <v>1772</v>
      </c>
      <c r="AJ146" s="76"/>
      <c r="AK146" s="81" t="s">
        <v>1674</v>
      </c>
      <c r="AL146" s="76" t="b">
        <v>0</v>
      </c>
      <c r="AM146" s="76">
        <v>0</v>
      </c>
      <c r="AN146" s="81" t="s">
        <v>1674</v>
      </c>
      <c r="AO146" s="81" t="s">
        <v>1808</v>
      </c>
      <c r="AP146" s="76" t="b">
        <v>0</v>
      </c>
      <c r="AQ146" s="81" t="s">
        <v>1590</v>
      </c>
      <c r="AR146" s="76" t="s">
        <v>219</v>
      </c>
      <c r="AS146" s="76">
        <v>0</v>
      </c>
      <c r="AT146" s="76">
        <v>0</v>
      </c>
      <c r="AU146" s="76"/>
      <c r="AV146" s="76"/>
      <c r="AW146" s="76"/>
      <c r="AX146" s="76"/>
      <c r="AY146" s="76"/>
      <c r="AZ146" s="76"/>
      <c r="BA146" s="76"/>
      <c r="BB146" s="76"/>
      <c r="BC146">
        <v>3</v>
      </c>
      <c r="BD146" s="75" t="str">
        <f>REPLACE(INDEX(GroupVertices[Group],MATCH(Edges[[#This Row],[Vertex 1]],GroupVertices[Vertex],0)),1,1,"")</f>
        <v>9</v>
      </c>
      <c r="BE146" s="75" t="str">
        <f>REPLACE(INDEX(GroupVertices[Group],MATCH(Edges[[#This Row],[Vertex 2]],GroupVertices[Vertex],0)),1,1,"")</f>
        <v>9</v>
      </c>
      <c r="BF146" s="45">
        <v>0</v>
      </c>
      <c r="BG146" s="46">
        <v>0</v>
      </c>
      <c r="BH146" s="45">
        <v>0</v>
      </c>
      <c r="BI146" s="46">
        <v>0</v>
      </c>
      <c r="BJ146" s="45">
        <v>0</v>
      </c>
      <c r="BK146" s="46">
        <v>0</v>
      </c>
      <c r="BL146" s="45">
        <v>9</v>
      </c>
      <c r="BM146" s="46">
        <v>100</v>
      </c>
      <c r="BN146" s="45">
        <v>9</v>
      </c>
    </row>
    <row r="147" spans="1:66" ht="15">
      <c r="A147" s="61" t="s">
        <v>328</v>
      </c>
      <c r="B147" s="61" t="s">
        <v>490</v>
      </c>
      <c r="C147" s="62" t="s">
        <v>4691</v>
      </c>
      <c r="D147" s="63">
        <v>5.833333333333333</v>
      </c>
      <c r="E147" s="62"/>
      <c r="F147" s="65">
        <v>44.166666666666664</v>
      </c>
      <c r="G147" s="62"/>
      <c r="H147" s="66"/>
      <c r="I147" s="67"/>
      <c r="J147" s="67"/>
      <c r="K147" s="31" t="s">
        <v>65</v>
      </c>
      <c r="L147" s="68">
        <v>147</v>
      </c>
      <c r="M147" s="68"/>
      <c r="N147" s="69"/>
      <c r="O147" s="76" t="s">
        <v>588</v>
      </c>
      <c r="P147" s="78">
        <v>44815.60896990741</v>
      </c>
      <c r="Q147" s="76" t="s">
        <v>647</v>
      </c>
      <c r="R147" s="76"/>
      <c r="S147" s="76"/>
      <c r="T147" s="81" t="s">
        <v>795</v>
      </c>
      <c r="U147" s="79" t="str">
        <f>HYPERLINK("https://pbs.twimg.com/media/FcYbktPXgAMg9Ax.jpg")</f>
        <v>https://pbs.twimg.com/media/FcYbktPXgAMg9Ax.jpg</v>
      </c>
      <c r="V147" s="79" t="str">
        <f>HYPERLINK("https://pbs.twimg.com/media/FcYbktPXgAMg9Ax.jpg")</f>
        <v>https://pbs.twimg.com/media/FcYbktPXgAMg9Ax.jpg</v>
      </c>
      <c r="W147" s="78">
        <v>44815.60896990741</v>
      </c>
      <c r="X147" s="84">
        <v>44815</v>
      </c>
      <c r="Y147" s="81" t="s">
        <v>987</v>
      </c>
      <c r="Z147" s="79" t="str">
        <f>HYPERLINK("https://twitter.com/kakukktakukta/status/1568971856790568961")</f>
        <v>https://twitter.com/kakukktakukta/status/1568971856790568961</v>
      </c>
      <c r="AA147" s="76"/>
      <c r="AB147" s="76"/>
      <c r="AC147" s="81" t="s">
        <v>1318</v>
      </c>
      <c r="AD147" s="81" t="s">
        <v>1592</v>
      </c>
      <c r="AE147" s="76" t="b">
        <v>0</v>
      </c>
      <c r="AF147" s="76">
        <v>1</v>
      </c>
      <c r="AG147" s="81" t="s">
        <v>1702</v>
      </c>
      <c r="AH147" s="76" t="b">
        <v>0</v>
      </c>
      <c r="AI147" s="76" t="s">
        <v>1772</v>
      </c>
      <c r="AJ147" s="76"/>
      <c r="AK147" s="81" t="s">
        <v>1674</v>
      </c>
      <c r="AL147" s="76" t="b">
        <v>0</v>
      </c>
      <c r="AM147" s="76">
        <v>0</v>
      </c>
      <c r="AN147" s="81" t="s">
        <v>1674</v>
      </c>
      <c r="AO147" s="81" t="s">
        <v>1808</v>
      </c>
      <c r="AP147" s="76" t="b">
        <v>0</v>
      </c>
      <c r="AQ147" s="81" t="s">
        <v>1592</v>
      </c>
      <c r="AR147" s="76" t="s">
        <v>219</v>
      </c>
      <c r="AS147" s="76">
        <v>0</v>
      </c>
      <c r="AT147" s="76">
        <v>0</v>
      </c>
      <c r="AU147" s="76"/>
      <c r="AV147" s="76"/>
      <c r="AW147" s="76"/>
      <c r="AX147" s="76"/>
      <c r="AY147" s="76"/>
      <c r="AZ147" s="76"/>
      <c r="BA147" s="76"/>
      <c r="BB147" s="76"/>
      <c r="BC147">
        <v>3</v>
      </c>
      <c r="BD147" s="75" t="str">
        <f>REPLACE(INDEX(GroupVertices[Group],MATCH(Edges[[#This Row],[Vertex 1]],GroupVertices[Vertex],0)),1,1,"")</f>
        <v>9</v>
      </c>
      <c r="BE147" s="75" t="str">
        <f>REPLACE(INDEX(GroupVertices[Group],MATCH(Edges[[#This Row],[Vertex 2]],GroupVertices[Vertex],0)),1,1,"")</f>
        <v>9</v>
      </c>
      <c r="BF147" s="45">
        <v>0</v>
      </c>
      <c r="BG147" s="46">
        <v>0</v>
      </c>
      <c r="BH147" s="45">
        <v>0</v>
      </c>
      <c r="BI147" s="46">
        <v>0</v>
      </c>
      <c r="BJ147" s="45">
        <v>0</v>
      </c>
      <c r="BK147" s="46">
        <v>0</v>
      </c>
      <c r="BL147" s="45">
        <v>8</v>
      </c>
      <c r="BM147" s="46">
        <v>100</v>
      </c>
      <c r="BN147" s="45">
        <v>8</v>
      </c>
    </row>
    <row r="148" spans="1:66" ht="15">
      <c r="A148" s="61" t="s">
        <v>328</v>
      </c>
      <c r="B148" s="61" t="s">
        <v>491</v>
      </c>
      <c r="C148" s="62" t="s">
        <v>4688</v>
      </c>
      <c r="D148" s="63">
        <v>5</v>
      </c>
      <c r="E148" s="62"/>
      <c r="F148" s="65">
        <v>50</v>
      </c>
      <c r="G148" s="62"/>
      <c r="H148" s="66"/>
      <c r="I148" s="67"/>
      <c r="J148" s="67"/>
      <c r="K148" s="31" t="s">
        <v>65</v>
      </c>
      <c r="L148" s="68">
        <v>148</v>
      </c>
      <c r="M148" s="68"/>
      <c r="N148" s="69"/>
      <c r="O148" s="76" t="s">
        <v>587</v>
      </c>
      <c r="P148" s="78">
        <v>44815.72122685185</v>
      </c>
      <c r="Q148" s="76" t="s">
        <v>648</v>
      </c>
      <c r="R148" s="76"/>
      <c r="S148" s="76"/>
      <c r="T148" s="81" t="s">
        <v>795</v>
      </c>
      <c r="U148" s="79" t="str">
        <f>HYPERLINK("https://pbs.twimg.com/media/FcZAk4PXEAIrHGL.jpg")</f>
        <v>https://pbs.twimg.com/media/FcZAk4PXEAIrHGL.jpg</v>
      </c>
      <c r="V148" s="79" t="str">
        <f>HYPERLINK("https://pbs.twimg.com/media/FcZAk4PXEAIrHGL.jpg")</f>
        <v>https://pbs.twimg.com/media/FcZAk4PXEAIrHGL.jpg</v>
      </c>
      <c r="W148" s="78">
        <v>44815.72122685185</v>
      </c>
      <c r="X148" s="84">
        <v>44815</v>
      </c>
      <c r="Y148" s="81" t="s">
        <v>988</v>
      </c>
      <c r="Z148" s="79" t="str">
        <f>HYPERLINK("https://twitter.com/kakukktakukta/status/1569012536678256640")</f>
        <v>https://twitter.com/kakukktakukta/status/1569012536678256640</v>
      </c>
      <c r="AA148" s="76"/>
      <c r="AB148" s="76"/>
      <c r="AC148" s="81" t="s">
        <v>1319</v>
      </c>
      <c r="AD148" s="81" t="s">
        <v>1593</v>
      </c>
      <c r="AE148" s="76" t="b">
        <v>0</v>
      </c>
      <c r="AF148" s="76">
        <v>2</v>
      </c>
      <c r="AG148" s="81" t="s">
        <v>1703</v>
      </c>
      <c r="AH148" s="76" t="b">
        <v>0</v>
      </c>
      <c r="AI148" s="76" t="s">
        <v>1772</v>
      </c>
      <c r="AJ148" s="76"/>
      <c r="AK148" s="81" t="s">
        <v>1674</v>
      </c>
      <c r="AL148" s="76" t="b">
        <v>0</v>
      </c>
      <c r="AM148" s="76">
        <v>0</v>
      </c>
      <c r="AN148" s="81" t="s">
        <v>1674</v>
      </c>
      <c r="AO148" s="81" t="s">
        <v>1808</v>
      </c>
      <c r="AP148" s="76" t="b">
        <v>0</v>
      </c>
      <c r="AQ148" s="81" t="s">
        <v>1593</v>
      </c>
      <c r="AR148" s="76" t="s">
        <v>219</v>
      </c>
      <c r="AS148" s="76">
        <v>0</v>
      </c>
      <c r="AT148" s="76">
        <v>0</v>
      </c>
      <c r="AU148" s="76"/>
      <c r="AV148" s="76"/>
      <c r="AW148" s="76"/>
      <c r="AX148" s="76"/>
      <c r="AY148" s="76"/>
      <c r="AZ148" s="76"/>
      <c r="BA148" s="76"/>
      <c r="BB148" s="76"/>
      <c r="BC148">
        <v>1</v>
      </c>
      <c r="BD148" s="75" t="str">
        <f>REPLACE(INDEX(GroupVertices[Group],MATCH(Edges[[#This Row],[Vertex 1]],GroupVertices[Vertex],0)),1,1,"")</f>
        <v>9</v>
      </c>
      <c r="BE148" s="75" t="str">
        <f>REPLACE(INDEX(GroupVertices[Group],MATCH(Edges[[#This Row],[Vertex 2]],GroupVertices[Vertex],0)),1,1,"")</f>
        <v>9</v>
      </c>
      <c r="BF148" s="45"/>
      <c r="BG148" s="46"/>
      <c r="BH148" s="45"/>
      <c r="BI148" s="46"/>
      <c r="BJ148" s="45"/>
      <c r="BK148" s="46"/>
      <c r="BL148" s="45"/>
      <c r="BM148" s="46"/>
      <c r="BN148" s="45"/>
    </row>
    <row r="149" spans="1:66" ht="15">
      <c r="A149" s="61" t="s">
        <v>328</v>
      </c>
      <c r="B149" s="61" t="s">
        <v>492</v>
      </c>
      <c r="C149" s="62" t="s">
        <v>4689</v>
      </c>
      <c r="D149" s="63">
        <v>5.416666666666667</v>
      </c>
      <c r="E149" s="62"/>
      <c r="F149" s="65">
        <v>47.083333333333336</v>
      </c>
      <c r="G149" s="62"/>
      <c r="H149" s="66"/>
      <c r="I149" s="67"/>
      <c r="J149" s="67"/>
      <c r="K149" s="31" t="s">
        <v>65</v>
      </c>
      <c r="L149" s="68">
        <v>149</v>
      </c>
      <c r="M149" s="68"/>
      <c r="N149" s="69"/>
      <c r="O149" s="76" t="s">
        <v>588</v>
      </c>
      <c r="P149" s="78">
        <v>44815.72122685185</v>
      </c>
      <c r="Q149" s="76" t="s">
        <v>648</v>
      </c>
      <c r="R149" s="76"/>
      <c r="S149" s="76"/>
      <c r="T149" s="81" t="s">
        <v>795</v>
      </c>
      <c r="U149" s="79" t="str">
        <f>HYPERLINK("https://pbs.twimg.com/media/FcZAk4PXEAIrHGL.jpg")</f>
        <v>https://pbs.twimg.com/media/FcZAk4PXEAIrHGL.jpg</v>
      </c>
      <c r="V149" s="79" t="str">
        <f>HYPERLINK("https://pbs.twimg.com/media/FcZAk4PXEAIrHGL.jpg")</f>
        <v>https://pbs.twimg.com/media/FcZAk4PXEAIrHGL.jpg</v>
      </c>
      <c r="W149" s="78">
        <v>44815.72122685185</v>
      </c>
      <c r="X149" s="84">
        <v>44815</v>
      </c>
      <c r="Y149" s="81" t="s">
        <v>988</v>
      </c>
      <c r="Z149" s="79" t="str">
        <f>HYPERLINK("https://twitter.com/kakukktakukta/status/1569012536678256640")</f>
        <v>https://twitter.com/kakukktakukta/status/1569012536678256640</v>
      </c>
      <c r="AA149" s="76"/>
      <c r="AB149" s="76"/>
      <c r="AC149" s="81" t="s">
        <v>1319</v>
      </c>
      <c r="AD149" s="81" t="s">
        <v>1593</v>
      </c>
      <c r="AE149" s="76" t="b">
        <v>0</v>
      </c>
      <c r="AF149" s="76">
        <v>2</v>
      </c>
      <c r="AG149" s="81" t="s">
        <v>1703</v>
      </c>
      <c r="AH149" s="76" t="b">
        <v>0</v>
      </c>
      <c r="AI149" s="76" t="s">
        <v>1772</v>
      </c>
      <c r="AJ149" s="76"/>
      <c r="AK149" s="81" t="s">
        <v>1674</v>
      </c>
      <c r="AL149" s="76" t="b">
        <v>0</v>
      </c>
      <c r="AM149" s="76">
        <v>0</v>
      </c>
      <c r="AN149" s="81" t="s">
        <v>1674</v>
      </c>
      <c r="AO149" s="81" t="s">
        <v>1808</v>
      </c>
      <c r="AP149" s="76" t="b">
        <v>0</v>
      </c>
      <c r="AQ149" s="81" t="s">
        <v>1593</v>
      </c>
      <c r="AR149" s="76" t="s">
        <v>219</v>
      </c>
      <c r="AS149" s="76">
        <v>0</v>
      </c>
      <c r="AT149" s="76">
        <v>0</v>
      </c>
      <c r="AU149" s="76"/>
      <c r="AV149" s="76"/>
      <c r="AW149" s="76"/>
      <c r="AX149" s="76"/>
      <c r="AY149" s="76"/>
      <c r="AZ149" s="76"/>
      <c r="BA149" s="76"/>
      <c r="BB149" s="76"/>
      <c r="BC149">
        <v>2</v>
      </c>
      <c r="BD149" s="75" t="str">
        <f>REPLACE(INDEX(GroupVertices[Group],MATCH(Edges[[#This Row],[Vertex 1]],GroupVertices[Vertex],0)),1,1,"")</f>
        <v>9</v>
      </c>
      <c r="BE149" s="75" t="str">
        <f>REPLACE(INDEX(GroupVertices[Group],MATCH(Edges[[#This Row],[Vertex 2]],GroupVertices[Vertex],0)),1,1,"")</f>
        <v>9</v>
      </c>
      <c r="BF149" s="45">
        <v>0</v>
      </c>
      <c r="BG149" s="46">
        <v>0</v>
      </c>
      <c r="BH149" s="45">
        <v>0</v>
      </c>
      <c r="BI149" s="46">
        <v>0</v>
      </c>
      <c r="BJ149" s="45">
        <v>0</v>
      </c>
      <c r="BK149" s="46">
        <v>0</v>
      </c>
      <c r="BL149" s="45">
        <v>5</v>
      </c>
      <c r="BM149" s="46">
        <v>100</v>
      </c>
      <c r="BN149" s="45">
        <v>5</v>
      </c>
    </row>
    <row r="150" spans="1:66" ht="15">
      <c r="A150" s="61" t="s">
        <v>328</v>
      </c>
      <c r="B150" s="61" t="s">
        <v>492</v>
      </c>
      <c r="C150" s="62" t="s">
        <v>4689</v>
      </c>
      <c r="D150" s="63">
        <v>5.416666666666667</v>
      </c>
      <c r="E150" s="62"/>
      <c r="F150" s="65">
        <v>47.083333333333336</v>
      </c>
      <c r="G150" s="62"/>
      <c r="H150" s="66"/>
      <c r="I150" s="67"/>
      <c r="J150" s="67"/>
      <c r="K150" s="31" t="s">
        <v>65</v>
      </c>
      <c r="L150" s="68">
        <v>150</v>
      </c>
      <c r="M150" s="68"/>
      <c r="N150" s="69"/>
      <c r="O150" s="76" t="s">
        <v>588</v>
      </c>
      <c r="P150" s="78">
        <v>44815.72153935185</v>
      </c>
      <c r="Q150" s="76" t="s">
        <v>649</v>
      </c>
      <c r="R150" s="76"/>
      <c r="S150" s="76"/>
      <c r="T150" s="81" t="s">
        <v>795</v>
      </c>
      <c r="U150" s="79" t="str">
        <f>HYPERLINK("https://pbs.twimg.com/media/FcZArrDXEAAEzjK.jpg")</f>
        <v>https://pbs.twimg.com/media/FcZArrDXEAAEzjK.jpg</v>
      </c>
      <c r="V150" s="79" t="str">
        <f>HYPERLINK("https://pbs.twimg.com/media/FcZArrDXEAAEzjK.jpg")</f>
        <v>https://pbs.twimg.com/media/FcZArrDXEAAEzjK.jpg</v>
      </c>
      <c r="W150" s="78">
        <v>44815.72153935185</v>
      </c>
      <c r="X150" s="84">
        <v>44815</v>
      </c>
      <c r="Y150" s="81" t="s">
        <v>989</v>
      </c>
      <c r="Z150" s="79" t="str">
        <f>HYPERLINK("https://twitter.com/kakukktakukta/status/1569012650608136192")</f>
        <v>https://twitter.com/kakukktakukta/status/1569012650608136192</v>
      </c>
      <c r="AA150" s="76"/>
      <c r="AB150" s="76"/>
      <c r="AC150" s="81" t="s">
        <v>1320</v>
      </c>
      <c r="AD150" s="81" t="s">
        <v>1594</v>
      </c>
      <c r="AE150" s="76" t="b">
        <v>0</v>
      </c>
      <c r="AF150" s="76">
        <v>0</v>
      </c>
      <c r="AG150" s="81" t="s">
        <v>1704</v>
      </c>
      <c r="AH150" s="76" t="b">
        <v>0</v>
      </c>
      <c r="AI150" s="76" t="s">
        <v>1772</v>
      </c>
      <c r="AJ150" s="76"/>
      <c r="AK150" s="81" t="s">
        <v>1674</v>
      </c>
      <c r="AL150" s="76" t="b">
        <v>0</v>
      </c>
      <c r="AM150" s="76">
        <v>0</v>
      </c>
      <c r="AN150" s="81" t="s">
        <v>1674</v>
      </c>
      <c r="AO150" s="81" t="s">
        <v>1808</v>
      </c>
      <c r="AP150" s="76" t="b">
        <v>0</v>
      </c>
      <c r="AQ150" s="81" t="s">
        <v>1594</v>
      </c>
      <c r="AR150" s="76" t="s">
        <v>219</v>
      </c>
      <c r="AS150" s="76">
        <v>0</v>
      </c>
      <c r="AT150" s="76">
        <v>0</v>
      </c>
      <c r="AU150" s="76"/>
      <c r="AV150" s="76"/>
      <c r="AW150" s="76"/>
      <c r="AX150" s="76"/>
      <c r="AY150" s="76"/>
      <c r="AZ150" s="76"/>
      <c r="BA150" s="76"/>
      <c r="BB150" s="76"/>
      <c r="BC150">
        <v>2</v>
      </c>
      <c r="BD150" s="75" t="str">
        <f>REPLACE(INDEX(GroupVertices[Group],MATCH(Edges[[#This Row],[Vertex 1]],GroupVertices[Vertex],0)),1,1,"")</f>
        <v>9</v>
      </c>
      <c r="BE150" s="75" t="str">
        <f>REPLACE(INDEX(GroupVertices[Group],MATCH(Edges[[#This Row],[Vertex 2]],GroupVertices[Vertex],0)),1,1,"")</f>
        <v>9</v>
      </c>
      <c r="BF150" s="45"/>
      <c r="BG150" s="46"/>
      <c r="BH150" s="45"/>
      <c r="BI150" s="46"/>
      <c r="BJ150" s="45"/>
      <c r="BK150" s="46"/>
      <c r="BL150" s="45"/>
      <c r="BM150" s="46"/>
      <c r="BN150" s="45"/>
    </row>
    <row r="151" spans="1:66" ht="15">
      <c r="A151" s="61" t="s">
        <v>328</v>
      </c>
      <c r="B151" s="61" t="s">
        <v>493</v>
      </c>
      <c r="C151" s="62" t="s">
        <v>4688</v>
      </c>
      <c r="D151" s="63">
        <v>5</v>
      </c>
      <c r="E151" s="62"/>
      <c r="F151" s="65">
        <v>50</v>
      </c>
      <c r="G151" s="62"/>
      <c r="H151" s="66"/>
      <c r="I151" s="67"/>
      <c r="J151" s="67"/>
      <c r="K151" s="31" t="s">
        <v>65</v>
      </c>
      <c r="L151" s="68">
        <v>151</v>
      </c>
      <c r="M151" s="68"/>
      <c r="N151" s="69"/>
      <c r="O151" s="76" t="s">
        <v>587</v>
      </c>
      <c r="P151" s="78">
        <v>44815.72153935185</v>
      </c>
      <c r="Q151" s="76" t="s">
        <v>649</v>
      </c>
      <c r="R151" s="76"/>
      <c r="S151" s="76"/>
      <c r="T151" s="81" t="s">
        <v>795</v>
      </c>
      <c r="U151" s="79" t="str">
        <f>HYPERLINK("https://pbs.twimg.com/media/FcZArrDXEAAEzjK.jpg")</f>
        <v>https://pbs.twimg.com/media/FcZArrDXEAAEzjK.jpg</v>
      </c>
      <c r="V151" s="79" t="str">
        <f>HYPERLINK("https://pbs.twimg.com/media/FcZArrDXEAAEzjK.jpg")</f>
        <v>https://pbs.twimg.com/media/FcZArrDXEAAEzjK.jpg</v>
      </c>
      <c r="W151" s="78">
        <v>44815.72153935185</v>
      </c>
      <c r="X151" s="84">
        <v>44815</v>
      </c>
      <c r="Y151" s="81" t="s">
        <v>989</v>
      </c>
      <c r="Z151" s="79" t="str">
        <f>HYPERLINK("https://twitter.com/kakukktakukta/status/1569012650608136192")</f>
        <v>https://twitter.com/kakukktakukta/status/1569012650608136192</v>
      </c>
      <c r="AA151" s="76"/>
      <c r="AB151" s="76"/>
      <c r="AC151" s="81" t="s">
        <v>1320</v>
      </c>
      <c r="AD151" s="81" t="s">
        <v>1594</v>
      </c>
      <c r="AE151" s="76" t="b">
        <v>0</v>
      </c>
      <c r="AF151" s="76">
        <v>0</v>
      </c>
      <c r="AG151" s="81" t="s">
        <v>1704</v>
      </c>
      <c r="AH151" s="76" t="b">
        <v>0</v>
      </c>
      <c r="AI151" s="76" t="s">
        <v>1772</v>
      </c>
      <c r="AJ151" s="76"/>
      <c r="AK151" s="81" t="s">
        <v>1674</v>
      </c>
      <c r="AL151" s="76" t="b">
        <v>0</v>
      </c>
      <c r="AM151" s="76">
        <v>0</v>
      </c>
      <c r="AN151" s="81" t="s">
        <v>1674</v>
      </c>
      <c r="AO151" s="81" t="s">
        <v>1808</v>
      </c>
      <c r="AP151" s="76" t="b">
        <v>0</v>
      </c>
      <c r="AQ151" s="81" t="s">
        <v>1594</v>
      </c>
      <c r="AR151" s="76" t="s">
        <v>219</v>
      </c>
      <c r="AS151" s="76">
        <v>0</v>
      </c>
      <c r="AT151" s="76">
        <v>0</v>
      </c>
      <c r="AU151" s="76"/>
      <c r="AV151" s="76"/>
      <c r="AW151" s="76"/>
      <c r="AX151" s="76"/>
      <c r="AY151" s="76"/>
      <c r="AZ151" s="76"/>
      <c r="BA151" s="76"/>
      <c r="BB151" s="76"/>
      <c r="BC151">
        <v>1</v>
      </c>
      <c r="BD151" s="75" t="str">
        <f>REPLACE(INDEX(GroupVertices[Group],MATCH(Edges[[#This Row],[Vertex 1]],GroupVertices[Vertex],0)),1,1,"")</f>
        <v>9</v>
      </c>
      <c r="BE151" s="75" t="str">
        <f>REPLACE(INDEX(GroupVertices[Group],MATCH(Edges[[#This Row],[Vertex 2]],GroupVertices[Vertex],0)),1,1,"")</f>
        <v>9</v>
      </c>
      <c r="BF151" s="45">
        <v>0</v>
      </c>
      <c r="BG151" s="46">
        <v>0</v>
      </c>
      <c r="BH151" s="45">
        <v>0</v>
      </c>
      <c r="BI151" s="46">
        <v>0</v>
      </c>
      <c r="BJ151" s="45">
        <v>0</v>
      </c>
      <c r="BK151" s="46">
        <v>0</v>
      </c>
      <c r="BL151" s="45">
        <v>5</v>
      </c>
      <c r="BM151" s="46">
        <v>100</v>
      </c>
      <c r="BN151" s="45">
        <v>5</v>
      </c>
    </row>
    <row r="152" spans="1:66" ht="15">
      <c r="A152" s="61" t="s">
        <v>328</v>
      </c>
      <c r="B152" s="61" t="s">
        <v>328</v>
      </c>
      <c r="C152" s="62" t="s">
        <v>4688</v>
      </c>
      <c r="D152" s="63">
        <v>5</v>
      </c>
      <c r="E152" s="62"/>
      <c r="F152" s="65">
        <v>50</v>
      </c>
      <c r="G152" s="62"/>
      <c r="H152" s="66"/>
      <c r="I152" s="67"/>
      <c r="J152" s="67"/>
      <c r="K152" s="31" t="s">
        <v>65</v>
      </c>
      <c r="L152" s="68">
        <v>152</v>
      </c>
      <c r="M152" s="68"/>
      <c r="N152" s="69"/>
      <c r="O152" s="76" t="s">
        <v>219</v>
      </c>
      <c r="P152" s="78">
        <v>44815.605462962965</v>
      </c>
      <c r="Q152" s="76" t="s">
        <v>650</v>
      </c>
      <c r="R152" s="76"/>
      <c r="S152" s="76"/>
      <c r="T152" s="81" t="s">
        <v>795</v>
      </c>
      <c r="U152" s="79" t="str">
        <f>HYPERLINK("https://pbs.twimg.com/media/FcYaa-2XkAEFimw.jpg")</f>
        <v>https://pbs.twimg.com/media/FcYaa-2XkAEFimw.jpg</v>
      </c>
      <c r="V152" s="79" t="str">
        <f>HYPERLINK("https://pbs.twimg.com/media/FcYaa-2XkAEFimw.jpg")</f>
        <v>https://pbs.twimg.com/media/FcYaa-2XkAEFimw.jpg</v>
      </c>
      <c r="W152" s="78">
        <v>44815.605462962965</v>
      </c>
      <c r="X152" s="84">
        <v>44815</v>
      </c>
      <c r="Y152" s="81" t="s">
        <v>990</v>
      </c>
      <c r="Z152" s="79" t="str">
        <f>HYPERLINK("https://twitter.com/kakukktakukta/status/1568970586373910530")</f>
        <v>https://twitter.com/kakukktakukta/status/1568970586373910530</v>
      </c>
      <c r="AA152" s="76"/>
      <c r="AB152" s="76"/>
      <c r="AC152" s="81" t="s">
        <v>1321</v>
      </c>
      <c r="AD152" s="81" t="s">
        <v>1595</v>
      </c>
      <c r="AE152" s="76" t="b">
        <v>0</v>
      </c>
      <c r="AF152" s="76">
        <v>1</v>
      </c>
      <c r="AG152" s="81" t="s">
        <v>1705</v>
      </c>
      <c r="AH152" s="76" t="b">
        <v>0</v>
      </c>
      <c r="AI152" s="76" t="s">
        <v>1772</v>
      </c>
      <c r="AJ152" s="76"/>
      <c r="AK152" s="81" t="s">
        <v>1674</v>
      </c>
      <c r="AL152" s="76" t="b">
        <v>0</v>
      </c>
      <c r="AM152" s="76">
        <v>0</v>
      </c>
      <c r="AN152" s="81" t="s">
        <v>1674</v>
      </c>
      <c r="AO152" s="81" t="s">
        <v>1808</v>
      </c>
      <c r="AP152" s="76" t="b">
        <v>0</v>
      </c>
      <c r="AQ152" s="81" t="s">
        <v>1595</v>
      </c>
      <c r="AR152" s="76" t="s">
        <v>219</v>
      </c>
      <c r="AS152" s="76">
        <v>0</v>
      </c>
      <c r="AT152" s="76">
        <v>0</v>
      </c>
      <c r="AU152" s="76"/>
      <c r="AV152" s="76"/>
      <c r="AW152" s="76"/>
      <c r="AX152" s="76"/>
      <c r="AY152" s="76"/>
      <c r="AZ152" s="76"/>
      <c r="BA152" s="76"/>
      <c r="BB152" s="76"/>
      <c r="BC152">
        <v>1</v>
      </c>
      <c r="BD152" s="75" t="str">
        <f>REPLACE(INDEX(GroupVertices[Group],MATCH(Edges[[#This Row],[Vertex 1]],GroupVertices[Vertex],0)),1,1,"")</f>
        <v>9</v>
      </c>
      <c r="BE152" s="75" t="str">
        <f>REPLACE(INDEX(GroupVertices[Group],MATCH(Edges[[#This Row],[Vertex 2]],GroupVertices[Vertex],0)),1,1,"")</f>
        <v>9</v>
      </c>
      <c r="BF152" s="45">
        <v>0</v>
      </c>
      <c r="BG152" s="46">
        <v>0</v>
      </c>
      <c r="BH152" s="45">
        <v>0</v>
      </c>
      <c r="BI152" s="46">
        <v>0</v>
      </c>
      <c r="BJ152" s="45">
        <v>0</v>
      </c>
      <c r="BK152" s="46">
        <v>0</v>
      </c>
      <c r="BL152" s="45">
        <v>9</v>
      </c>
      <c r="BM152" s="46">
        <v>100</v>
      </c>
      <c r="BN152" s="45">
        <v>9</v>
      </c>
    </row>
    <row r="153" spans="1:66" ht="15">
      <c r="A153" s="61" t="s">
        <v>328</v>
      </c>
      <c r="B153" s="61" t="s">
        <v>494</v>
      </c>
      <c r="C153" s="62" t="s">
        <v>4688</v>
      </c>
      <c r="D153" s="63">
        <v>5</v>
      </c>
      <c r="E153" s="62"/>
      <c r="F153" s="65">
        <v>50</v>
      </c>
      <c r="G153" s="62"/>
      <c r="H153" s="66"/>
      <c r="I153" s="67"/>
      <c r="J153" s="67"/>
      <c r="K153" s="31" t="s">
        <v>65</v>
      </c>
      <c r="L153" s="68">
        <v>153</v>
      </c>
      <c r="M153" s="68"/>
      <c r="N153" s="69"/>
      <c r="O153" s="76" t="s">
        <v>587</v>
      </c>
      <c r="P153" s="78">
        <v>44815.60563657407</v>
      </c>
      <c r="Q153" s="76" t="s">
        <v>646</v>
      </c>
      <c r="R153" s="76"/>
      <c r="S153" s="76"/>
      <c r="T153" s="81" t="s">
        <v>795</v>
      </c>
      <c r="U153" s="79" t="str">
        <f>HYPERLINK("https://pbs.twimg.com/media/FcYaewQXoAEXrIZ.jpg")</f>
        <v>https://pbs.twimg.com/media/FcYaewQXoAEXrIZ.jpg</v>
      </c>
      <c r="V153" s="79" t="str">
        <f>HYPERLINK("https://pbs.twimg.com/media/FcYaewQXoAEXrIZ.jpg")</f>
        <v>https://pbs.twimg.com/media/FcYaewQXoAEXrIZ.jpg</v>
      </c>
      <c r="W153" s="78">
        <v>44815.60563657407</v>
      </c>
      <c r="X153" s="84">
        <v>44815</v>
      </c>
      <c r="Y153" s="81" t="s">
        <v>986</v>
      </c>
      <c r="Z153" s="79" t="str">
        <f>HYPERLINK("https://twitter.com/kakukktakukta/status/1568970647816085505")</f>
        <v>https://twitter.com/kakukktakukta/status/1568970647816085505</v>
      </c>
      <c r="AA153" s="76"/>
      <c r="AB153" s="76"/>
      <c r="AC153" s="81" t="s">
        <v>1317</v>
      </c>
      <c r="AD153" s="81" t="s">
        <v>1591</v>
      </c>
      <c r="AE153" s="76" t="b">
        <v>0</v>
      </c>
      <c r="AF153" s="76">
        <v>0</v>
      </c>
      <c r="AG153" s="81" t="s">
        <v>1701</v>
      </c>
      <c r="AH153" s="76" t="b">
        <v>0</v>
      </c>
      <c r="AI153" s="76" t="s">
        <v>1772</v>
      </c>
      <c r="AJ153" s="76"/>
      <c r="AK153" s="81" t="s">
        <v>1674</v>
      </c>
      <c r="AL153" s="76" t="b">
        <v>0</v>
      </c>
      <c r="AM153" s="76">
        <v>0</v>
      </c>
      <c r="AN153" s="81" t="s">
        <v>1674</v>
      </c>
      <c r="AO153" s="81" t="s">
        <v>1808</v>
      </c>
      <c r="AP153" s="76" t="b">
        <v>0</v>
      </c>
      <c r="AQ153" s="81" t="s">
        <v>1591</v>
      </c>
      <c r="AR153" s="76" t="s">
        <v>219</v>
      </c>
      <c r="AS153" s="76">
        <v>0</v>
      </c>
      <c r="AT153" s="76">
        <v>0</v>
      </c>
      <c r="AU153" s="76"/>
      <c r="AV153" s="76"/>
      <c r="AW153" s="76"/>
      <c r="AX153" s="76"/>
      <c r="AY153" s="76"/>
      <c r="AZ153" s="76"/>
      <c r="BA153" s="76"/>
      <c r="BB153" s="76"/>
      <c r="BC153">
        <v>1</v>
      </c>
      <c r="BD153" s="75" t="str">
        <f>REPLACE(INDEX(GroupVertices[Group],MATCH(Edges[[#This Row],[Vertex 1]],GroupVertices[Vertex],0)),1,1,"")</f>
        <v>9</v>
      </c>
      <c r="BE153" s="75" t="str">
        <f>REPLACE(INDEX(GroupVertices[Group],MATCH(Edges[[#This Row],[Vertex 2]],GroupVertices[Vertex],0)),1,1,"")</f>
        <v>9</v>
      </c>
      <c r="BF153" s="45">
        <v>0</v>
      </c>
      <c r="BG153" s="46">
        <v>0</v>
      </c>
      <c r="BH153" s="45">
        <v>0</v>
      </c>
      <c r="BI153" s="46">
        <v>0</v>
      </c>
      <c r="BJ153" s="45">
        <v>0</v>
      </c>
      <c r="BK153" s="46">
        <v>0</v>
      </c>
      <c r="BL153" s="45">
        <v>11</v>
      </c>
      <c r="BM153" s="46">
        <v>100</v>
      </c>
      <c r="BN153" s="45">
        <v>11</v>
      </c>
    </row>
    <row r="154" spans="1:66" ht="15">
      <c r="A154" s="61" t="s">
        <v>328</v>
      </c>
      <c r="B154" s="61" t="s">
        <v>447</v>
      </c>
      <c r="C154" s="62" t="s">
        <v>4688</v>
      </c>
      <c r="D154" s="63">
        <v>5</v>
      </c>
      <c r="E154" s="62"/>
      <c r="F154" s="65">
        <v>50</v>
      </c>
      <c r="G154" s="62"/>
      <c r="H154" s="66"/>
      <c r="I154" s="67"/>
      <c r="J154" s="67"/>
      <c r="K154" s="31" t="s">
        <v>65</v>
      </c>
      <c r="L154" s="68">
        <v>154</v>
      </c>
      <c r="M154" s="68"/>
      <c r="N154" s="69"/>
      <c r="O154" s="76" t="s">
        <v>587</v>
      </c>
      <c r="P154" s="78">
        <v>44815.60896990741</v>
      </c>
      <c r="Q154" s="76" t="s">
        <v>647</v>
      </c>
      <c r="R154" s="76"/>
      <c r="S154" s="76"/>
      <c r="T154" s="81" t="s">
        <v>795</v>
      </c>
      <c r="U154" s="79" t="str">
        <f>HYPERLINK("https://pbs.twimg.com/media/FcYbktPXgAMg9Ax.jpg")</f>
        <v>https://pbs.twimg.com/media/FcYbktPXgAMg9Ax.jpg</v>
      </c>
      <c r="V154" s="79" t="str">
        <f>HYPERLINK("https://pbs.twimg.com/media/FcYbktPXgAMg9Ax.jpg")</f>
        <v>https://pbs.twimg.com/media/FcYbktPXgAMg9Ax.jpg</v>
      </c>
      <c r="W154" s="78">
        <v>44815.60896990741</v>
      </c>
      <c r="X154" s="84">
        <v>44815</v>
      </c>
      <c r="Y154" s="81" t="s">
        <v>987</v>
      </c>
      <c r="Z154" s="79" t="str">
        <f>HYPERLINK("https://twitter.com/kakukktakukta/status/1568971856790568961")</f>
        <v>https://twitter.com/kakukktakukta/status/1568971856790568961</v>
      </c>
      <c r="AA154" s="76"/>
      <c r="AB154" s="76"/>
      <c r="AC154" s="81" t="s">
        <v>1318</v>
      </c>
      <c r="AD154" s="81" t="s">
        <v>1592</v>
      </c>
      <c r="AE154" s="76" t="b">
        <v>0</v>
      </c>
      <c r="AF154" s="76">
        <v>1</v>
      </c>
      <c r="AG154" s="81" t="s">
        <v>1702</v>
      </c>
      <c r="AH154" s="76" t="b">
        <v>0</v>
      </c>
      <c r="AI154" s="76" t="s">
        <v>1772</v>
      </c>
      <c r="AJ154" s="76"/>
      <c r="AK154" s="81" t="s">
        <v>1674</v>
      </c>
      <c r="AL154" s="76" t="b">
        <v>0</v>
      </c>
      <c r="AM154" s="76">
        <v>0</v>
      </c>
      <c r="AN154" s="81" t="s">
        <v>1674</v>
      </c>
      <c r="AO154" s="81" t="s">
        <v>1808</v>
      </c>
      <c r="AP154" s="76" t="b">
        <v>0</v>
      </c>
      <c r="AQ154" s="81" t="s">
        <v>1592</v>
      </c>
      <c r="AR154" s="76" t="s">
        <v>219</v>
      </c>
      <c r="AS154" s="76">
        <v>0</v>
      </c>
      <c r="AT154" s="76">
        <v>0</v>
      </c>
      <c r="AU154" s="76"/>
      <c r="AV154" s="76"/>
      <c r="AW154" s="76"/>
      <c r="AX154" s="76"/>
      <c r="AY154" s="76"/>
      <c r="AZ154" s="76"/>
      <c r="BA154" s="76"/>
      <c r="BB154" s="76"/>
      <c r="BC154">
        <v>1</v>
      </c>
      <c r="BD154" s="75" t="str">
        <f>REPLACE(INDEX(GroupVertices[Group],MATCH(Edges[[#This Row],[Vertex 1]],GroupVertices[Vertex],0)),1,1,"")</f>
        <v>9</v>
      </c>
      <c r="BE154" s="75" t="str">
        <f>REPLACE(INDEX(GroupVertices[Group],MATCH(Edges[[#This Row],[Vertex 2]],GroupVertices[Vertex],0)),1,1,"")</f>
        <v>1</v>
      </c>
      <c r="BF154" s="45"/>
      <c r="BG154" s="46"/>
      <c r="BH154" s="45"/>
      <c r="BI154" s="46"/>
      <c r="BJ154" s="45"/>
      <c r="BK154" s="46"/>
      <c r="BL154" s="45"/>
      <c r="BM154" s="46"/>
      <c r="BN154" s="45"/>
    </row>
    <row r="155" spans="1:66" ht="15">
      <c r="A155" s="61" t="s">
        <v>329</v>
      </c>
      <c r="B155" s="61" t="s">
        <v>337</v>
      </c>
      <c r="C155" s="62" t="s">
        <v>4688</v>
      </c>
      <c r="D155" s="63">
        <v>5</v>
      </c>
      <c r="E155" s="62"/>
      <c r="F155" s="65">
        <v>50</v>
      </c>
      <c r="G155" s="62"/>
      <c r="H155" s="66"/>
      <c r="I155" s="67"/>
      <c r="J155" s="67"/>
      <c r="K155" s="31" t="s">
        <v>65</v>
      </c>
      <c r="L155" s="68">
        <v>155</v>
      </c>
      <c r="M155" s="68"/>
      <c r="N155" s="69"/>
      <c r="O155" s="76" t="s">
        <v>586</v>
      </c>
      <c r="P155" s="78">
        <v>44815.74118055555</v>
      </c>
      <c r="Q155" s="76" t="s">
        <v>641</v>
      </c>
      <c r="R155" s="79" t="str">
        <f>HYPERLINK("https://www.lesechos.fr/monde/enjeux-internationaux/les-etats-unis-reclament-lunite-des-allies-contre-la-russie-1787144?xtor=CS4-6235")</f>
        <v>https://www.lesechos.fr/monde/enjeux-internationaux/les-etats-unis-reclament-lunite-des-allies-contre-la-russie-1787144?xtor=CS4-6235</v>
      </c>
      <c r="S155" s="76" t="s">
        <v>785</v>
      </c>
      <c r="T155" s="81" t="s">
        <v>822</v>
      </c>
      <c r="U155" s="76"/>
      <c r="V155" s="79" t="str">
        <f>HYPERLINK("https://pbs.twimg.com/profile_images/1520408393265074176/vW9q5Oxl_normal.jpg")</f>
        <v>https://pbs.twimg.com/profile_images/1520408393265074176/vW9q5Oxl_normal.jpg</v>
      </c>
      <c r="W155" s="78">
        <v>44815.74118055555</v>
      </c>
      <c r="X155" s="84">
        <v>44815</v>
      </c>
      <c r="Y155" s="81" t="s">
        <v>991</v>
      </c>
      <c r="Z155" s="79" t="str">
        <f>HYPERLINK("https://twitter.com/carlistjc/status/1569019768417538050")</f>
        <v>https://twitter.com/carlistjc/status/1569019768417538050</v>
      </c>
      <c r="AA155" s="76"/>
      <c r="AB155" s="76"/>
      <c r="AC155" s="81" t="s">
        <v>1322</v>
      </c>
      <c r="AD155" s="76"/>
      <c r="AE155" s="76" t="b">
        <v>0</v>
      </c>
      <c r="AF155" s="76">
        <v>0</v>
      </c>
      <c r="AG155" s="81" t="s">
        <v>1674</v>
      </c>
      <c r="AH155" s="76" t="b">
        <v>0</v>
      </c>
      <c r="AI155" s="76" t="s">
        <v>1770</v>
      </c>
      <c r="AJ155" s="76"/>
      <c r="AK155" s="81" t="s">
        <v>1674</v>
      </c>
      <c r="AL155" s="76" t="b">
        <v>0</v>
      </c>
      <c r="AM155" s="76">
        <v>10</v>
      </c>
      <c r="AN155" s="81" t="s">
        <v>1332</v>
      </c>
      <c r="AO155" s="81" t="s">
        <v>1807</v>
      </c>
      <c r="AP155" s="76" t="b">
        <v>0</v>
      </c>
      <c r="AQ155" s="81" t="s">
        <v>1332</v>
      </c>
      <c r="AR155" s="76" t="s">
        <v>219</v>
      </c>
      <c r="AS155" s="76">
        <v>0</v>
      </c>
      <c r="AT155" s="76">
        <v>0</v>
      </c>
      <c r="AU155" s="76"/>
      <c r="AV155" s="76"/>
      <c r="AW155" s="76"/>
      <c r="AX155" s="76"/>
      <c r="AY155" s="76"/>
      <c r="AZ155" s="76"/>
      <c r="BA155" s="76"/>
      <c r="BB155" s="76"/>
      <c r="BC155">
        <v>1</v>
      </c>
      <c r="BD155" s="75" t="str">
        <f>REPLACE(INDEX(GroupVertices[Group],MATCH(Edges[[#This Row],[Vertex 1]],GroupVertices[Vertex],0)),1,1,"")</f>
        <v>7</v>
      </c>
      <c r="BE155" s="75" t="str">
        <f>REPLACE(INDEX(GroupVertices[Group],MATCH(Edges[[#This Row],[Vertex 2]],GroupVertices[Vertex],0)),1,1,"")</f>
        <v>7</v>
      </c>
      <c r="BF155" s="45">
        <v>0</v>
      </c>
      <c r="BG155" s="46">
        <v>0</v>
      </c>
      <c r="BH155" s="45">
        <v>0</v>
      </c>
      <c r="BI155" s="46">
        <v>0</v>
      </c>
      <c r="BJ155" s="45">
        <v>0</v>
      </c>
      <c r="BK155" s="46">
        <v>0</v>
      </c>
      <c r="BL155" s="45">
        <v>27</v>
      </c>
      <c r="BM155" s="46">
        <v>100</v>
      </c>
      <c r="BN155" s="45">
        <v>27</v>
      </c>
    </row>
    <row r="156" spans="1:66" ht="15">
      <c r="A156" s="61" t="s">
        <v>330</v>
      </c>
      <c r="B156" s="61" t="s">
        <v>337</v>
      </c>
      <c r="C156" s="62" t="s">
        <v>4688</v>
      </c>
      <c r="D156" s="63">
        <v>5</v>
      </c>
      <c r="E156" s="62"/>
      <c r="F156" s="65">
        <v>50</v>
      </c>
      <c r="G156" s="62"/>
      <c r="H156" s="66"/>
      <c r="I156" s="67"/>
      <c r="J156" s="67"/>
      <c r="K156" s="31" t="s">
        <v>65</v>
      </c>
      <c r="L156" s="68">
        <v>156</v>
      </c>
      <c r="M156" s="68"/>
      <c r="N156" s="69"/>
      <c r="O156" s="76" t="s">
        <v>586</v>
      </c>
      <c r="P156" s="78">
        <v>44815.74568287037</v>
      </c>
      <c r="Q156" s="76" t="s">
        <v>641</v>
      </c>
      <c r="R156" s="79" t="str">
        <f>HYPERLINK("https://www.lesechos.fr/monde/enjeux-internationaux/les-etats-unis-reclament-lunite-des-allies-contre-la-russie-1787144?xtor=CS4-6235")</f>
        <v>https://www.lesechos.fr/monde/enjeux-internationaux/les-etats-unis-reclament-lunite-des-allies-contre-la-russie-1787144?xtor=CS4-6235</v>
      </c>
      <c r="S156" s="76" t="s">
        <v>785</v>
      </c>
      <c r="T156" s="81" t="s">
        <v>822</v>
      </c>
      <c r="U156" s="76"/>
      <c r="V156" s="79" t="str">
        <f>HYPERLINK("https://pbs.twimg.com/profile_images/1510599865126072329/tqpg6AR6_normal.jpg")</f>
        <v>https://pbs.twimg.com/profile_images/1510599865126072329/tqpg6AR6_normal.jpg</v>
      </c>
      <c r="W156" s="78">
        <v>44815.74568287037</v>
      </c>
      <c r="X156" s="84">
        <v>44815</v>
      </c>
      <c r="Y156" s="81" t="s">
        <v>992</v>
      </c>
      <c r="Z156" s="79" t="str">
        <f>HYPERLINK("https://twitter.com/ogach_69/status/1569021400350101506")</f>
        <v>https://twitter.com/ogach_69/status/1569021400350101506</v>
      </c>
      <c r="AA156" s="76"/>
      <c r="AB156" s="76"/>
      <c r="AC156" s="81" t="s">
        <v>1323</v>
      </c>
      <c r="AD156" s="76"/>
      <c r="AE156" s="76" t="b">
        <v>0</v>
      </c>
      <c r="AF156" s="76">
        <v>0</v>
      </c>
      <c r="AG156" s="81" t="s">
        <v>1674</v>
      </c>
      <c r="AH156" s="76" t="b">
        <v>0</v>
      </c>
      <c r="AI156" s="76" t="s">
        <v>1770</v>
      </c>
      <c r="AJ156" s="76"/>
      <c r="AK156" s="81" t="s">
        <v>1674</v>
      </c>
      <c r="AL156" s="76" t="b">
        <v>0</v>
      </c>
      <c r="AM156" s="76">
        <v>10</v>
      </c>
      <c r="AN156" s="81" t="s">
        <v>1332</v>
      </c>
      <c r="AO156" s="81" t="s">
        <v>1809</v>
      </c>
      <c r="AP156" s="76" t="b">
        <v>0</v>
      </c>
      <c r="AQ156" s="81" t="s">
        <v>1332</v>
      </c>
      <c r="AR156" s="76" t="s">
        <v>219</v>
      </c>
      <c r="AS156" s="76">
        <v>0</v>
      </c>
      <c r="AT156" s="76">
        <v>0</v>
      </c>
      <c r="AU156" s="76"/>
      <c r="AV156" s="76"/>
      <c r="AW156" s="76"/>
      <c r="AX156" s="76"/>
      <c r="AY156" s="76"/>
      <c r="AZ156" s="76"/>
      <c r="BA156" s="76"/>
      <c r="BB156" s="76"/>
      <c r="BC156">
        <v>1</v>
      </c>
      <c r="BD156" s="75" t="str">
        <f>REPLACE(INDEX(GroupVertices[Group],MATCH(Edges[[#This Row],[Vertex 1]],GroupVertices[Vertex],0)),1,1,"")</f>
        <v>7</v>
      </c>
      <c r="BE156" s="75" t="str">
        <f>REPLACE(INDEX(GroupVertices[Group],MATCH(Edges[[#This Row],[Vertex 2]],GroupVertices[Vertex],0)),1,1,"")</f>
        <v>7</v>
      </c>
      <c r="BF156" s="45">
        <v>0</v>
      </c>
      <c r="BG156" s="46">
        <v>0</v>
      </c>
      <c r="BH156" s="45">
        <v>0</v>
      </c>
      <c r="BI156" s="46">
        <v>0</v>
      </c>
      <c r="BJ156" s="45">
        <v>0</v>
      </c>
      <c r="BK156" s="46">
        <v>0</v>
      </c>
      <c r="BL156" s="45">
        <v>27</v>
      </c>
      <c r="BM156" s="46">
        <v>100</v>
      </c>
      <c r="BN156" s="45">
        <v>27</v>
      </c>
    </row>
    <row r="157" spans="1:66" ht="15">
      <c r="A157" s="61" t="s">
        <v>331</v>
      </c>
      <c r="B157" s="61" t="s">
        <v>337</v>
      </c>
      <c r="C157" s="62" t="s">
        <v>4688</v>
      </c>
      <c r="D157" s="63">
        <v>5</v>
      </c>
      <c r="E157" s="62"/>
      <c r="F157" s="65">
        <v>50</v>
      </c>
      <c r="G157" s="62"/>
      <c r="H157" s="66"/>
      <c r="I157" s="67"/>
      <c r="J157" s="67"/>
      <c r="K157" s="31" t="s">
        <v>65</v>
      </c>
      <c r="L157" s="68">
        <v>157</v>
      </c>
      <c r="M157" s="68"/>
      <c r="N157" s="69"/>
      <c r="O157" s="76" t="s">
        <v>586</v>
      </c>
      <c r="P157" s="78">
        <v>44815.74767361111</v>
      </c>
      <c r="Q157" s="76" t="s">
        <v>641</v>
      </c>
      <c r="R157" s="79" t="str">
        <f>HYPERLINK("https://www.lesechos.fr/monde/enjeux-internationaux/les-etats-unis-reclament-lunite-des-allies-contre-la-russie-1787144?xtor=CS4-6235")</f>
        <v>https://www.lesechos.fr/monde/enjeux-internationaux/les-etats-unis-reclament-lunite-des-allies-contre-la-russie-1787144?xtor=CS4-6235</v>
      </c>
      <c r="S157" s="76" t="s">
        <v>785</v>
      </c>
      <c r="T157" s="81" t="s">
        <v>822</v>
      </c>
      <c r="U157" s="76"/>
      <c r="V157" s="79" t="str">
        <f>HYPERLINK("https://pbs.twimg.com/profile_images/1566369161697271810/aFN9Snll_normal.jpg")</f>
        <v>https://pbs.twimg.com/profile_images/1566369161697271810/aFN9Snll_normal.jpg</v>
      </c>
      <c r="W157" s="78">
        <v>44815.74767361111</v>
      </c>
      <c r="X157" s="84">
        <v>44815</v>
      </c>
      <c r="Y157" s="81" t="s">
        <v>993</v>
      </c>
      <c r="Z157" s="79" t="str">
        <f>HYPERLINK("https://twitter.com/ancient_caxotte/status/1569022120654475264")</f>
        <v>https://twitter.com/ancient_caxotte/status/1569022120654475264</v>
      </c>
      <c r="AA157" s="76"/>
      <c r="AB157" s="76"/>
      <c r="AC157" s="81" t="s">
        <v>1324</v>
      </c>
      <c r="AD157" s="76"/>
      <c r="AE157" s="76" t="b">
        <v>0</v>
      </c>
      <c r="AF157" s="76">
        <v>0</v>
      </c>
      <c r="AG157" s="81" t="s">
        <v>1674</v>
      </c>
      <c r="AH157" s="76" t="b">
        <v>0</v>
      </c>
      <c r="AI157" s="76" t="s">
        <v>1770</v>
      </c>
      <c r="AJ157" s="76"/>
      <c r="AK157" s="81" t="s">
        <v>1674</v>
      </c>
      <c r="AL157" s="76" t="b">
        <v>0</v>
      </c>
      <c r="AM157" s="76">
        <v>10</v>
      </c>
      <c r="AN157" s="81" t="s">
        <v>1332</v>
      </c>
      <c r="AO157" s="81" t="s">
        <v>1808</v>
      </c>
      <c r="AP157" s="76" t="b">
        <v>0</v>
      </c>
      <c r="AQ157" s="81" t="s">
        <v>1332</v>
      </c>
      <c r="AR157" s="76" t="s">
        <v>219</v>
      </c>
      <c r="AS157" s="76">
        <v>0</v>
      </c>
      <c r="AT157" s="76">
        <v>0</v>
      </c>
      <c r="AU157" s="76"/>
      <c r="AV157" s="76"/>
      <c r="AW157" s="76"/>
      <c r="AX157" s="76"/>
      <c r="AY157" s="76"/>
      <c r="AZ157" s="76"/>
      <c r="BA157" s="76"/>
      <c r="BB157" s="76"/>
      <c r="BC157">
        <v>1</v>
      </c>
      <c r="BD157" s="75" t="str">
        <f>REPLACE(INDEX(GroupVertices[Group],MATCH(Edges[[#This Row],[Vertex 1]],GroupVertices[Vertex],0)),1,1,"")</f>
        <v>7</v>
      </c>
      <c r="BE157" s="75" t="str">
        <f>REPLACE(INDEX(GroupVertices[Group],MATCH(Edges[[#This Row],[Vertex 2]],GroupVertices[Vertex],0)),1,1,"")</f>
        <v>7</v>
      </c>
      <c r="BF157" s="45">
        <v>0</v>
      </c>
      <c r="BG157" s="46">
        <v>0</v>
      </c>
      <c r="BH157" s="45">
        <v>0</v>
      </c>
      <c r="BI157" s="46">
        <v>0</v>
      </c>
      <c r="BJ157" s="45">
        <v>0</v>
      </c>
      <c r="BK157" s="46">
        <v>0</v>
      </c>
      <c r="BL157" s="45">
        <v>27</v>
      </c>
      <c r="BM157" s="46">
        <v>100</v>
      </c>
      <c r="BN157" s="45">
        <v>27</v>
      </c>
    </row>
    <row r="158" spans="1:66" ht="15">
      <c r="A158" s="61" t="s">
        <v>332</v>
      </c>
      <c r="B158" s="61" t="s">
        <v>337</v>
      </c>
      <c r="C158" s="62" t="s">
        <v>4688</v>
      </c>
      <c r="D158" s="63">
        <v>5</v>
      </c>
      <c r="E158" s="62"/>
      <c r="F158" s="65">
        <v>50</v>
      </c>
      <c r="G158" s="62"/>
      <c r="H158" s="66"/>
      <c r="I158" s="67"/>
      <c r="J158" s="67"/>
      <c r="K158" s="31" t="s">
        <v>65</v>
      </c>
      <c r="L158" s="68">
        <v>158</v>
      </c>
      <c r="M158" s="68"/>
      <c r="N158" s="69"/>
      <c r="O158" s="76" t="s">
        <v>586</v>
      </c>
      <c r="P158" s="78">
        <v>44815.74959490741</v>
      </c>
      <c r="Q158" s="76" t="s">
        <v>641</v>
      </c>
      <c r="R158" s="79" t="str">
        <f>HYPERLINK("https://www.lesechos.fr/monde/enjeux-internationaux/les-etats-unis-reclament-lunite-des-allies-contre-la-russie-1787144?xtor=CS4-6235")</f>
        <v>https://www.lesechos.fr/monde/enjeux-internationaux/les-etats-unis-reclament-lunite-des-allies-contre-la-russie-1787144?xtor=CS4-6235</v>
      </c>
      <c r="S158" s="76" t="s">
        <v>785</v>
      </c>
      <c r="T158" s="81" t="s">
        <v>822</v>
      </c>
      <c r="U158" s="76"/>
      <c r="V158" s="79" t="str">
        <f>HYPERLINK("https://pbs.twimg.com/profile_images/1211863236569686018/G2GGjEGf_normal.jpg")</f>
        <v>https://pbs.twimg.com/profile_images/1211863236569686018/G2GGjEGf_normal.jpg</v>
      </c>
      <c r="W158" s="78">
        <v>44815.74959490741</v>
      </c>
      <c r="X158" s="84">
        <v>44815</v>
      </c>
      <c r="Y158" s="81" t="s">
        <v>994</v>
      </c>
      <c r="Z158" s="79" t="str">
        <f>HYPERLINK("https://twitter.com/bretag_romantiq/status/1569022819136053248")</f>
        <v>https://twitter.com/bretag_romantiq/status/1569022819136053248</v>
      </c>
      <c r="AA158" s="76"/>
      <c r="AB158" s="76"/>
      <c r="AC158" s="81" t="s">
        <v>1325</v>
      </c>
      <c r="AD158" s="76"/>
      <c r="AE158" s="76" t="b">
        <v>0</v>
      </c>
      <c r="AF158" s="76">
        <v>0</v>
      </c>
      <c r="AG158" s="81" t="s">
        <v>1674</v>
      </c>
      <c r="AH158" s="76" t="b">
        <v>0</v>
      </c>
      <c r="AI158" s="76" t="s">
        <v>1770</v>
      </c>
      <c r="AJ158" s="76"/>
      <c r="AK158" s="81" t="s">
        <v>1674</v>
      </c>
      <c r="AL158" s="76" t="b">
        <v>0</v>
      </c>
      <c r="AM158" s="76">
        <v>10</v>
      </c>
      <c r="AN158" s="81" t="s">
        <v>1332</v>
      </c>
      <c r="AO158" s="81" t="s">
        <v>1809</v>
      </c>
      <c r="AP158" s="76" t="b">
        <v>0</v>
      </c>
      <c r="AQ158" s="81" t="s">
        <v>1332</v>
      </c>
      <c r="AR158" s="76" t="s">
        <v>219</v>
      </c>
      <c r="AS158" s="76">
        <v>0</v>
      </c>
      <c r="AT158" s="76">
        <v>0</v>
      </c>
      <c r="AU158" s="76"/>
      <c r="AV158" s="76"/>
      <c r="AW158" s="76"/>
      <c r="AX158" s="76"/>
      <c r="AY158" s="76"/>
      <c r="AZ158" s="76"/>
      <c r="BA158" s="76"/>
      <c r="BB158" s="76"/>
      <c r="BC158">
        <v>1</v>
      </c>
      <c r="BD158" s="75" t="str">
        <f>REPLACE(INDEX(GroupVertices[Group],MATCH(Edges[[#This Row],[Vertex 1]],GroupVertices[Vertex],0)),1,1,"")</f>
        <v>7</v>
      </c>
      <c r="BE158" s="75" t="str">
        <f>REPLACE(INDEX(GroupVertices[Group],MATCH(Edges[[#This Row],[Vertex 2]],GroupVertices[Vertex],0)),1,1,"")</f>
        <v>7</v>
      </c>
      <c r="BF158" s="45">
        <v>0</v>
      </c>
      <c r="BG158" s="46">
        <v>0</v>
      </c>
      <c r="BH158" s="45">
        <v>0</v>
      </c>
      <c r="BI158" s="46">
        <v>0</v>
      </c>
      <c r="BJ158" s="45">
        <v>0</v>
      </c>
      <c r="BK158" s="46">
        <v>0</v>
      </c>
      <c r="BL158" s="45">
        <v>27</v>
      </c>
      <c r="BM158" s="46">
        <v>100</v>
      </c>
      <c r="BN158" s="45">
        <v>27</v>
      </c>
    </row>
    <row r="159" spans="1:66" ht="15">
      <c r="A159" s="61" t="s">
        <v>333</v>
      </c>
      <c r="B159" s="61" t="s">
        <v>337</v>
      </c>
      <c r="C159" s="62" t="s">
        <v>4688</v>
      </c>
      <c r="D159" s="63">
        <v>5</v>
      </c>
      <c r="E159" s="62"/>
      <c r="F159" s="65">
        <v>50</v>
      </c>
      <c r="G159" s="62"/>
      <c r="H159" s="66"/>
      <c r="I159" s="67"/>
      <c r="J159" s="67"/>
      <c r="K159" s="31" t="s">
        <v>65</v>
      </c>
      <c r="L159" s="68">
        <v>159</v>
      </c>
      <c r="M159" s="68"/>
      <c r="N159" s="69"/>
      <c r="O159" s="76" t="s">
        <v>586</v>
      </c>
      <c r="P159" s="78">
        <v>44815.74988425926</v>
      </c>
      <c r="Q159" s="76" t="s">
        <v>641</v>
      </c>
      <c r="R159" s="79" t="str">
        <f>HYPERLINK("https://www.lesechos.fr/monde/enjeux-internationaux/les-etats-unis-reclament-lunite-des-allies-contre-la-russie-1787144?xtor=CS4-6235")</f>
        <v>https://www.lesechos.fr/monde/enjeux-internationaux/les-etats-unis-reclament-lunite-des-allies-contre-la-russie-1787144?xtor=CS4-6235</v>
      </c>
      <c r="S159" s="76" t="s">
        <v>785</v>
      </c>
      <c r="T159" s="81" t="s">
        <v>822</v>
      </c>
      <c r="U159" s="76"/>
      <c r="V159" s="79" t="str">
        <f>HYPERLINK("https://pbs.twimg.com/profile_images/1535530694344056832/Kwb1wGFw_normal.jpg")</f>
        <v>https://pbs.twimg.com/profile_images/1535530694344056832/Kwb1wGFw_normal.jpg</v>
      </c>
      <c r="W159" s="78">
        <v>44815.74988425926</v>
      </c>
      <c r="X159" s="84">
        <v>44815</v>
      </c>
      <c r="Y159" s="81" t="s">
        <v>995</v>
      </c>
      <c r="Z159" s="79" t="str">
        <f>HYPERLINK("https://twitter.com/marcvin40543445/status/1569022921695285256")</f>
        <v>https://twitter.com/marcvin40543445/status/1569022921695285256</v>
      </c>
      <c r="AA159" s="76"/>
      <c r="AB159" s="76"/>
      <c r="AC159" s="81" t="s">
        <v>1326</v>
      </c>
      <c r="AD159" s="76"/>
      <c r="AE159" s="76" t="b">
        <v>0</v>
      </c>
      <c r="AF159" s="76">
        <v>0</v>
      </c>
      <c r="AG159" s="81" t="s">
        <v>1674</v>
      </c>
      <c r="AH159" s="76" t="b">
        <v>0</v>
      </c>
      <c r="AI159" s="76" t="s">
        <v>1770</v>
      </c>
      <c r="AJ159" s="76"/>
      <c r="AK159" s="81" t="s">
        <v>1674</v>
      </c>
      <c r="AL159" s="76" t="b">
        <v>0</v>
      </c>
      <c r="AM159" s="76">
        <v>10</v>
      </c>
      <c r="AN159" s="81" t="s">
        <v>1332</v>
      </c>
      <c r="AO159" s="81" t="s">
        <v>1810</v>
      </c>
      <c r="AP159" s="76" t="b">
        <v>0</v>
      </c>
      <c r="AQ159" s="81" t="s">
        <v>1332</v>
      </c>
      <c r="AR159" s="76" t="s">
        <v>219</v>
      </c>
      <c r="AS159" s="76">
        <v>0</v>
      </c>
      <c r="AT159" s="76">
        <v>0</v>
      </c>
      <c r="AU159" s="76"/>
      <c r="AV159" s="76"/>
      <c r="AW159" s="76"/>
      <c r="AX159" s="76"/>
      <c r="AY159" s="76"/>
      <c r="AZ159" s="76"/>
      <c r="BA159" s="76"/>
      <c r="BB159" s="76"/>
      <c r="BC159">
        <v>1</v>
      </c>
      <c r="BD159" s="75" t="str">
        <f>REPLACE(INDEX(GroupVertices[Group],MATCH(Edges[[#This Row],[Vertex 1]],GroupVertices[Vertex],0)),1,1,"")</f>
        <v>7</v>
      </c>
      <c r="BE159" s="75" t="str">
        <f>REPLACE(INDEX(GroupVertices[Group],MATCH(Edges[[#This Row],[Vertex 2]],GroupVertices[Vertex],0)),1,1,"")</f>
        <v>7</v>
      </c>
      <c r="BF159" s="45">
        <v>0</v>
      </c>
      <c r="BG159" s="46">
        <v>0</v>
      </c>
      <c r="BH159" s="45">
        <v>0</v>
      </c>
      <c r="BI159" s="46">
        <v>0</v>
      </c>
      <c r="BJ159" s="45">
        <v>0</v>
      </c>
      <c r="BK159" s="46">
        <v>0</v>
      </c>
      <c r="BL159" s="45">
        <v>27</v>
      </c>
      <c r="BM159" s="46">
        <v>100</v>
      </c>
      <c r="BN159" s="45">
        <v>27</v>
      </c>
    </row>
    <row r="160" spans="1:66" ht="15">
      <c r="A160" s="61" t="s">
        <v>334</v>
      </c>
      <c r="B160" s="61" t="s">
        <v>418</v>
      </c>
      <c r="C160" s="62" t="s">
        <v>4688</v>
      </c>
      <c r="D160" s="63">
        <v>5</v>
      </c>
      <c r="E160" s="62"/>
      <c r="F160" s="65">
        <v>50</v>
      </c>
      <c r="G160" s="62"/>
      <c r="H160" s="66"/>
      <c r="I160" s="67"/>
      <c r="J160" s="67"/>
      <c r="K160" s="31" t="s">
        <v>65</v>
      </c>
      <c r="L160" s="68">
        <v>160</v>
      </c>
      <c r="M160" s="68"/>
      <c r="N160" s="69"/>
      <c r="O160" s="76" t="s">
        <v>586</v>
      </c>
      <c r="P160" s="78">
        <v>44815.75293981482</v>
      </c>
      <c r="Q160" s="76" t="s">
        <v>651</v>
      </c>
      <c r="R160" s="76"/>
      <c r="S160" s="76"/>
      <c r="T160" s="81" t="s">
        <v>823</v>
      </c>
      <c r="U160" s="76"/>
      <c r="V160" s="79" t="str">
        <f>HYPERLINK("https://pbs.twimg.com/profile_images/1182403956175245322/ppwvxDE6_normal.jpg")</f>
        <v>https://pbs.twimg.com/profile_images/1182403956175245322/ppwvxDE6_normal.jpg</v>
      </c>
      <c r="W160" s="78">
        <v>44815.75293981482</v>
      </c>
      <c r="X160" s="84">
        <v>44815</v>
      </c>
      <c r="Y160" s="81" t="s">
        <v>996</v>
      </c>
      <c r="Z160" s="79" t="str">
        <f>HYPERLINK("https://twitter.com/gospodinnebojsa/status/1569024030425944065")</f>
        <v>https://twitter.com/gospodinnebojsa/status/1569024030425944065</v>
      </c>
      <c r="AA160" s="76"/>
      <c r="AB160" s="76"/>
      <c r="AC160" s="81" t="s">
        <v>1327</v>
      </c>
      <c r="AD160" s="76"/>
      <c r="AE160" s="76" t="b">
        <v>0</v>
      </c>
      <c r="AF160" s="76">
        <v>0</v>
      </c>
      <c r="AG160" s="81" t="s">
        <v>1674</v>
      </c>
      <c r="AH160" s="76" t="b">
        <v>0</v>
      </c>
      <c r="AI160" s="76" t="s">
        <v>1772</v>
      </c>
      <c r="AJ160" s="76"/>
      <c r="AK160" s="81" t="s">
        <v>1674</v>
      </c>
      <c r="AL160" s="76" t="b">
        <v>0</v>
      </c>
      <c r="AM160" s="76">
        <v>1</v>
      </c>
      <c r="AN160" s="81" t="s">
        <v>1467</v>
      </c>
      <c r="AO160" s="81" t="s">
        <v>1808</v>
      </c>
      <c r="AP160" s="76" t="b">
        <v>0</v>
      </c>
      <c r="AQ160" s="81" t="s">
        <v>1467</v>
      </c>
      <c r="AR160" s="76" t="s">
        <v>219</v>
      </c>
      <c r="AS160" s="76">
        <v>0</v>
      </c>
      <c r="AT160" s="76">
        <v>0</v>
      </c>
      <c r="AU160" s="76"/>
      <c r="AV160" s="76"/>
      <c r="AW160" s="76"/>
      <c r="AX160" s="76"/>
      <c r="AY160" s="76"/>
      <c r="AZ160" s="76"/>
      <c r="BA160" s="76"/>
      <c r="BB160" s="76"/>
      <c r="BC160">
        <v>1</v>
      </c>
      <c r="BD160" s="75" t="str">
        <f>REPLACE(INDEX(GroupVertices[Group],MATCH(Edges[[#This Row],[Vertex 1]],GroupVertices[Vertex],0)),1,1,"")</f>
        <v>4</v>
      </c>
      <c r="BE160" s="75" t="str">
        <f>REPLACE(INDEX(GroupVertices[Group],MATCH(Edges[[#This Row],[Vertex 2]],GroupVertices[Vertex],0)),1,1,"")</f>
        <v>4</v>
      </c>
      <c r="BF160" s="45"/>
      <c r="BG160" s="46"/>
      <c r="BH160" s="45"/>
      <c r="BI160" s="46"/>
      <c r="BJ160" s="45"/>
      <c r="BK160" s="46"/>
      <c r="BL160" s="45"/>
      <c r="BM160" s="46"/>
      <c r="BN160" s="45"/>
    </row>
    <row r="161" spans="1:66" ht="15">
      <c r="A161" s="61" t="s">
        <v>334</v>
      </c>
      <c r="B161" s="61" t="s">
        <v>495</v>
      </c>
      <c r="C161" s="62" t="s">
        <v>4688</v>
      </c>
      <c r="D161" s="63">
        <v>5</v>
      </c>
      <c r="E161" s="62"/>
      <c r="F161" s="65">
        <v>50</v>
      </c>
      <c r="G161" s="62"/>
      <c r="H161" s="66"/>
      <c r="I161" s="67"/>
      <c r="J161" s="67"/>
      <c r="K161" s="31" t="s">
        <v>65</v>
      </c>
      <c r="L161" s="68">
        <v>161</v>
      </c>
      <c r="M161" s="68"/>
      <c r="N161" s="69"/>
      <c r="O161" s="76" t="s">
        <v>587</v>
      </c>
      <c r="P161" s="78">
        <v>44815.75293981482</v>
      </c>
      <c r="Q161" s="76" t="s">
        <v>651</v>
      </c>
      <c r="R161" s="76"/>
      <c r="S161" s="76"/>
      <c r="T161" s="81" t="s">
        <v>823</v>
      </c>
      <c r="U161" s="76"/>
      <c r="V161" s="79" t="str">
        <f>HYPERLINK("https://pbs.twimg.com/profile_images/1182403956175245322/ppwvxDE6_normal.jpg")</f>
        <v>https://pbs.twimg.com/profile_images/1182403956175245322/ppwvxDE6_normal.jpg</v>
      </c>
      <c r="W161" s="78">
        <v>44815.75293981482</v>
      </c>
      <c r="X161" s="84">
        <v>44815</v>
      </c>
      <c r="Y161" s="81" t="s">
        <v>996</v>
      </c>
      <c r="Z161" s="79" t="str">
        <f>HYPERLINK("https://twitter.com/gospodinnebojsa/status/1569024030425944065")</f>
        <v>https://twitter.com/gospodinnebojsa/status/1569024030425944065</v>
      </c>
      <c r="AA161" s="76"/>
      <c r="AB161" s="76"/>
      <c r="AC161" s="81" t="s">
        <v>1327</v>
      </c>
      <c r="AD161" s="76"/>
      <c r="AE161" s="76" t="b">
        <v>0</v>
      </c>
      <c r="AF161" s="76">
        <v>0</v>
      </c>
      <c r="AG161" s="81" t="s">
        <v>1674</v>
      </c>
      <c r="AH161" s="76" t="b">
        <v>0</v>
      </c>
      <c r="AI161" s="76" t="s">
        <v>1772</v>
      </c>
      <c r="AJ161" s="76"/>
      <c r="AK161" s="81" t="s">
        <v>1674</v>
      </c>
      <c r="AL161" s="76" t="b">
        <v>0</v>
      </c>
      <c r="AM161" s="76">
        <v>1</v>
      </c>
      <c r="AN161" s="81" t="s">
        <v>1467</v>
      </c>
      <c r="AO161" s="81" t="s">
        <v>1808</v>
      </c>
      <c r="AP161" s="76" t="b">
        <v>0</v>
      </c>
      <c r="AQ161" s="81" t="s">
        <v>1467</v>
      </c>
      <c r="AR161" s="76" t="s">
        <v>219</v>
      </c>
      <c r="AS161" s="76">
        <v>0</v>
      </c>
      <c r="AT161" s="76">
        <v>0</v>
      </c>
      <c r="AU161" s="76"/>
      <c r="AV161" s="76"/>
      <c r="AW161" s="76"/>
      <c r="AX161" s="76"/>
      <c r="AY161" s="76"/>
      <c r="AZ161" s="76"/>
      <c r="BA161" s="76"/>
      <c r="BB161" s="76"/>
      <c r="BC161">
        <v>1</v>
      </c>
      <c r="BD161" s="75" t="str">
        <f>REPLACE(INDEX(GroupVertices[Group],MATCH(Edges[[#This Row],[Vertex 1]],GroupVertices[Vertex],0)),1,1,"")</f>
        <v>4</v>
      </c>
      <c r="BE161" s="75" t="str">
        <f>REPLACE(INDEX(GroupVertices[Group],MATCH(Edges[[#This Row],[Vertex 2]],GroupVertices[Vertex],0)),1,1,"")</f>
        <v>4</v>
      </c>
      <c r="BF161" s="45">
        <v>0</v>
      </c>
      <c r="BG161" s="46">
        <v>0</v>
      </c>
      <c r="BH161" s="45">
        <v>0</v>
      </c>
      <c r="BI161" s="46">
        <v>0</v>
      </c>
      <c r="BJ161" s="45">
        <v>0</v>
      </c>
      <c r="BK161" s="46">
        <v>0</v>
      </c>
      <c r="BL161" s="45">
        <v>10</v>
      </c>
      <c r="BM161" s="46">
        <v>100</v>
      </c>
      <c r="BN161" s="45">
        <v>10</v>
      </c>
    </row>
    <row r="162" spans="1:66" ht="15">
      <c r="A162" s="61" t="s">
        <v>335</v>
      </c>
      <c r="B162" s="61" t="s">
        <v>337</v>
      </c>
      <c r="C162" s="62" t="s">
        <v>4688</v>
      </c>
      <c r="D162" s="63">
        <v>5</v>
      </c>
      <c r="E162" s="62"/>
      <c r="F162" s="65">
        <v>50</v>
      </c>
      <c r="G162" s="62"/>
      <c r="H162" s="66"/>
      <c r="I162" s="67"/>
      <c r="J162" s="67"/>
      <c r="K162" s="31" t="s">
        <v>65</v>
      </c>
      <c r="L162" s="68">
        <v>162</v>
      </c>
      <c r="M162" s="68"/>
      <c r="N162" s="69"/>
      <c r="O162" s="76" t="s">
        <v>586</v>
      </c>
      <c r="P162" s="78">
        <v>44815.76598379629</v>
      </c>
      <c r="Q162" s="76" t="s">
        <v>641</v>
      </c>
      <c r="R162" s="79" t="str">
        <f>HYPERLINK("https://www.lesechos.fr/monde/enjeux-internationaux/les-etats-unis-reclament-lunite-des-allies-contre-la-russie-1787144?xtor=CS4-6235")</f>
        <v>https://www.lesechos.fr/monde/enjeux-internationaux/les-etats-unis-reclament-lunite-des-allies-contre-la-russie-1787144?xtor=CS4-6235</v>
      </c>
      <c r="S162" s="76" t="s">
        <v>785</v>
      </c>
      <c r="T162" s="81" t="s">
        <v>822</v>
      </c>
      <c r="U162" s="76"/>
      <c r="V162" s="79" t="str">
        <f>HYPERLINK("https://pbs.twimg.com/profile_images/1560940207804977158/d2xhjQoG_normal.jpg")</f>
        <v>https://pbs.twimg.com/profile_images/1560940207804977158/d2xhjQoG_normal.jpg</v>
      </c>
      <c r="W162" s="78">
        <v>44815.76598379629</v>
      </c>
      <c r="X162" s="84">
        <v>44815</v>
      </c>
      <c r="Y162" s="81" t="s">
        <v>997</v>
      </c>
      <c r="Z162" s="79" t="str">
        <f>HYPERLINK("https://twitter.com/jfaix13/status/1569028756265930754")</f>
        <v>https://twitter.com/jfaix13/status/1569028756265930754</v>
      </c>
      <c r="AA162" s="76"/>
      <c r="AB162" s="76"/>
      <c r="AC162" s="81" t="s">
        <v>1328</v>
      </c>
      <c r="AD162" s="76"/>
      <c r="AE162" s="76" t="b">
        <v>0</v>
      </c>
      <c r="AF162" s="76">
        <v>0</v>
      </c>
      <c r="AG162" s="81" t="s">
        <v>1674</v>
      </c>
      <c r="AH162" s="76" t="b">
        <v>0</v>
      </c>
      <c r="AI162" s="76" t="s">
        <v>1770</v>
      </c>
      <c r="AJ162" s="76"/>
      <c r="AK162" s="81" t="s">
        <v>1674</v>
      </c>
      <c r="AL162" s="76" t="b">
        <v>0</v>
      </c>
      <c r="AM162" s="76">
        <v>10</v>
      </c>
      <c r="AN162" s="81" t="s">
        <v>1332</v>
      </c>
      <c r="AO162" s="81" t="s">
        <v>1809</v>
      </c>
      <c r="AP162" s="76" t="b">
        <v>0</v>
      </c>
      <c r="AQ162" s="81" t="s">
        <v>1332</v>
      </c>
      <c r="AR162" s="76" t="s">
        <v>219</v>
      </c>
      <c r="AS162" s="76">
        <v>0</v>
      </c>
      <c r="AT162" s="76">
        <v>0</v>
      </c>
      <c r="AU162" s="76"/>
      <c r="AV162" s="76"/>
      <c r="AW162" s="76"/>
      <c r="AX162" s="76"/>
      <c r="AY162" s="76"/>
      <c r="AZ162" s="76"/>
      <c r="BA162" s="76"/>
      <c r="BB162" s="76"/>
      <c r="BC162">
        <v>1</v>
      </c>
      <c r="BD162" s="75" t="str">
        <f>REPLACE(INDEX(GroupVertices[Group],MATCH(Edges[[#This Row],[Vertex 1]],GroupVertices[Vertex],0)),1,1,"")</f>
        <v>7</v>
      </c>
      <c r="BE162" s="75" t="str">
        <f>REPLACE(INDEX(GroupVertices[Group],MATCH(Edges[[#This Row],[Vertex 2]],GroupVertices[Vertex],0)),1,1,"")</f>
        <v>7</v>
      </c>
      <c r="BF162" s="45">
        <v>0</v>
      </c>
      <c r="BG162" s="46">
        <v>0</v>
      </c>
      <c r="BH162" s="45">
        <v>0</v>
      </c>
      <c r="BI162" s="46">
        <v>0</v>
      </c>
      <c r="BJ162" s="45">
        <v>0</v>
      </c>
      <c r="BK162" s="46">
        <v>0</v>
      </c>
      <c r="BL162" s="45">
        <v>27</v>
      </c>
      <c r="BM162" s="46">
        <v>100</v>
      </c>
      <c r="BN162" s="45">
        <v>27</v>
      </c>
    </row>
    <row r="163" spans="1:66" ht="15">
      <c r="A163" s="61" t="s">
        <v>336</v>
      </c>
      <c r="B163" s="61" t="s">
        <v>337</v>
      </c>
      <c r="C163" s="62" t="s">
        <v>4688</v>
      </c>
      <c r="D163" s="63">
        <v>5</v>
      </c>
      <c r="E163" s="62"/>
      <c r="F163" s="65">
        <v>50</v>
      </c>
      <c r="G163" s="62"/>
      <c r="H163" s="66"/>
      <c r="I163" s="67"/>
      <c r="J163" s="67"/>
      <c r="K163" s="31" t="s">
        <v>65</v>
      </c>
      <c r="L163" s="68">
        <v>163</v>
      </c>
      <c r="M163" s="68"/>
      <c r="N163" s="69"/>
      <c r="O163" s="76" t="s">
        <v>586</v>
      </c>
      <c r="P163" s="78">
        <v>44815.771527777775</v>
      </c>
      <c r="Q163" s="76" t="s">
        <v>641</v>
      </c>
      <c r="R163" s="79" t="str">
        <f>HYPERLINK("https://www.lesechos.fr/monde/enjeux-internationaux/les-etats-unis-reclament-lunite-des-allies-contre-la-russie-1787144?xtor=CS4-6235")</f>
        <v>https://www.lesechos.fr/monde/enjeux-internationaux/les-etats-unis-reclament-lunite-des-allies-contre-la-russie-1787144?xtor=CS4-6235</v>
      </c>
      <c r="S163" s="76" t="s">
        <v>785</v>
      </c>
      <c r="T163" s="81" t="s">
        <v>822</v>
      </c>
      <c r="U163" s="76"/>
      <c r="V163" s="79" t="str">
        <f>HYPERLINK("https://pbs.twimg.com/profile_images/554217681268662272/I8KaAJ92_normal.jpeg")</f>
        <v>https://pbs.twimg.com/profile_images/554217681268662272/I8KaAJ92_normal.jpeg</v>
      </c>
      <c r="W163" s="78">
        <v>44815.771527777775</v>
      </c>
      <c r="X163" s="84">
        <v>44815</v>
      </c>
      <c r="Y163" s="81" t="s">
        <v>998</v>
      </c>
      <c r="Z163" s="79" t="str">
        <f>HYPERLINK("https://twitter.com/ophiuse/status/1569030766364950528")</f>
        <v>https://twitter.com/ophiuse/status/1569030766364950528</v>
      </c>
      <c r="AA163" s="76"/>
      <c r="AB163" s="76"/>
      <c r="AC163" s="81" t="s">
        <v>1329</v>
      </c>
      <c r="AD163" s="76"/>
      <c r="AE163" s="76" t="b">
        <v>0</v>
      </c>
      <c r="AF163" s="76">
        <v>0</v>
      </c>
      <c r="AG163" s="81" t="s">
        <v>1674</v>
      </c>
      <c r="AH163" s="76" t="b">
        <v>0</v>
      </c>
      <c r="AI163" s="76" t="s">
        <v>1770</v>
      </c>
      <c r="AJ163" s="76"/>
      <c r="AK163" s="81" t="s">
        <v>1674</v>
      </c>
      <c r="AL163" s="76" t="b">
        <v>0</v>
      </c>
      <c r="AM163" s="76">
        <v>10</v>
      </c>
      <c r="AN163" s="81" t="s">
        <v>1332</v>
      </c>
      <c r="AO163" s="81" t="s">
        <v>1807</v>
      </c>
      <c r="AP163" s="76" t="b">
        <v>0</v>
      </c>
      <c r="AQ163" s="81" t="s">
        <v>1332</v>
      </c>
      <c r="AR163" s="76" t="s">
        <v>219</v>
      </c>
      <c r="AS163" s="76">
        <v>0</v>
      </c>
      <c r="AT163" s="76">
        <v>0</v>
      </c>
      <c r="AU163" s="76"/>
      <c r="AV163" s="76"/>
      <c r="AW163" s="76"/>
      <c r="AX163" s="76"/>
      <c r="AY163" s="76"/>
      <c r="AZ163" s="76"/>
      <c r="BA163" s="76"/>
      <c r="BB163" s="76"/>
      <c r="BC163">
        <v>1</v>
      </c>
      <c r="BD163" s="75" t="str">
        <f>REPLACE(INDEX(GroupVertices[Group],MATCH(Edges[[#This Row],[Vertex 1]],GroupVertices[Vertex],0)),1,1,"")</f>
        <v>7</v>
      </c>
      <c r="BE163" s="75" t="str">
        <f>REPLACE(INDEX(GroupVertices[Group],MATCH(Edges[[#This Row],[Vertex 2]],GroupVertices[Vertex],0)),1,1,"")</f>
        <v>7</v>
      </c>
      <c r="BF163" s="45">
        <v>0</v>
      </c>
      <c r="BG163" s="46">
        <v>0</v>
      </c>
      <c r="BH163" s="45">
        <v>0</v>
      </c>
      <c r="BI163" s="46">
        <v>0</v>
      </c>
      <c r="BJ163" s="45">
        <v>0</v>
      </c>
      <c r="BK163" s="46">
        <v>0</v>
      </c>
      <c r="BL163" s="45">
        <v>27</v>
      </c>
      <c r="BM163" s="46">
        <v>100</v>
      </c>
      <c r="BN163" s="45">
        <v>27</v>
      </c>
    </row>
    <row r="164" spans="1:66" ht="15">
      <c r="A164" s="61" t="s">
        <v>337</v>
      </c>
      <c r="B164" s="61" t="s">
        <v>496</v>
      </c>
      <c r="C164" s="62" t="s">
        <v>4688</v>
      </c>
      <c r="D164" s="63">
        <v>5</v>
      </c>
      <c r="E164" s="62"/>
      <c r="F164" s="65">
        <v>50</v>
      </c>
      <c r="G164" s="62"/>
      <c r="H164" s="66"/>
      <c r="I164" s="67"/>
      <c r="J164" s="67"/>
      <c r="K164" s="31" t="s">
        <v>65</v>
      </c>
      <c r="L164" s="68">
        <v>164</v>
      </c>
      <c r="M164" s="68"/>
      <c r="N164" s="69"/>
      <c r="O164" s="76" t="s">
        <v>588</v>
      </c>
      <c r="P164" s="78">
        <v>44814.76493055555</v>
      </c>
      <c r="Q164" s="76" t="s">
        <v>652</v>
      </c>
      <c r="R164" s="76"/>
      <c r="S164" s="76"/>
      <c r="T164" s="81" t="s">
        <v>824</v>
      </c>
      <c r="U164" s="79" t="str">
        <f>HYPERLINK("https://pbs.twimg.com/media/FcUES4iXgAAbkOA.png")</f>
        <v>https://pbs.twimg.com/media/FcUES4iXgAAbkOA.png</v>
      </c>
      <c r="V164" s="79" t="str">
        <f>HYPERLINK("https://pbs.twimg.com/media/FcUES4iXgAAbkOA.png")</f>
        <v>https://pbs.twimg.com/media/FcUES4iXgAAbkOA.png</v>
      </c>
      <c r="W164" s="78">
        <v>44814.76493055555</v>
      </c>
      <c r="X164" s="84">
        <v>44814</v>
      </c>
      <c r="Y164" s="81" t="s">
        <v>999</v>
      </c>
      <c r="Z164" s="79" t="str">
        <f>HYPERLINK("https://twitter.com/brutionnepnm/status/1568665988467687424")</f>
        <v>https://twitter.com/brutionnepnm/status/1568665988467687424</v>
      </c>
      <c r="AA164" s="76"/>
      <c r="AB164" s="76"/>
      <c r="AC164" s="81" t="s">
        <v>1330</v>
      </c>
      <c r="AD164" s="81" t="s">
        <v>1596</v>
      </c>
      <c r="AE164" s="76" t="b">
        <v>0</v>
      </c>
      <c r="AF164" s="76">
        <v>0</v>
      </c>
      <c r="AG164" s="81" t="s">
        <v>1706</v>
      </c>
      <c r="AH164" s="76" t="b">
        <v>0</v>
      </c>
      <c r="AI164" s="76" t="s">
        <v>1772</v>
      </c>
      <c r="AJ164" s="76"/>
      <c r="AK164" s="81" t="s">
        <v>1674</v>
      </c>
      <c r="AL164" s="76" t="b">
        <v>0</v>
      </c>
      <c r="AM164" s="76">
        <v>0</v>
      </c>
      <c r="AN164" s="81" t="s">
        <v>1674</v>
      </c>
      <c r="AO164" s="81" t="s">
        <v>1808</v>
      </c>
      <c r="AP164" s="76" t="b">
        <v>0</v>
      </c>
      <c r="AQ164" s="81" t="s">
        <v>1596</v>
      </c>
      <c r="AR164" s="76" t="s">
        <v>219</v>
      </c>
      <c r="AS164" s="76">
        <v>0</v>
      </c>
      <c r="AT164" s="76">
        <v>0</v>
      </c>
      <c r="AU164" s="76"/>
      <c r="AV164" s="76"/>
      <c r="AW164" s="76"/>
      <c r="AX164" s="76"/>
      <c r="AY164" s="76"/>
      <c r="AZ164" s="76"/>
      <c r="BA164" s="76"/>
      <c r="BB164" s="76"/>
      <c r="BC164">
        <v>1</v>
      </c>
      <c r="BD164" s="75" t="str">
        <f>REPLACE(INDEX(GroupVertices[Group],MATCH(Edges[[#This Row],[Vertex 1]],GroupVertices[Vertex],0)),1,1,"")</f>
        <v>7</v>
      </c>
      <c r="BE164" s="75" t="str">
        <f>REPLACE(INDEX(GroupVertices[Group],MATCH(Edges[[#This Row],[Vertex 2]],GroupVertices[Vertex],0)),1,1,"")</f>
        <v>1</v>
      </c>
      <c r="BF164" s="45"/>
      <c r="BG164" s="46"/>
      <c r="BH164" s="45"/>
      <c r="BI164" s="46"/>
      <c r="BJ164" s="45"/>
      <c r="BK164" s="46"/>
      <c r="BL164" s="45"/>
      <c r="BM164" s="46"/>
      <c r="BN164" s="45"/>
    </row>
    <row r="165" spans="1:66" ht="15">
      <c r="A165" s="61" t="s">
        <v>337</v>
      </c>
      <c r="B165" s="61" t="s">
        <v>497</v>
      </c>
      <c r="C165" s="62" t="s">
        <v>4688</v>
      </c>
      <c r="D165" s="63">
        <v>5</v>
      </c>
      <c r="E165" s="62"/>
      <c r="F165" s="65">
        <v>50</v>
      </c>
      <c r="G165" s="62"/>
      <c r="H165" s="66"/>
      <c r="I165" s="67"/>
      <c r="J165" s="67"/>
      <c r="K165" s="31" t="s">
        <v>65</v>
      </c>
      <c r="L165" s="68">
        <v>165</v>
      </c>
      <c r="M165" s="68"/>
      <c r="N165" s="69"/>
      <c r="O165" s="76" t="s">
        <v>587</v>
      </c>
      <c r="P165" s="78">
        <v>44814.76493055555</v>
      </c>
      <c r="Q165" s="76" t="s">
        <v>652</v>
      </c>
      <c r="R165" s="76"/>
      <c r="S165" s="76"/>
      <c r="T165" s="81" t="s">
        <v>824</v>
      </c>
      <c r="U165" s="79" t="str">
        <f>HYPERLINK("https://pbs.twimg.com/media/FcUES4iXgAAbkOA.png")</f>
        <v>https://pbs.twimg.com/media/FcUES4iXgAAbkOA.png</v>
      </c>
      <c r="V165" s="79" t="str">
        <f>HYPERLINK("https://pbs.twimg.com/media/FcUES4iXgAAbkOA.png")</f>
        <v>https://pbs.twimg.com/media/FcUES4iXgAAbkOA.png</v>
      </c>
      <c r="W165" s="78">
        <v>44814.76493055555</v>
      </c>
      <c r="X165" s="84">
        <v>44814</v>
      </c>
      <c r="Y165" s="81" t="s">
        <v>999</v>
      </c>
      <c r="Z165" s="79" t="str">
        <f>HYPERLINK("https://twitter.com/brutionnepnm/status/1568665988467687424")</f>
        <v>https://twitter.com/brutionnepnm/status/1568665988467687424</v>
      </c>
      <c r="AA165" s="76"/>
      <c r="AB165" s="76"/>
      <c r="AC165" s="81" t="s">
        <v>1330</v>
      </c>
      <c r="AD165" s="81" t="s">
        <v>1596</v>
      </c>
      <c r="AE165" s="76" t="b">
        <v>0</v>
      </c>
      <c r="AF165" s="76">
        <v>0</v>
      </c>
      <c r="AG165" s="81" t="s">
        <v>1706</v>
      </c>
      <c r="AH165" s="76" t="b">
        <v>0</v>
      </c>
      <c r="AI165" s="76" t="s">
        <v>1772</v>
      </c>
      <c r="AJ165" s="76"/>
      <c r="AK165" s="81" t="s">
        <v>1674</v>
      </c>
      <c r="AL165" s="76" t="b">
        <v>0</v>
      </c>
      <c r="AM165" s="76">
        <v>0</v>
      </c>
      <c r="AN165" s="81" t="s">
        <v>1674</v>
      </c>
      <c r="AO165" s="81" t="s">
        <v>1808</v>
      </c>
      <c r="AP165" s="76" t="b">
        <v>0</v>
      </c>
      <c r="AQ165" s="81" t="s">
        <v>1596</v>
      </c>
      <c r="AR165" s="76" t="s">
        <v>219</v>
      </c>
      <c r="AS165" s="76">
        <v>0</v>
      </c>
      <c r="AT165" s="76">
        <v>0</v>
      </c>
      <c r="AU165" s="76"/>
      <c r="AV165" s="76"/>
      <c r="AW165" s="76"/>
      <c r="AX165" s="76"/>
      <c r="AY165" s="76"/>
      <c r="AZ165" s="76"/>
      <c r="BA165" s="76"/>
      <c r="BB165" s="76"/>
      <c r="BC165">
        <v>1</v>
      </c>
      <c r="BD165" s="75" t="str">
        <f>REPLACE(INDEX(GroupVertices[Group],MATCH(Edges[[#This Row],[Vertex 1]],GroupVertices[Vertex],0)),1,1,"")</f>
        <v>7</v>
      </c>
      <c r="BE165" s="75" t="str">
        <f>REPLACE(INDEX(GroupVertices[Group],MATCH(Edges[[#This Row],[Vertex 2]],GroupVertices[Vertex],0)),1,1,"")</f>
        <v>3</v>
      </c>
      <c r="BF165" s="45">
        <v>0</v>
      </c>
      <c r="BG165" s="46">
        <v>0</v>
      </c>
      <c r="BH165" s="45">
        <v>2</v>
      </c>
      <c r="BI165" s="46">
        <v>11.764705882352942</v>
      </c>
      <c r="BJ165" s="45">
        <v>0</v>
      </c>
      <c r="BK165" s="46">
        <v>0</v>
      </c>
      <c r="BL165" s="45">
        <v>15</v>
      </c>
      <c r="BM165" s="46">
        <v>88.23529411764706</v>
      </c>
      <c r="BN165" s="45">
        <v>17</v>
      </c>
    </row>
    <row r="166" spans="1:66" ht="15">
      <c r="A166" s="61" t="s">
        <v>337</v>
      </c>
      <c r="B166" s="61" t="s">
        <v>337</v>
      </c>
      <c r="C166" s="62" t="s">
        <v>4689</v>
      </c>
      <c r="D166" s="63">
        <v>5.416666666666667</v>
      </c>
      <c r="E166" s="62"/>
      <c r="F166" s="65">
        <v>47.083333333333336</v>
      </c>
      <c r="G166" s="62"/>
      <c r="H166" s="66"/>
      <c r="I166" s="67"/>
      <c r="J166" s="67"/>
      <c r="K166" s="31" t="s">
        <v>65</v>
      </c>
      <c r="L166" s="68">
        <v>166</v>
      </c>
      <c r="M166" s="68"/>
      <c r="N166" s="69"/>
      <c r="O166" s="76" t="s">
        <v>219</v>
      </c>
      <c r="P166" s="78">
        <v>44814.76582175926</v>
      </c>
      <c r="Q166" s="76" t="s">
        <v>653</v>
      </c>
      <c r="R166" s="79" t="str">
        <f>HYPERLINK("https://twitter.com/ZelenskyyUa/status/1568608679871537153")</f>
        <v>https://twitter.com/ZelenskyyUa/status/1568608679871537153</v>
      </c>
      <c r="S166" s="76" t="s">
        <v>783</v>
      </c>
      <c r="T166" s="81" t="s">
        <v>824</v>
      </c>
      <c r="U166" s="79" t="str">
        <f>HYPERLINK("https://pbs.twimg.com/media/FcUFhlQXwAI28X9.png")</f>
        <v>https://pbs.twimg.com/media/FcUFhlQXwAI28X9.png</v>
      </c>
      <c r="V166" s="79" t="str">
        <f>HYPERLINK("https://pbs.twimg.com/media/FcUFhlQXwAI28X9.png")</f>
        <v>https://pbs.twimg.com/media/FcUFhlQXwAI28X9.png</v>
      </c>
      <c r="W166" s="78">
        <v>44814.76582175926</v>
      </c>
      <c r="X166" s="84">
        <v>44814</v>
      </c>
      <c r="Y166" s="81" t="s">
        <v>1000</v>
      </c>
      <c r="Z166" s="79" t="str">
        <f>HYPERLINK("https://twitter.com/brutionnepnm/status/1568666310342500358")</f>
        <v>https://twitter.com/brutionnepnm/status/1568666310342500358</v>
      </c>
      <c r="AA166" s="76"/>
      <c r="AB166" s="76"/>
      <c r="AC166" s="81" t="s">
        <v>1331</v>
      </c>
      <c r="AD166" s="76"/>
      <c r="AE166" s="76" t="b">
        <v>0</v>
      </c>
      <c r="AF166" s="76">
        <v>0</v>
      </c>
      <c r="AG166" s="81" t="s">
        <v>1674</v>
      </c>
      <c r="AH166" s="76" t="b">
        <v>1</v>
      </c>
      <c r="AI166" s="76" t="s">
        <v>1772</v>
      </c>
      <c r="AJ166" s="76"/>
      <c r="AK166" s="81" t="s">
        <v>1596</v>
      </c>
      <c r="AL166" s="76" t="b">
        <v>0</v>
      </c>
      <c r="AM166" s="76">
        <v>0</v>
      </c>
      <c r="AN166" s="81" t="s">
        <v>1674</v>
      </c>
      <c r="AO166" s="81" t="s">
        <v>1808</v>
      </c>
      <c r="AP166" s="76" t="b">
        <v>0</v>
      </c>
      <c r="AQ166" s="81" t="s">
        <v>1331</v>
      </c>
      <c r="AR166" s="76" t="s">
        <v>219</v>
      </c>
      <c r="AS166" s="76">
        <v>0</v>
      </c>
      <c r="AT166" s="76">
        <v>0</v>
      </c>
      <c r="AU166" s="76"/>
      <c r="AV166" s="76"/>
      <c r="AW166" s="76"/>
      <c r="AX166" s="76"/>
      <c r="AY166" s="76"/>
      <c r="AZ166" s="76"/>
      <c r="BA166" s="76"/>
      <c r="BB166" s="76"/>
      <c r="BC166">
        <v>2</v>
      </c>
      <c r="BD166" s="75" t="str">
        <f>REPLACE(INDEX(GroupVertices[Group],MATCH(Edges[[#This Row],[Vertex 1]],GroupVertices[Vertex],0)),1,1,"")</f>
        <v>7</v>
      </c>
      <c r="BE166" s="75" t="str">
        <f>REPLACE(INDEX(GroupVertices[Group],MATCH(Edges[[#This Row],[Vertex 2]],GroupVertices[Vertex],0)),1,1,"")</f>
        <v>7</v>
      </c>
      <c r="BF166" s="45">
        <v>0</v>
      </c>
      <c r="BG166" s="46">
        <v>0</v>
      </c>
      <c r="BH166" s="45">
        <v>2</v>
      </c>
      <c r="BI166" s="46">
        <v>13.333333333333334</v>
      </c>
      <c r="BJ166" s="45">
        <v>0</v>
      </c>
      <c r="BK166" s="46">
        <v>0</v>
      </c>
      <c r="BL166" s="45">
        <v>13</v>
      </c>
      <c r="BM166" s="46">
        <v>86.66666666666667</v>
      </c>
      <c r="BN166" s="45">
        <v>15</v>
      </c>
    </row>
    <row r="167" spans="1:66" ht="15">
      <c r="A167" s="61" t="s">
        <v>337</v>
      </c>
      <c r="B167" s="61" t="s">
        <v>337</v>
      </c>
      <c r="C167" s="62" t="s">
        <v>4689</v>
      </c>
      <c r="D167" s="63">
        <v>5.416666666666667</v>
      </c>
      <c r="E167" s="62"/>
      <c r="F167" s="65">
        <v>47.083333333333336</v>
      </c>
      <c r="G167" s="62"/>
      <c r="H167" s="66"/>
      <c r="I167" s="67"/>
      <c r="J167" s="67"/>
      <c r="K167" s="31" t="s">
        <v>65</v>
      </c>
      <c r="L167" s="68">
        <v>167</v>
      </c>
      <c r="M167" s="68"/>
      <c r="N167" s="69"/>
      <c r="O167" s="76" t="s">
        <v>219</v>
      </c>
      <c r="P167" s="78">
        <v>44815.583506944444</v>
      </c>
      <c r="Q167" s="76" t="s">
        <v>641</v>
      </c>
      <c r="R167" s="79" t="str">
        <f>HYPERLINK("https://www.lesechos.fr/monde/enjeux-internationaux/les-etats-unis-reclament-lunite-des-allies-contre-la-russie-1787144?xtor=CS4-6235")</f>
        <v>https://www.lesechos.fr/monde/enjeux-internationaux/les-etats-unis-reclament-lunite-des-allies-contre-la-russie-1787144?xtor=CS4-6235</v>
      </c>
      <c r="S167" s="76" t="s">
        <v>785</v>
      </c>
      <c r="T167" s="81" t="s">
        <v>822</v>
      </c>
      <c r="U167" s="76"/>
      <c r="V167" s="79" t="str">
        <f>HYPERLINK("https://pbs.twimg.com/profile_images/1564567919417298946/6MJU1pFB_normal.jpg")</f>
        <v>https://pbs.twimg.com/profile_images/1564567919417298946/6MJU1pFB_normal.jpg</v>
      </c>
      <c r="W167" s="78">
        <v>44815.583506944444</v>
      </c>
      <c r="X167" s="84">
        <v>44815</v>
      </c>
      <c r="Y167" s="81" t="s">
        <v>1001</v>
      </c>
      <c r="Z167" s="79" t="str">
        <f>HYPERLINK("https://twitter.com/brutionnepnm/status/1568962631435952131")</f>
        <v>https://twitter.com/brutionnepnm/status/1568962631435952131</v>
      </c>
      <c r="AA167" s="76"/>
      <c r="AB167" s="76"/>
      <c r="AC167" s="81" t="s">
        <v>1332</v>
      </c>
      <c r="AD167" s="76"/>
      <c r="AE167" s="76" t="b">
        <v>0</v>
      </c>
      <c r="AF167" s="76">
        <v>12</v>
      </c>
      <c r="AG167" s="81" t="s">
        <v>1674</v>
      </c>
      <c r="AH167" s="76" t="b">
        <v>0</v>
      </c>
      <c r="AI167" s="76" t="s">
        <v>1770</v>
      </c>
      <c r="AJ167" s="76"/>
      <c r="AK167" s="81" t="s">
        <v>1674</v>
      </c>
      <c r="AL167" s="76" t="b">
        <v>0</v>
      </c>
      <c r="AM167" s="76">
        <v>10</v>
      </c>
      <c r="AN167" s="81" t="s">
        <v>1674</v>
      </c>
      <c r="AO167" s="81" t="s">
        <v>1808</v>
      </c>
      <c r="AP167" s="76" t="b">
        <v>0</v>
      </c>
      <c r="AQ167" s="81" t="s">
        <v>1332</v>
      </c>
      <c r="AR167" s="76" t="s">
        <v>219</v>
      </c>
      <c r="AS167" s="76">
        <v>0</v>
      </c>
      <c r="AT167" s="76">
        <v>0</v>
      </c>
      <c r="AU167" s="76"/>
      <c r="AV167" s="76"/>
      <c r="AW167" s="76"/>
      <c r="AX167" s="76"/>
      <c r="AY167" s="76"/>
      <c r="AZ167" s="76"/>
      <c r="BA167" s="76"/>
      <c r="BB167" s="76"/>
      <c r="BC167">
        <v>2</v>
      </c>
      <c r="BD167" s="75" t="str">
        <f>REPLACE(INDEX(GroupVertices[Group],MATCH(Edges[[#This Row],[Vertex 1]],GroupVertices[Vertex],0)),1,1,"")</f>
        <v>7</v>
      </c>
      <c r="BE167" s="75" t="str">
        <f>REPLACE(INDEX(GroupVertices[Group],MATCH(Edges[[#This Row],[Vertex 2]],GroupVertices[Vertex],0)),1,1,"")</f>
        <v>7</v>
      </c>
      <c r="BF167" s="45">
        <v>0</v>
      </c>
      <c r="BG167" s="46">
        <v>0</v>
      </c>
      <c r="BH167" s="45">
        <v>0</v>
      </c>
      <c r="BI167" s="46">
        <v>0</v>
      </c>
      <c r="BJ167" s="45">
        <v>0</v>
      </c>
      <c r="BK167" s="46">
        <v>0</v>
      </c>
      <c r="BL167" s="45">
        <v>27</v>
      </c>
      <c r="BM167" s="46">
        <v>100</v>
      </c>
      <c r="BN167" s="45">
        <v>27</v>
      </c>
    </row>
    <row r="168" spans="1:66" ht="15">
      <c r="A168" s="61" t="s">
        <v>338</v>
      </c>
      <c r="B168" s="61" t="s">
        <v>337</v>
      </c>
      <c r="C168" s="62" t="s">
        <v>4688</v>
      </c>
      <c r="D168" s="63">
        <v>5</v>
      </c>
      <c r="E168" s="62"/>
      <c r="F168" s="65">
        <v>50</v>
      </c>
      <c r="G168" s="62"/>
      <c r="H168" s="66"/>
      <c r="I168" s="67"/>
      <c r="J168" s="67"/>
      <c r="K168" s="31" t="s">
        <v>65</v>
      </c>
      <c r="L168" s="68">
        <v>168</v>
      </c>
      <c r="M168" s="68"/>
      <c r="N168" s="69"/>
      <c r="O168" s="76" t="s">
        <v>586</v>
      </c>
      <c r="P168" s="78">
        <v>44815.77458333333</v>
      </c>
      <c r="Q168" s="76" t="s">
        <v>641</v>
      </c>
      <c r="R168" s="79" t="str">
        <f>HYPERLINK("https://www.lesechos.fr/monde/enjeux-internationaux/les-etats-unis-reclament-lunite-des-allies-contre-la-russie-1787144?xtor=CS4-6235")</f>
        <v>https://www.lesechos.fr/monde/enjeux-internationaux/les-etats-unis-reclament-lunite-des-allies-contre-la-russie-1787144?xtor=CS4-6235</v>
      </c>
      <c r="S168" s="76" t="s">
        <v>785</v>
      </c>
      <c r="T168" s="81" t="s">
        <v>822</v>
      </c>
      <c r="U168" s="76"/>
      <c r="V168" s="79" t="str">
        <f>HYPERLINK("https://pbs.twimg.com/profile_images/1560875137486016513/fpVisRaj_normal.jpg")</f>
        <v>https://pbs.twimg.com/profile_images/1560875137486016513/fpVisRaj_normal.jpg</v>
      </c>
      <c r="W168" s="78">
        <v>44815.77458333333</v>
      </c>
      <c r="X168" s="84">
        <v>44815</v>
      </c>
      <c r="Y168" s="81" t="s">
        <v>1002</v>
      </c>
      <c r="Z168" s="79" t="str">
        <f>HYPERLINK("https://twitter.com/xav0621/status/1569031875074686977")</f>
        <v>https://twitter.com/xav0621/status/1569031875074686977</v>
      </c>
      <c r="AA168" s="76"/>
      <c r="AB168" s="76"/>
      <c r="AC168" s="81" t="s">
        <v>1333</v>
      </c>
      <c r="AD168" s="76"/>
      <c r="AE168" s="76" t="b">
        <v>0</v>
      </c>
      <c r="AF168" s="76">
        <v>0</v>
      </c>
      <c r="AG168" s="81" t="s">
        <v>1674</v>
      </c>
      <c r="AH168" s="76" t="b">
        <v>0</v>
      </c>
      <c r="AI168" s="76" t="s">
        <v>1770</v>
      </c>
      <c r="AJ168" s="76"/>
      <c r="AK168" s="81" t="s">
        <v>1674</v>
      </c>
      <c r="AL168" s="76" t="b">
        <v>0</v>
      </c>
      <c r="AM168" s="76">
        <v>10</v>
      </c>
      <c r="AN168" s="81" t="s">
        <v>1332</v>
      </c>
      <c r="AO168" s="81" t="s">
        <v>1808</v>
      </c>
      <c r="AP168" s="76" t="b">
        <v>0</v>
      </c>
      <c r="AQ168" s="81" t="s">
        <v>1332</v>
      </c>
      <c r="AR168" s="76" t="s">
        <v>219</v>
      </c>
      <c r="AS168" s="76">
        <v>0</v>
      </c>
      <c r="AT168" s="76">
        <v>0</v>
      </c>
      <c r="AU168" s="76"/>
      <c r="AV168" s="76"/>
      <c r="AW168" s="76"/>
      <c r="AX168" s="76"/>
      <c r="AY168" s="76"/>
      <c r="AZ168" s="76"/>
      <c r="BA168" s="76"/>
      <c r="BB168" s="76"/>
      <c r="BC168">
        <v>1</v>
      </c>
      <c r="BD168" s="75" t="str">
        <f>REPLACE(INDEX(GroupVertices[Group],MATCH(Edges[[#This Row],[Vertex 1]],GroupVertices[Vertex],0)),1,1,"")</f>
        <v>7</v>
      </c>
      <c r="BE168" s="75" t="str">
        <f>REPLACE(INDEX(GroupVertices[Group],MATCH(Edges[[#This Row],[Vertex 2]],GroupVertices[Vertex],0)),1,1,"")</f>
        <v>7</v>
      </c>
      <c r="BF168" s="45">
        <v>0</v>
      </c>
      <c r="BG168" s="46">
        <v>0</v>
      </c>
      <c r="BH168" s="45">
        <v>0</v>
      </c>
      <c r="BI168" s="46">
        <v>0</v>
      </c>
      <c r="BJ168" s="45">
        <v>0</v>
      </c>
      <c r="BK168" s="46">
        <v>0</v>
      </c>
      <c r="BL168" s="45">
        <v>27</v>
      </c>
      <c r="BM168" s="46">
        <v>100</v>
      </c>
      <c r="BN168" s="45">
        <v>27</v>
      </c>
    </row>
    <row r="169" spans="1:66" ht="15">
      <c r="A169" s="61" t="s">
        <v>339</v>
      </c>
      <c r="B169" s="61" t="s">
        <v>498</v>
      </c>
      <c r="C169" s="62" t="s">
        <v>4688</v>
      </c>
      <c r="D169" s="63">
        <v>5</v>
      </c>
      <c r="E169" s="62"/>
      <c r="F169" s="65">
        <v>50</v>
      </c>
      <c r="G169" s="62"/>
      <c r="H169" s="66"/>
      <c r="I169" s="67"/>
      <c r="J169" s="67"/>
      <c r="K169" s="31" t="s">
        <v>65</v>
      </c>
      <c r="L169" s="68">
        <v>169</v>
      </c>
      <c r="M169" s="68"/>
      <c r="N169" s="69"/>
      <c r="O169" s="76" t="s">
        <v>587</v>
      </c>
      <c r="P169" s="78">
        <v>44815.80226851852</v>
      </c>
      <c r="Q169" s="76" t="s">
        <v>654</v>
      </c>
      <c r="R169" s="76"/>
      <c r="S169" s="76"/>
      <c r="T169" s="81" t="s">
        <v>795</v>
      </c>
      <c r="U169" s="76"/>
      <c r="V169" s="79" t="str">
        <f>HYPERLINK("https://pbs.twimg.com/profile_images/1416503095249494017/Qv3htsYe_normal.jpg")</f>
        <v>https://pbs.twimg.com/profile_images/1416503095249494017/Qv3htsYe_normal.jpg</v>
      </c>
      <c r="W169" s="78">
        <v>44815.80226851852</v>
      </c>
      <c r="X169" s="84">
        <v>44815</v>
      </c>
      <c r="Y169" s="81" t="s">
        <v>1003</v>
      </c>
      <c r="Z169" s="79" t="str">
        <f>HYPERLINK("https://twitter.com/ludwig04796864/status/1569041907963002880")</f>
        <v>https://twitter.com/ludwig04796864/status/1569041907963002880</v>
      </c>
      <c r="AA169" s="76"/>
      <c r="AB169" s="76"/>
      <c r="AC169" s="81" t="s">
        <v>1334</v>
      </c>
      <c r="AD169" s="81" t="s">
        <v>1597</v>
      </c>
      <c r="AE169" s="76" t="b">
        <v>0</v>
      </c>
      <c r="AF169" s="76">
        <v>2</v>
      </c>
      <c r="AG169" s="81" t="s">
        <v>1707</v>
      </c>
      <c r="AH169" s="76" t="b">
        <v>0</v>
      </c>
      <c r="AI169" s="76" t="s">
        <v>1770</v>
      </c>
      <c r="AJ169" s="76"/>
      <c r="AK169" s="81" t="s">
        <v>1674</v>
      </c>
      <c r="AL169" s="76" t="b">
        <v>0</v>
      </c>
      <c r="AM169" s="76">
        <v>0</v>
      </c>
      <c r="AN169" s="81" t="s">
        <v>1674</v>
      </c>
      <c r="AO169" s="81" t="s">
        <v>1808</v>
      </c>
      <c r="AP169" s="76" t="b">
        <v>0</v>
      </c>
      <c r="AQ169" s="81" t="s">
        <v>1597</v>
      </c>
      <c r="AR169" s="76" t="s">
        <v>219</v>
      </c>
      <c r="AS169" s="76">
        <v>0</v>
      </c>
      <c r="AT169" s="76">
        <v>0</v>
      </c>
      <c r="AU169" s="76"/>
      <c r="AV169" s="76"/>
      <c r="AW169" s="76"/>
      <c r="AX169" s="76"/>
      <c r="AY169" s="76"/>
      <c r="AZ169" s="76"/>
      <c r="BA169" s="76"/>
      <c r="BB169" s="76"/>
      <c r="BC169">
        <v>1</v>
      </c>
      <c r="BD169" s="75" t="str">
        <f>REPLACE(INDEX(GroupVertices[Group],MATCH(Edges[[#This Row],[Vertex 1]],GroupVertices[Vertex],0)),1,1,"")</f>
        <v>51</v>
      </c>
      <c r="BE169" s="75" t="str">
        <f>REPLACE(INDEX(GroupVertices[Group],MATCH(Edges[[#This Row],[Vertex 2]],GroupVertices[Vertex],0)),1,1,"")</f>
        <v>51</v>
      </c>
      <c r="BF169" s="45">
        <v>0</v>
      </c>
      <c r="BG169" s="46">
        <v>0</v>
      </c>
      <c r="BH169" s="45">
        <v>1</v>
      </c>
      <c r="BI169" s="46">
        <v>2.2222222222222223</v>
      </c>
      <c r="BJ169" s="45">
        <v>0</v>
      </c>
      <c r="BK169" s="46">
        <v>0</v>
      </c>
      <c r="BL169" s="45">
        <v>44</v>
      </c>
      <c r="BM169" s="46">
        <v>97.77777777777777</v>
      </c>
      <c r="BN169" s="45">
        <v>45</v>
      </c>
    </row>
    <row r="170" spans="1:66" ht="15">
      <c r="A170" s="61" t="s">
        <v>340</v>
      </c>
      <c r="B170" s="61" t="s">
        <v>340</v>
      </c>
      <c r="C170" s="62" t="s">
        <v>4688</v>
      </c>
      <c r="D170" s="63">
        <v>5</v>
      </c>
      <c r="E170" s="62"/>
      <c r="F170" s="65">
        <v>50</v>
      </c>
      <c r="G170" s="62"/>
      <c r="H170" s="66"/>
      <c r="I170" s="67"/>
      <c r="J170" s="67"/>
      <c r="K170" s="31" t="s">
        <v>65</v>
      </c>
      <c r="L170" s="68">
        <v>170</v>
      </c>
      <c r="M170" s="68"/>
      <c r="N170" s="69"/>
      <c r="O170" s="76" t="s">
        <v>219</v>
      </c>
      <c r="P170" s="78">
        <v>44814.496875</v>
      </c>
      <c r="Q170" s="76" t="s">
        <v>630</v>
      </c>
      <c r="R170" s="76"/>
      <c r="S170" s="76"/>
      <c r="T170" s="81" t="s">
        <v>818</v>
      </c>
      <c r="U170" s="79" t="str">
        <f>HYPERLINK("https://pbs.twimg.com/ext_tw_video_thumb/1568550609225138178/pu/img/-GqFQP2LKjYRZ4Kw.jpg")</f>
        <v>https://pbs.twimg.com/ext_tw_video_thumb/1568550609225138178/pu/img/-GqFQP2LKjYRZ4Kw.jpg</v>
      </c>
      <c r="V170" s="79" t="str">
        <f>HYPERLINK("https://pbs.twimg.com/ext_tw_video_thumb/1568550609225138178/pu/img/-GqFQP2LKjYRZ4Kw.jpg")</f>
        <v>https://pbs.twimg.com/ext_tw_video_thumb/1568550609225138178/pu/img/-GqFQP2LKjYRZ4Kw.jpg</v>
      </c>
      <c r="W170" s="78">
        <v>44814.496875</v>
      </c>
      <c r="X170" s="84">
        <v>44814</v>
      </c>
      <c r="Y170" s="81" t="s">
        <v>1004</v>
      </c>
      <c r="Z170" s="79" t="str">
        <f>HYPERLINK("https://twitter.com/readovkaworld/status/1568568846495240192")</f>
        <v>https://twitter.com/readovkaworld/status/1568568846495240192</v>
      </c>
      <c r="AA170" s="76"/>
      <c r="AB170" s="76"/>
      <c r="AC170" s="81" t="s">
        <v>1335</v>
      </c>
      <c r="AD170" s="76"/>
      <c r="AE170" s="76" t="b">
        <v>0</v>
      </c>
      <c r="AF170" s="76">
        <v>8</v>
      </c>
      <c r="AG170" s="81" t="s">
        <v>1674</v>
      </c>
      <c r="AH170" s="76" t="b">
        <v>0</v>
      </c>
      <c r="AI170" s="76" t="s">
        <v>1772</v>
      </c>
      <c r="AJ170" s="76"/>
      <c r="AK170" s="81" t="s">
        <v>1674</v>
      </c>
      <c r="AL170" s="76" t="b">
        <v>0</v>
      </c>
      <c r="AM170" s="76">
        <v>3</v>
      </c>
      <c r="AN170" s="81" t="s">
        <v>1674</v>
      </c>
      <c r="AO170" s="81" t="s">
        <v>1808</v>
      </c>
      <c r="AP170" s="76" t="b">
        <v>0</v>
      </c>
      <c r="AQ170" s="81" t="s">
        <v>1335</v>
      </c>
      <c r="AR170" s="76" t="s">
        <v>219</v>
      </c>
      <c r="AS170" s="76">
        <v>0</v>
      </c>
      <c r="AT170" s="76">
        <v>0</v>
      </c>
      <c r="AU170" s="76"/>
      <c r="AV170" s="76"/>
      <c r="AW170" s="76"/>
      <c r="AX170" s="76"/>
      <c r="AY170" s="76"/>
      <c r="AZ170" s="76"/>
      <c r="BA170" s="76"/>
      <c r="BB170" s="76"/>
      <c r="BC170">
        <v>1</v>
      </c>
      <c r="BD170" s="75" t="str">
        <f>REPLACE(INDEX(GroupVertices[Group],MATCH(Edges[[#This Row],[Vertex 1]],GroupVertices[Vertex],0)),1,1,"")</f>
        <v>28</v>
      </c>
      <c r="BE170" s="75" t="str">
        <f>REPLACE(INDEX(GroupVertices[Group],MATCH(Edges[[#This Row],[Vertex 2]],GroupVertices[Vertex],0)),1,1,"")</f>
        <v>28</v>
      </c>
      <c r="BF170" s="45">
        <v>0</v>
      </c>
      <c r="BG170" s="46">
        <v>0</v>
      </c>
      <c r="BH170" s="45">
        <v>0</v>
      </c>
      <c r="BI170" s="46">
        <v>0</v>
      </c>
      <c r="BJ170" s="45">
        <v>0</v>
      </c>
      <c r="BK170" s="46">
        <v>0</v>
      </c>
      <c r="BL170" s="45">
        <v>24</v>
      </c>
      <c r="BM170" s="46">
        <v>100</v>
      </c>
      <c r="BN170" s="45">
        <v>24</v>
      </c>
    </row>
    <row r="171" spans="1:66" ht="15">
      <c r="A171" s="61" t="s">
        <v>341</v>
      </c>
      <c r="B171" s="61" t="s">
        <v>340</v>
      </c>
      <c r="C171" s="62" t="s">
        <v>4688</v>
      </c>
      <c r="D171" s="63">
        <v>5</v>
      </c>
      <c r="E171" s="62"/>
      <c r="F171" s="65">
        <v>50</v>
      </c>
      <c r="G171" s="62"/>
      <c r="H171" s="66"/>
      <c r="I171" s="67"/>
      <c r="J171" s="67"/>
      <c r="K171" s="31" t="s">
        <v>65</v>
      </c>
      <c r="L171" s="68">
        <v>171</v>
      </c>
      <c r="M171" s="68"/>
      <c r="N171" s="69"/>
      <c r="O171" s="76" t="s">
        <v>586</v>
      </c>
      <c r="P171" s="78">
        <v>44815.81055555555</v>
      </c>
      <c r="Q171" s="76" t="s">
        <v>630</v>
      </c>
      <c r="R171" s="76"/>
      <c r="S171" s="76"/>
      <c r="T171" s="81" t="s">
        <v>818</v>
      </c>
      <c r="U171" s="79" t="str">
        <f>HYPERLINK("https://pbs.twimg.com/ext_tw_video_thumb/1568550609225138178/pu/img/-GqFQP2LKjYRZ4Kw.jpg")</f>
        <v>https://pbs.twimg.com/ext_tw_video_thumb/1568550609225138178/pu/img/-GqFQP2LKjYRZ4Kw.jpg</v>
      </c>
      <c r="V171" s="79" t="str">
        <f>HYPERLINK("https://pbs.twimg.com/ext_tw_video_thumb/1568550609225138178/pu/img/-GqFQP2LKjYRZ4Kw.jpg")</f>
        <v>https://pbs.twimg.com/ext_tw_video_thumb/1568550609225138178/pu/img/-GqFQP2LKjYRZ4Kw.jpg</v>
      </c>
      <c r="W171" s="78">
        <v>44815.81055555555</v>
      </c>
      <c r="X171" s="84">
        <v>44815</v>
      </c>
      <c r="Y171" s="81" t="s">
        <v>1005</v>
      </c>
      <c r="Z171" s="79" t="str">
        <f>HYPERLINK("https://twitter.com/edisabela1/status/1569044909780336643")</f>
        <v>https://twitter.com/edisabela1/status/1569044909780336643</v>
      </c>
      <c r="AA171" s="76"/>
      <c r="AB171" s="76"/>
      <c r="AC171" s="81" t="s">
        <v>1336</v>
      </c>
      <c r="AD171" s="76"/>
      <c r="AE171" s="76" t="b">
        <v>0</v>
      </c>
      <c r="AF171" s="76">
        <v>0</v>
      </c>
      <c r="AG171" s="81" t="s">
        <v>1674</v>
      </c>
      <c r="AH171" s="76" t="b">
        <v>0</v>
      </c>
      <c r="AI171" s="76" t="s">
        <v>1772</v>
      </c>
      <c r="AJ171" s="76"/>
      <c r="AK171" s="81" t="s">
        <v>1674</v>
      </c>
      <c r="AL171" s="76" t="b">
        <v>0</v>
      </c>
      <c r="AM171" s="76">
        <v>3</v>
      </c>
      <c r="AN171" s="81" t="s">
        <v>1335</v>
      </c>
      <c r="AO171" s="81" t="s">
        <v>1808</v>
      </c>
      <c r="AP171" s="76" t="b">
        <v>0</v>
      </c>
      <c r="AQ171" s="81" t="s">
        <v>1335</v>
      </c>
      <c r="AR171" s="76" t="s">
        <v>219</v>
      </c>
      <c r="AS171" s="76">
        <v>0</v>
      </c>
      <c r="AT171" s="76">
        <v>0</v>
      </c>
      <c r="AU171" s="76"/>
      <c r="AV171" s="76"/>
      <c r="AW171" s="76"/>
      <c r="AX171" s="76"/>
      <c r="AY171" s="76"/>
      <c r="AZ171" s="76"/>
      <c r="BA171" s="76"/>
      <c r="BB171" s="76"/>
      <c r="BC171">
        <v>1</v>
      </c>
      <c r="BD171" s="75" t="str">
        <f>REPLACE(INDEX(GroupVertices[Group],MATCH(Edges[[#This Row],[Vertex 1]],GroupVertices[Vertex],0)),1,1,"")</f>
        <v>28</v>
      </c>
      <c r="BE171" s="75" t="str">
        <f>REPLACE(INDEX(GroupVertices[Group],MATCH(Edges[[#This Row],[Vertex 2]],GroupVertices[Vertex],0)),1,1,"")</f>
        <v>28</v>
      </c>
      <c r="BF171" s="45">
        <v>0</v>
      </c>
      <c r="BG171" s="46">
        <v>0</v>
      </c>
      <c r="BH171" s="45">
        <v>0</v>
      </c>
      <c r="BI171" s="46">
        <v>0</v>
      </c>
      <c r="BJ171" s="45">
        <v>0</v>
      </c>
      <c r="BK171" s="46">
        <v>0</v>
      </c>
      <c r="BL171" s="45">
        <v>24</v>
      </c>
      <c r="BM171" s="46">
        <v>100</v>
      </c>
      <c r="BN171" s="45">
        <v>24</v>
      </c>
    </row>
    <row r="172" spans="1:66" ht="15">
      <c r="A172" s="61" t="s">
        <v>342</v>
      </c>
      <c r="B172" s="61" t="s">
        <v>342</v>
      </c>
      <c r="C172" s="62" t="s">
        <v>4688</v>
      </c>
      <c r="D172" s="63">
        <v>5</v>
      </c>
      <c r="E172" s="62"/>
      <c r="F172" s="65">
        <v>50</v>
      </c>
      <c r="G172" s="62"/>
      <c r="H172" s="66"/>
      <c r="I172" s="67"/>
      <c r="J172" s="67"/>
      <c r="K172" s="31" t="s">
        <v>65</v>
      </c>
      <c r="L172" s="68">
        <v>172</v>
      </c>
      <c r="M172" s="68"/>
      <c r="N172" s="69"/>
      <c r="O172" s="76" t="s">
        <v>219</v>
      </c>
      <c r="P172" s="78">
        <v>44815.83321759259</v>
      </c>
      <c r="Q172" s="76" t="s">
        <v>655</v>
      </c>
      <c r="R172" s="76"/>
      <c r="S172" s="76"/>
      <c r="T172" s="81" t="s">
        <v>825</v>
      </c>
      <c r="U172" s="79" t="str">
        <f>HYPERLINK("https://pbs.twimg.com/media/FcZkP2MWYAAz3Ln.jpg")</f>
        <v>https://pbs.twimg.com/media/FcZkP2MWYAAz3Ln.jpg</v>
      </c>
      <c r="V172" s="79" t="str">
        <f>HYPERLINK("https://pbs.twimg.com/media/FcZkP2MWYAAz3Ln.jpg")</f>
        <v>https://pbs.twimg.com/media/FcZkP2MWYAAz3Ln.jpg</v>
      </c>
      <c r="W172" s="78">
        <v>44815.83321759259</v>
      </c>
      <c r="X172" s="84">
        <v>44815</v>
      </c>
      <c r="Y172" s="81" t="s">
        <v>1006</v>
      </c>
      <c r="Z172" s="79" t="str">
        <f>HYPERLINK("https://twitter.com/gerasimos2016/status/1569053122416492550")</f>
        <v>https://twitter.com/gerasimos2016/status/1569053122416492550</v>
      </c>
      <c r="AA172" s="76"/>
      <c r="AB172" s="76"/>
      <c r="AC172" s="81" t="s">
        <v>1337</v>
      </c>
      <c r="AD172" s="76"/>
      <c r="AE172" s="76" t="b">
        <v>0</v>
      </c>
      <c r="AF172" s="76">
        <v>3</v>
      </c>
      <c r="AG172" s="81" t="s">
        <v>1674</v>
      </c>
      <c r="AH172" s="76" t="b">
        <v>0</v>
      </c>
      <c r="AI172" s="76" t="s">
        <v>1773</v>
      </c>
      <c r="AJ172" s="76"/>
      <c r="AK172" s="81" t="s">
        <v>1674</v>
      </c>
      <c r="AL172" s="76" t="b">
        <v>0</v>
      </c>
      <c r="AM172" s="76">
        <v>0</v>
      </c>
      <c r="AN172" s="81" t="s">
        <v>1674</v>
      </c>
      <c r="AO172" s="81" t="s">
        <v>1808</v>
      </c>
      <c r="AP172" s="76" t="b">
        <v>0</v>
      </c>
      <c r="AQ172" s="81" t="s">
        <v>1337</v>
      </c>
      <c r="AR172" s="76" t="s">
        <v>219</v>
      </c>
      <c r="AS172" s="76">
        <v>0</v>
      </c>
      <c r="AT172" s="76">
        <v>0</v>
      </c>
      <c r="AU172" s="76"/>
      <c r="AV172" s="76"/>
      <c r="AW172" s="76"/>
      <c r="AX172" s="76"/>
      <c r="AY172" s="76"/>
      <c r="AZ172" s="76"/>
      <c r="BA172" s="76"/>
      <c r="BB172" s="76"/>
      <c r="BC172">
        <v>1</v>
      </c>
      <c r="BD172" s="75" t="str">
        <f>REPLACE(INDEX(GroupVertices[Group],MATCH(Edges[[#This Row],[Vertex 1]],GroupVertices[Vertex],0)),1,1,"")</f>
        <v>2</v>
      </c>
      <c r="BE172" s="75" t="str">
        <f>REPLACE(INDEX(GroupVertices[Group],MATCH(Edges[[#This Row],[Vertex 2]],GroupVertices[Vertex],0)),1,1,"")</f>
        <v>2</v>
      </c>
      <c r="BF172" s="45">
        <v>0</v>
      </c>
      <c r="BG172" s="46">
        <v>0</v>
      </c>
      <c r="BH172" s="45">
        <v>0</v>
      </c>
      <c r="BI172" s="46">
        <v>0</v>
      </c>
      <c r="BJ172" s="45">
        <v>0</v>
      </c>
      <c r="BK172" s="46">
        <v>0</v>
      </c>
      <c r="BL172" s="45">
        <v>29</v>
      </c>
      <c r="BM172" s="46">
        <v>100</v>
      </c>
      <c r="BN172" s="45">
        <v>29</v>
      </c>
    </row>
    <row r="173" spans="1:66" ht="15">
      <c r="A173" s="61" t="s">
        <v>343</v>
      </c>
      <c r="B173" s="61" t="s">
        <v>499</v>
      </c>
      <c r="C173" s="62" t="s">
        <v>4688</v>
      </c>
      <c r="D173" s="63">
        <v>5</v>
      </c>
      <c r="E173" s="62"/>
      <c r="F173" s="65">
        <v>50</v>
      </c>
      <c r="G173" s="62"/>
      <c r="H173" s="66"/>
      <c r="I173" s="67"/>
      <c r="J173" s="67"/>
      <c r="K173" s="31" t="s">
        <v>65</v>
      </c>
      <c r="L173" s="68">
        <v>173</v>
      </c>
      <c r="M173" s="68"/>
      <c r="N173" s="69"/>
      <c r="O173" s="76" t="s">
        <v>587</v>
      </c>
      <c r="P173" s="78">
        <v>44815.834189814814</v>
      </c>
      <c r="Q173" s="76" t="s">
        <v>656</v>
      </c>
      <c r="R173" s="76"/>
      <c r="S173" s="76"/>
      <c r="T173" s="81" t="s">
        <v>795</v>
      </c>
      <c r="U173" s="76"/>
      <c r="V173" s="79" t="str">
        <f>HYPERLINK("https://pbs.twimg.com/profile_images/1378351175867772930/4wwCmQbY_normal.jpg")</f>
        <v>https://pbs.twimg.com/profile_images/1378351175867772930/4wwCmQbY_normal.jpg</v>
      </c>
      <c r="W173" s="78">
        <v>44815.834189814814</v>
      </c>
      <c r="X173" s="84">
        <v>44815</v>
      </c>
      <c r="Y173" s="81" t="s">
        <v>1007</v>
      </c>
      <c r="Z173" s="79" t="str">
        <f>HYPERLINK("https://twitter.com/aleksandarcbl/status/1569053473823686656")</f>
        <v>https://twitter.com/aleksandarcbl/status/1569053473823686656</v>
      </c>
      <c r="AA173" s="76"/>
      <c r="AB173" s="76"/>
      <c r="AC173" s="81" t="s">
        <v>1338</v>
      </c>
      <c r="AD173" s="81" t="s">
        <v>1598</v>
      </c>
      <c r="AE173" s="76" t="b">
        <v>0</v>
      </c>
      <c r="AF173" s="76">
        <v>1</v>
      </c>
      <c r="AG173" s="81" t="s">
        <v>1708</v>
      </c>
      <c r="AH173" s="76" t="b">
        <v>0</v>
      </c>
      <c r="AI173" s="76" t="s">
        <v>1772</v>
      </c>
      <c r="AJ173" s="76"/>
      <c r="AK173" s="81" t="s">
        <v>1674</v>
      </c>
      <c r="AL173" s="76" t="b">
        <v>0</v>
      </c>
      <c r="AM173" s="76">
        <v>0</v>
      </c>
      <c r="AN173" s="81" t="s">
        <v>1674</v>
      </c>
      <c r="AO173" s="81" t="s">
        <v>1807</v>
      </c>
      <c r="AP173" s="76" t="b">
        <v>0</v>
      </c>
      <c r="AQ173" s="81" t="s">
        <v>1598</v>
      </c>
      <c r="AR173" s="76" t="s">
        <v>219</v>
      </c>
      <c r="AS173" s="76">
        <v>0</v>
      </c>
      <c r="AT173" s="76">
        <v>0</v>
      </c>
      <c r="AU173" s="76"/>
      <c r="AV173" s="76"/>
      <c r="AW173" s="76"/>
      <c r="AX173" s="76"/>
      <c r="AY173" s="76"/>
      <c r="AZ173" s="76"/>
      <c r="BA173" s="76"/>
      <c r="BB173" s="76"/>
      <c r="BC173">
        <v>1</v>
      </c>
      <c r="BD173" s="75" t="str">
        <f>REPLACE(INDEX(GroupVertices[Group],MATCH(Edges[[#This Row],[Vertex 1]],GroupVertices[Vertex],0)),1,1,"")</f>
        <v>50</v>
      </c>
      <c r="BE173" s="75" t="str">
        <f>REPLACE(INDEX(GroupVertices[Group],MATCH(Edges[[#This Row],[Vertex 2]],GroupVertices[Vertex],0)),1,1,"")</f>
        <v>50</v>
      </c>
      <c r="BF173" s="45">
        <v>3</v>
      </c>
      <c r="BG173" s="46">
        <v>30</v>
      </c>
      <c r="BH173" s="45">
        <v>0</v>
      </c>
      <c r="BI173" s="46">
        <v>0</v>
      </c>
      <c r="BJ173" s="45">
        <v>0</v>
      </c>
      <c r="BK173" s="46">
        <v>0</v>
      </c>
      <c r="BL173" s="45">
        <v>7</v>
      </c>
      <c r="BM173" s="46">
        <v>70</v>
      </c>
      <c r="BN173" s="45">
        <v>10</v>
      </c>
    </row>
    <row r="174" spans="1:66" ht="15">
      <c r="A174" s="61" t="s">
        <v>344</v>
      </c>
      <c r="B174" s="61" t="s">
        <v>414</v>
      </c>
      <c r="C174" s="62" t="s">
        <v>4688</v>
      </c>
      <c r="D174" s="63">
        <v>5</v>
      </c>
      <c r="E174" s="62"/>
      <c r="F174" s="65">
        <v>50</v>
      </c>
      <c r="G174" s="62"/>
      <c r="H174" s="66"/>
      <c r="I174" s="67"/>
      <c r="J174" s="67"/>
      <c r="K174" s="31" t="s">
        <v>65</v>
      </c>
      <c r="L174" s="68">
        <v>174</v>
      </c>
      <c r="M174" s="68"/>
      <c r="N174" s="69"/>
      <c r="O174" s="76" t="s">
        <v>586</v>
      </c>
      <c r="P174" s="78">
        <v>44815.88743055556</v>
      </c>
      <c r="Q174" s="76" t="s">
        <v>657</v>
      </c>
      <c r="R174" s="76"/>
      <c r="S174" s="76"/>
      <c r="T174" s="81" t="s">
        <v>819</v>
      </c>
      <c r="U174" s="76"/>
      <c r="V174" s="79" t="str">
        <f>HYPERLINK("https://abs.twimg.com/sticky/default_profile_images/default_profile_normal.png")</f>
        <v>https://abs.twimg.com/sticky/default_profile_images/default_profile_normal.png</v>
      </c>
      <c r="W174" s="78">
        <v>44815.88743055556</v>
      </c>
      <c r="X174" s="84">
        <v>44815</v>
      </c>
      <c r="Y174" s="81" t="s">
        <v>1008</v>
      </c>
      <c r="Z174" s="79" t="str">
        <f>HYPERLINK("https://twitter.com/levent42402926/status/1569072767898640384")</f>
        <v>https://twitter.com/levent42402926/status/1569072767898640384</v>
      </c>
      <c r="AA174" s="76"/>
      <c r="AB174" s="76"/>
      <c r="AC174" s="81" t="s">
        <v>1339</v>
      </c>
      <c r="AD174" s="76"/>
      <c r="AE174" s="76" t="b">
        <v>0</v>
      </c>
      <c r="AF174" s="76">
        <v>0</v>
      </c>
      <c r="AG174" s="81" t="s">
        <v>1674</v>
      </c>
      <c r="AH174" s="76" t="b">
        <v>0</v>
      </c>
      <c r="AI174" s="76" t="s">
        <v>1771</v>
      </c>
      <c r="AJ174" s="76"/>
      <c r="AK174" s="81" t="s">
        <v>1674</v>
      </c>
      <c r="AL174" s="76" t="b">
        <v>0</v>
      </c>
      <c r="AM174" s="76">
        <v>2</v>
      </c>
      <c r="AN174" s="81" t="s">
        <v>1451</v>
      </c>
      <c r="AO174" s="81" t="s">
        <v>1807</v>
      </c>
      <c r="AP174" s="76" t="b">
        <v>0</v>
      </c>
      <c r="AQ174" s="81" t="s">
        <v>1451</v>
      </c>
      <c r="AR174" s="76" t="s">
        <v>219</v>
      </c>
      <c r="AS174" s="76">
        <v>0</v>
      </c>
      <c r="AT174" s="76">
        <v>0</v>
      </c>
      <c r="AU174" s="76"/>
      <c r="AV174" s="76"/>
      <c r="AW174" s="76"/>
      <c r="AX174" s="76"/>
      <c r="AY174" s="76"/>
      <c r="AZ174" s="76"/>
      <c r="BA174" s="76"/>
      <c r="BB174" s="76"/>
      <c r="BC174">
        <v>1</v>
      </c>
      <c r="BD174" s="75" t="str">
        <f>REPLACE(INDEX(GroupVertices[Group],MATCH(Edges[[#This Row],[Vertex 1]],GroupVertices[Vertex],0)),1,1,"")</f>
        <v>3</v>
      </c>
      <c r="BE174" s="75" t="str">
        <f>REPLACE(INDEX(GroupVertices[Group],MATCH(Edges[[#This Row],[Vertex 2]],GroupVertices[Vertex],0)),1,1,"")</f>
        <v>3</v>
      </c>
      <c r="BF174" s="45">
        <v>0</v>
      </c>
      <c r="BG174" s="46">
        <v>0</v>
      </c>
      <c r="BH174" s="45">
        <v>0</v>
      </c>
      <c r="BI174" s="46">
        <v>0</v>
      </c>
      <c r="BJ174" s="45">
        <v>0</v>
      </c>
      <c r="BK174" s="46">
        <v>0</v>
      </c>
      <c r="BL174" s="45">
        <v>20</v>
      </c>
      <c r="BM174" s="46">
        <v>100</v>
      </c>
      <c r="BN174" s="45">
        <v>20</v>
      </c>
    </row>
    <row r="175" spans="1:66" ht="15">
      <c r="A175" s="61" t="s">
        <v>345</v>
      </c>
      <c r="B175" s="61" t="s">
        <v>345</v>
      </c>
      <c r="C175" s="62" t="s">
        <v>4688</v>
      </c>
      <c r="D175" s="63">
        <v>5</v>
      </c>
      <c r="E175" s="62"/>
      <c r="F175" s="65">
        <v>50</v>
      </c>
      <c r="G175" s="62"/>
      <c r="H175" s="66"/>
      <c r="I175" s="67"/>
      <c r="J175" s="67"/>
      <c r="K175" s="31" t="s">
        <v>65</v>
      </c>
      <c r="L175" s="68">
        <v>175</v>
      </c>
      <c r="M175" s="68"/>
      <c r="N175" s="69"/>
      <c r="O175" s="76" t="s">
        <v>219</v>
      </c>
      <c r="P175" s="78">
        <v>44815.97927083333</v>
      </c>
      <c r="Q175" s="76" t="s">
        <v>658</v>
      </c>
      <c r="R175" s="79" t="str">
        <f>HYPERLINK("https://www.adelaide.edu.au/newsroom/news/list/2022/09/08/bots-manipulate-public-opinion-in-russia-ukraine-conflict")</f>
        <v>https://www.adelaide.edu.au/newsroom/news/list/2022/09/08/bots-manipulate-public-opinion-in-russia-ukraine-conflict</v>
      </c>
      <c r="S175" s="76" t="s">
        <v>786</v>
      </c>
      <c r="T175" s="81" t="s">
        <v>795</v>
      </c>
      <c r="U175" s="79" t="str">
        <f>HYPERLINK("https://pbs.twimg.com/media/FcaVS3ZXEAElLV9.jpg")</f>
        <v>https://pbs.twimg.com/media/FcaVS3ZXEAElLV9.jpg</v>
      </c>
      <c r="V175" s="79" t="str">
        <f>HYPERLINK("https://pbs.twimg.com/media/FcaVS3ZXEAElLV9.jpg")</f>
        <v>https://pbs.twimg.com/media/FcaVS3ZXEAElLV9.jpg</v>
      </c>
      <c r="W175" s="78">
        <v>44815.97927083333</v>
      </c>
      <c r="X175" s="84">
        <v>44815</v>
      </c>
      <c r="Y175" s="81" t="s">
        <v>1009</v>
      </c>
      <c r="Z175" s="79" t="str">
        <f>HYPERLINK("https://twitter.com/urlodellavolpe/status/1569106050837610496")</f>
        <v>https://twitter.com/urlodellavolpe/status/1569106050837610496</v>
      </c>
      <c r="AA175" s="76"/>
      <c r="AB175" s="76"/>
      <c r="AC175" s="81" t="s">
        <v>1340</v>
      </c>
      <c r="AD175" s="76"/>
      <c r="AE175" s="76" t="b">
        <v>0</v>
      </c>
      <c r="AF175" s="76">
        <v>0</v>
      </c>
      <c r="AG175" s="81" t="s">
        <v>1674</v>
      </c>
      <c r="AH175" s="76" t="b">
        <v>0</v>
      </c>
      <c r="AI175" s="76" t="s">
        <v>1776</v>
      </c>
      <c r="AJ175" s="76"/>
      <c r="AK175" s="81" t="s">
        <v>1674</v>
      </c>
      <c r="AL175" s="76" t="b">
        <v>0</v>
      </c>
      <c r="AM175" s="76">
        <v>0</v>
      </c>
      <c r="AN175" s="81" t="s">
        <v>1674</v>
      </c>
      <c r="AO175" s="81" t="s">
        <v>1808</v>
      </c>
      <c r="AP175" s="76" t="b">
        <v>0</v>
      </c>
      <c r="AQ175" s="81" t="s">
        <v>1340</v>
      </c>
      <c r="AR175" s="76" t="s">
        <v>219</v>
      </c>
      <c r="AS175" s="76">
        <v>0</v>
      </c>
      <c r="AT175" s="76">
        <v>0</v>
      </c>
      <c r="AU175" s="76"/>
      <c r="AV175" s="76"/>
      <c r="AW175" s="76"/>
      <c r="AX175" s="76"/>
      <c r="AY175" s="76"/>
      <c r="AZ175" s="76"/>
      <c r="BA175" s="76"/>
      <c r="BB175" s="76"/>
      <c r="BC175">
        <v>1</v>
      </c>
      <c r="BD175" s="75" t="str">
        <f>REPLACE(INDEX(GroupVertices[Group],MATCH(Edges[[#This Row],[Vertex 1]],GroupVertices[Vertex],0)),1,1,"")</f>
        <v>2</v>
      </c>
      <c r="BE175" s="75" t="str">
        <f>REPLACE(INDEX(GroupVertices[Group],MATCH(Edges[[#This Row],[Vertex 2]],GroupVertices[Vertex],0)),1,1,"")</f>
        <v>2</v>
      </c>
      <c r="BF175" s="45">
        <v>0</v>
      </c>
      <c r="BG175" s="46">
        <v>0</v>
      </c>
      <c r="BH175" s="45">
        <v>0</v>
      </c>
      <c r="BI175" s="46">
        <v>0</v>
      </c>
      <c r="BJ175" s="45">
        <v>0</v>
      </c>
      <c r="BK175" s="46">
        <v>0</v>
      </c>
      <c r="BL175" s="45">
        <v>34</v>
      </c>
      <c r="BM175" s="46">
        <v>100</v>
      </c>
      <c r="BN175" s="45">
        <v>34</v>
      </c>
    </row>
    <row r="176" spans="1:66" ht="15">
      <c r="A176" s="61" t="s">
        <v>346</v>
      </c>
      <c r="B176" s="61" t="s">
        <v>346</v>
      </c>
      <c r="C176" s="62" t="s">
        <v>4688</v>
      </c>
      <c r="D176" s="63">
        <v>5</v>
      </c>
      <c r="E176" s="62"/>
      <c r="F176" s="65">
        <v>50</v>
      </c>
      <c r="G176" s="62"/>
      <c r="H176" s="66"/>
      <c r="I176" s="67"/>
      <c r="J176" s="67"/>
      <c r="K176" s="31" t="s">
        <v>65</v>
      </c>
      <c r="L176" s="68">
        <v>176</v>
      </c>
      <c r="M176" s="68"/>
      <c r="N176" s="69"/>
      <c r="O176" s="76" t="s">
        <v>219</v>
      </c>
      <c r="P176" s="78">
        <v>44816.013333333336</v>
      </c>
      <c r="Q176" s="76" t="s">
        <v>659</v>
      </c>
      <c r="R176" s="76"/>
      <c r="S176" s="76"/>
      <c r="T176" s="81" t="s">
        <v>826</v>
      </c>
      <c r="U176" s="79" t="str">
        <f>HYPERLINK("https://pbs.twimg.com/media/Fcag0L1aAAEluRw.jpg")</f>
        <v>https://pbs.twimg.com/media/Fcag0L1aAAEluRw.jpg</v>
      </c>
      <c r="V176" s="79" t="str">
        <f>HYPERLINK("https://pbs.twimg.com/media/Fcag0L1aAAEluRw.jpg")</f>
        <v>https://pbs.twimg.com/media/Fcag0L1aAAEluRw.jpg</v>
      </c>
      <c r="W176" s="78">
        <v>44816.013333333336</v>
      </c>
      <c r="X176" s="84">
        <v>44816</v>
      </c>
      <c r="Y176" s="81" t="s">
        <v>1010</v>
      </c>
      <c r="Z176" s="79" t="str">
        <f>HYPERLINK("https://twitter.com/terrorsyndicate/status/1569118392589905925")</f>
        <v>https://twitter.com/terrorsyndicate/status/1569118392589905925</v>
      </c>
      <c r="AA176" s="76"/>
      <c r="AB176" s="76"/>
      <c r="AC176" s="81" t="s">
        <v>1341</v>
      </c>
      <c r="AD176" s="76"/>
      <c r="AE176" s="76" t="b">
        <v>0</v>
      </c>
      <c r="AF176" s="76">
        <v>0</v>
      </c>
      <c r="AG176" s="81" t="s">
        <v>1674</v>
      </c>
      <c r="AH176" s="76" t="b">
        <v>0</v>
      </c>
      <c r="AI176" s="76" t="s">
        <v>1772</v>
      </c>
      <c r="AJ176" s="76"/>
      <c r="AK176" s="81" t="s">
        <v>1674</v>
      </c>
      <c r="AL176" s="76" t="b">
        <v>0</v>
      </c>
      <c r="AM176" s="76">
        <v>0</v>
      </c>
      <c r="AN176" s="81" t="s">
        <v>1674</v>
      </c>
      <c r="AO176" s="81" t="s">
        <v>1807</v>
      </c>
      <c r="AP176" s="76" t="b">
        <v>0</v>
      </c>
      <c r="AQ176" s="81" t="s">
        <v>1341</v>
      </c>
      <c r="AR176" s="76" t="s">
        <v>219</v>
      </c>
      <c r="AS176" s="76">
        <v>0</v>
      </c>
      <c r="AT176" s="76">
        <v>0</v>
      </c>
      <c r="AU176" s="76"/>
      <c r="AV176" s="76"/>
      <c r="AW176" s="76"/>
      <c r="AX176" s="76"/>
      <c r="AY176" s="76"/>
      <c r="AZ176" s="76"/>
      <c r="BA176" s="76"/>
      <c r="BB176" s="76"/>
      <c r="BC176">
        <v>1</v>
      </c>
      <c r="BD176" s="75" t="str">
        <f>REPLACE(INDEX(GroupVertices[Group],MATCH(Edges[[#This Row],[Vertex 1]],GroupVertices[Vertex],0)),1,1,"")</f>
        <v>2</v>
      </c>
      <c r="BE176" s="75" t="str">
        <f>REPLACE(INDEX(GroupVertices[Group],MATCH(Edges[[#This Row],[Vertex 2]],GroupVertices[Vertex],0)),1,1,"")</f>
        <v>2</v>
      </c>
      <c r="BF176" s="45">
        <v>0</v>
      </c>
      <c r="BG176" s="46">
        <v>0</v>
      </c>
      <c r="BH176" s="45">
        <v>0</v>
      </c>
      <c r="BI176" s="46">
        <v>0</v>
      </c>
      <c r="BJ176" s="45">
        <v>0</v>
      </c>
      <c r="BK176" s="46">
        <v>0</v>
      </c>
      <c r="BL176" s="45">
        <v>7</v>
      </c>
      <c r="BM176" s="46">
        <v>100</v>
      </c>
      <c r="BN176" s="45">
        <v>7</v>
      </c>
    </row>
    <row r="177" spans="1:66" ht="15">
      <c r="A177" s="61" t="s">
        <v>347</v>
      </c>
      <c r="B177" s="61" t="s">
        <v>347</v>
      </c>
      <c r="C177" s="62" t="s">
        <v>4688</v>
      </c>
      <c r="D177" s="63">
        <v>5</v>
      </c>
      <c r="E177" s="62"/>
      <c r="F177" s="65">
        <v>50</v>
      </c>
      <c r="G177" s="62"/>
      <c r="H177" s="66"/>
      <c r="I177" s="67"/>
      <c r="J177" s="67"/>
      <c r="K177" s="31" t="s">
        <v>65</v>
      </c>
      <c r="L177" s="68">
        <v>177</v>
      </c>
      <c r="M177" s="68"/>
      <c r="N177" s="69"/>
      <c r="O177" s="76" t="s">
        <v>219</v>
      </c>
      <c r="P177" s="78">
        <v>44816.024722222224</v>
      </c>
      <c r="Q177" s="76" t="s">
        <v>660</v>
      </c>
      <c r="R177" s="76"/>
      <c r="S177" s="76"/>
      <c r="T177" s="81" t="s">
        <v>827</v>
      </c>
      <c r="U177" s="76"/>
      <c r="V177" s="79" t="str">
        <f>HYPERLINK("https://pbs.twimg.com/profile_images/1327258725435006982/FoaJR013_normal.jpg")</f>
        <v>https://pbs.twimg.com/profile_images/1327258725435006982/FoaJR013_normal.jpg</v>
      </c>
      <c r="W177" s="78">
        <v>44816.024722222224</v>
      </c>
      <c r="X177" s="84">
        <v>44816</v>
      </c>
      <c r="Y177" s="81" t="s">
        <v>1011</v>
      </c>
      <c r="Z177" s="79" t="str">
        <f>HYPERLINK("https://twitter.com/jameswmoore/status/1569122521768759297")</f>
        <v>https://twitter.com/jameswmoore/status/1569122521768759297</v>
      </c>
      <c r="AA177" s="76"/>
      <c r="AB177" s="76"/>
      <c r="AC177" s="81" t="s">
        <v>1342</v>
      </c>
      <c r="AD177" s="76"/>
      <c r="AE177" s="76" t="b">
        <v>0</v>
      </c>
      <c r="AF177" s="76">
        <v>0</v>
      </c>
      <c r="AG177" s="81" t="s">
        <v>1674</v>
      </c>
      <c r="AH177" s="76" t="b">
        <v>0</v>
      </c>
      <c r="AI177" s="76" t="s">
        <v>1773</v>
      </c>
      <c r="AJ177" s="76"/>
      <c r="AK177" s="81" t="s">
        <v>1674</v>
      </c>
      <c r="AL177" s="76" t="b">
        <v>0</v>
      </c>
      <c r="AM177" s="76">
        <v>0</v>
      </c>
      <c r="AN177" s="81" t="s">
        <v>1674</v>
      </c>
      <c r="AO177" s="81" t="s">
        <v>1808</v>
      </c>
      <c r="AP177" s="76" t="b">
        <v>0</v>
      </c>
      <c r="AQ177" s="81" t="s">
        <v>1342</v>
      </c>
      <c r="AR177" s="76" t="s">
        <v>219</v>
      </c>
      <c r="AS177" s="76">
        <v>0</v>
      </c>
      <c r="AT177" s="76">
        <v>0</v>
      </c>
      <c r="AU177" s="76"/>
      <c r="AV177" s="76"/>
      <c r="AW177" s="76"/>
      <c r="AX177" s="76"/>
      <c r="AY177" s="76"/>
      <c r="AZ177" s="76"/>
      <c r="BA177" s="76"/>
      <c r="BB177" s="76"/>
      <c r="BC177">
        <v>1</v>
      </c>
      <c r="BD177" s="75" t="str">
        <f>REPLACE(INDEX(GroupVertices[Group],MATCH(Edges[[#This Row],[Vertex 1]],GroupVertices[Vertex],0)),1,1,"")</f>
        <v>2</v>
      </c>
      <c r="BE177" s="75" t="str">
        <f>REPLACE(INDEX(GroupVertices[Group],MATCH(Edges[[#This Row],[Vertex 2]],GroupVertices[Vertex],0)),1,1,"")</f>
        <v>2</v>
      </c>
      <c r="BF177" s="45">
        <v>0</v>
      </c>
      <c r="BG177" s="46">
        <v>0</v>
      </c>
      <c r="BH177" s="45">
        <v>0</v>
      </c>
      <c r="BI177" s="46">
        <v>0</v>
      </c>
      <c r="BJ177" s="45">
        <v>0</v>
      </c>
      <c r="BK177" s="46">
        <v>0</v>
      </c>
      <c r="BL177" s="45">
        <v>19</v>
      </c>
      <c r="BM177" s="46">
        <v>100</v>
      </c>
      <c r="BN177" s="45">
        <v>19</v>
      </c>
    </row>
    <row r="178" spans="1:66" ht="15">
      <c r="A178" s="61" t="s">
        <v>348</v>
      </c>
      <c r="B178" s="61" t="s">
        <v>500</v>
      </c>
      <c r="C178" s="62" t="s">
        <v>4688</v>
      </c>
      <c r="D178" s="63">
        <v>5</v>
      </c>
      <c r="E178" s="62"/>
      <c r="F178" s="65">
        <v>50</v>
      </c>
      <c r="G178" s="62"/>
      <c r="H178" s="66"/>
      <c r="I178" s="67"/>
      <c r="J178" s="67"/>
      <c r="K178" s="31" t="s">
        <v>65</v>
      </c>
      <c r="L178" s="68">
        <v>178</v>
      </c>
      <c r="M178" s="68"/>
      <c r="N178" s="69"/>
      <c r="O178" s="76" t="s">
        <v>588</v>
      </c>
      <c r="P178" s="78">
        <v>44620.96212962963</v>
      </c>
      <c r="Q178" s="76" t="s">
        <v>661</v>
      </c>
      <c r="R178" s="76"/>
      <c r="S178" s="76"/>
      <c r="T178" s="81" t="s">
        <v>828</v>
      </c>
      <c r="U178" s="79" t="str">
        <f>HYPERLINK("https://pbs.twimg.com/media/FMuBznOagAQTSWL.jpg")</f>
        <v>https://pbs.twimg.com/media/FMuBznOagAQTSWL.jpg</v>
      </c>
      <c r="V178" s="79" t="str">
        <f>HYPERLINK("https://pbs.twimg.com/media/FMuBznOagAQTSWL.jpg")</f>
        <v>https://pbs.twimg.com/media/FMuBznOagAQTSWL.jpg</v>
      </c>
      <c r="W178" s="78">
        <v>44620.96212962963</v>
      </c>
      <c r="X178" s="84">
        <v>44620</v>
      </c>
      <c r="Y178" s="81" t="s">
        <v>1012</v>
      </c>
      <c r="Z178" s="79" t="str">
        <f>HYPERLINK("https://twitter.com/spicymanit/status/1498434204207841280")</f>
        <v>https://twitter.com/spicymanit/status/1498434204207841280</v>
      </c>
      <c r="AA178" s="76"/>
      <c r="AB178" s="76"/>
      <c r="AC178" s="81" t="s">
        <v>1343</v>
      </c>
      <c r="AD178" s="76"/>
      <c r="AE178" s="76" t="b">
        <v>0</v>
      </c>
      <c r="AF178" s="76">
        <v>22</v>
      </c>
      <c r="AG178" s="81" t="s">
        <v>1674</v>
      </c>
      <c r="AH178" s="76" t="b">
        <v>0</v>
      </c>
      <c r="AI178" s="76" t="s">
        <v>1772</v>
      </c>
      <c r="AJ178" s="76"/>
      <c r="AK178" s="81" t="s">
        <v>1674</v>
      </c>
      <c r="AL178" s="76" t="b">
        <v>0</v>
      </c>
      <c r="AM178" s="76">
        <v>4</v>
      </c>
      <c r="AN178" s="81" t="s">
        <v>1674</v>
      </c>
      <c r="AO178" s="81" t="s">
        <v>1808</v>
      </c>
      <c r="AP178" s="76" t="b">
        <v>0</v>
      </c>
      <c r="AQ178" s="81" t="s">
        <v>1343</v>
      </c>
      <c r="AR178" s="76" t="s">
        <v>586</v>
      </c>
      <c r="AS178" s="76">
        <v>0</v>
      </c>
      <c r="AT178" s="76">
        <v>0</v>
      </c>
      <c r="AU178" s="76"/>
      <c r="AV178" s="76"/>
      <c r="AW178" s="76"/>
      <c r="AX178" s="76"/>
      <c r="AY178" s="76"/>
      <c r="AZ178" s="76"/>
      <c r="BA178" s="76"/>
      <c r="BB178" s="76"/>
      <c r="BC178">
        <v>1</v>
      </c>
      <c r="BD178" s="75" t="str">
        <f>REPLACE(INDEX(GroupVertices[Group],MATCH(Edges[[#This Row],[Vertex 1]],GroupVertices[Vertex],0)),1,1,"")</f>
        <v>23</v>
      </c>
      <c r="BE178" s="75" t="str">
        <f>REPLACE(INDEX(GroupVertices[Group],MATCH(Edges[[#This Row],[Vertex 2]],GroupVertices[Vertex],0)),1,1,"")</f>
        <v>23</v>
      </c>
      <c r="BF178" s="45"/>
      <c r="BG178" s="46"/>
      <c r="BH178" s="45"/>
      <c r="BI178" s="46"/>
      <c r="BJ178" s="45"/>
      <c r="BK178" s="46"/>
      <c r="BL178" s="45"/>
      <c r="BM178" s="46"/>
      <c r="BN178" s="45"/>
    </row>
    <row r="179" spans="1:66" ht="15">
      <c r="A179" s="61" t="s">
        <v>349</v>
      </c>
      <c r="B179" s="61" t="s">
        <v>500</v>
      </c>
      <c r="C179" s="62" t="s">
        <v>4688</v>
      </c>
      <c r="D179" s="63">
        <v>5</v>
      </c>
      <c r="E179" s="62"/>
      <c r="F179" s="65">
        <v>50</v>
      </c>
      <c r="G179" s="62"/>
      <c r="H179" s="66"/>
      <c r="I179" s="67"/>
      <c r="J179" s="67"/>
      <c r="K179" s="31" t="s">
        <v>65</v>
      </c>
      <c r="L179" s="68">
        <v>179</v>
      </c>
      <c r="M179" s="68"/>
      <c r="N179" s="69"/>
      <c r="O179" s="76" t="s">
        <v>585</v>
      </c>
      <c r="P179" s="78">
        <v>44816.075</v>
      </c>
      <c r="Q179" s="76" t="s">
        <v>661</v>
      </c>
      <c r="R179" s="76"/>
      <c r="S179" s="76"/>
      <c r="T179" s="81" t="s">
        <v>828</v>
      </c>
      <c r="U179" s="79" t="str">
        <f>HYPERLINK("https://pbs.twimg.com/media/FMuBznOagAQTSWL.jpg")</f>
        <v>https://pbs.twimg.com/media/FMuBznOagAQTSWL.jpg</v>
      </c>
      <c r="V179" s="79" t="str">
        <f>HYPERLINK("https://pbs.twimg.com/media/FMuBznOagAQTSWL.jpg")</f>
        <v>https://pbs.twimg.com/media/FMuBznOagAQTSWL.jpg</v>
      </c>
      <c r="W179" s="78">
        <v>44816.075</v>
      </c>
      <c r="X179" s="84">
        <v>44816</v>
      </c>
      <c r="Y179" s="81" t="s">
        <v>1013</v>
      </c>
      <c r="Z179" s="79" t="str">
        <f>HYPERLINK("https://twitter.com/maier_maier8/status/1569140739912630276")</f>
        <v>https://twitter.com/maier_maier8/status/1569140739912630276</v>
      </c>
      <c r="AA179" s="76"/>
      <c r="AB179" s="76"/>
      <c r="AC179" s="81" t="s">
        <v>1344</v>
      </c>
      <c r="AD179" s="76"/>
      <c r="AE179" s="76" t="b">
        <v>0</v>
      </c>
      <c r="AF179" s="76">
        <v>0</v>
      </c>
      <c r="AG179" s="81" t="s">
        <v>1674</v>
      </c>
      <c r="AH179" s="76" t="b">
        <v>0</v>
      </c>
      <c r="AI179" s="76" t="s">
        <v>1772</v>
      </c>
      <c r="AJ179" s="76"/>
      <c r="AK179" s="81" t="s">
        <v>1674</v>
      </c>
      <c r="AL179" s="76" t="b">
        <v>0</v>
      </c>
      <c r="AM179" s="76">
        <v>4</v>
      </c>
      <c r="AN179" s="81" t="s">
        <v>1343</v>
      </c>
      <c r="AO179" s="81" t="s">
        <v>1809</v>
      </c>
      <c r="AP179" s="76" t="b">
        <v>0</v>
      </c>
      <c r="AQ179" s="81" t="s">
        <v>1343</v>
      </c>
      <c r="AR179" s="76" t="s">
        <v>219</v>
      </c>
      <c r="AS179" s="76">
        <v>0</v>
      </c>
      <c r="AT179" s="76">
        <v>0</v>
      </c>
      <c r="AU179" s="76"/>
      <c r="AV179" s="76"/>
      <c r="AW179" s="76"/>
      <c r="AX179" s="76"/>
      <c r="AY179" s="76"/>
      <c r="AZ179" s="76"/>
      <c r="BA179" s="76"/>
      <c r="BB179" s="76"/>
      <c r="BC179">
        <v>1</v>
      </c>
      <c r="BD179" s="75" t="str">
        <f>REPLACE(INDEX(GroupVertices[Group],MATCH(Edges[[#This Row],[Vertex 1]],GroupVertices[Vertex],0)),1,1,"")</f>
        <v>23</v>
      </c>
      <c r="BE179" s="75" t="str">
        <f>REPLACE(INDEX(GroupVertices[Group],MATCH(Edges[[#This Row],[Vertex 2]],GroupVertices[Vertex],0)),1,1,"")</f>
        <v>23</v>
      </c>
      <c r="BF179" s="45"/>
      <c r="BG179" s="46"/>
      <c r="BH179" s="45"/>
      <c r="BI179" s="46"/>
      <c r="BJ179" s="45"/>
      <c r="BK179" s="46"/>
      <c r="BL179" s="45"/>
      <c r="BM179" s="46"/>
      <c r="BN179" s="45"/>
    </row>
    <row r="180" spans="1:66" ht="15">
      <c r="A180" s="61" t="s">
        <v>348</v>
      </c>
      <c r="B180" s="61" t="s">
        <v>501</v>
      </c>
      <c r="C180" s="62" t="s">
        <v>4688</v>
      </c>
      <c r="D180" s="63">
        <v>5</v>
      </c>
      <c r="E180" s="62"/>
      <c r="F180" s="65">
        <v>50</v>
      </c>
      <c r="G180" s="62"/>
      <c r="H180" s="66"/>
      <c r="I180" s="67"/>
      <c r="J180" s="67"/>
      <c r="K180" s="31" t="s">
        <v>65</v>
      </c>
      <c r="L180" s="68">
        <v>180</v>
      </c>
      <c r="M180" s="68"/>
      <c r="N180" s="69"/>
      <c r="O180" s="76" t="s">
        <v>588</v>
      </c>
      <c r="P180" s="78">
        <v>44620.96212962963</v>
      </c>
      <c r="Q180" s="76" t="s">
        <v>661</v>
      </c>
      <c r="R180" s="76"/>
      <c r="S180" s="76"/>
      <c r="T180" s="81" t="s">
        <v>828</v>
      </c>
      <c r="U180" s="79" t="str">
        <f>HYPERLINK("https://pbs.twimg.com/media/FMuBznOagAQTSWL.jpg")</f>
        <v>https://pbs.twimg.com/media/FMuBznOagAQTSWL.jpg</v>
      </c>
      <c r="V180" s="79" t="str">
        <f>HYPERLINK("https://pbs.twimg.com/media/FMuBznOagAQTSWL.jpg")</f>
        <v>https://pbs.twimg.com/media/FMuBznOagAQTSWL.jpg</v>
      </c>
      <c r="W180" s="78">
        <v>44620.96212962963</v>
      </c>
      <c r="X180" s="84">
        <v>44620</v>
      </c>
      <c r="Y180" s="81" t="s">
        <v>1012</v>
      </c>
      <c r="Z180" s="79" t="str">
        <f>HYPERLINK("https://twitter.com/spicymanit/status/1498434204207841280")</f>
        <v>https://twitter.com/spicymanit/status/1498434204207841280</v>
      </c>
      <c r="AA180" s="76"/>
      <c r="AB180" s="76"/>
      <c r="AC180" s="81" t="s">
        <v>1343</v>
      </c>
      <c r="AD180" s="76"/>
      <c r="AE180" s="76" t="b">
        <v>0</v>
      </c>
      <c r="AF180" s="76">
        <v>22</v>
      </c>
      <c r="AG180" s="81" t="s">
        <v>1674</v>
      </c>
      <c r="AH180" s="76" t="b">
        <v>0</v>
      </c>
      <c r="AI180" s="76" t="s">
        <v>1772</v>
      </c>
      <c r="AJ180" s="76"/>
      <c r="AK180" s="81" t="s">
        <v>1674</v>
      </c>
      <c r="AL180" s="76" t="b">
        <v>0</v>
      </c>
      <c r="AM180" s="76">
        <v>4</v>
      </c>
      <c r="AN180" s="81" t="s">
        <v>1674</v>
      </c>
      <c r="AO180" s="81" t="s">
        <v>1808</v>
      </c>
      <c r="AP180" s="76" t="b">
        <v>0</v>
      </c>
      <c r="AQ180" s="81" t="s">
        <v>1343</v>
      </c>
      <c r="AR180" s="76" t="s">
        <v>586</v>
      </c>
      <c r="AS180" s="76">
        <v>0</v>
      </c>
      <c r="AT180" s="76">
        <v>0</v>
      </c>
      <c r="AU180" s="76"/>
      <c r="AV180" s="76"/>
      <c r="AW180" s="76"/>
      <c r="AX180" s="76"/>
      <c r="AY180" s="76"/>
      <c r="AZ180" s="76"/>
      <c r="BA180" s="76"/>
      <c r="BB180" s="76"/>
      <c r="BC180">
        <v>1</v>
      </c>
      <c r="BD180" s="75" t="str">
        <f>REPLACE(INDEX(GroupVertices[Group],MATCH(Edges[[#This Row],[Vertex 1]],GroupVertices[Vertex],0)),1,1,"")</f>
        <v>23</v>
      </c>
      <c r="BE180" s="75" t="str">
        <f>REPLACE(INDEX(GroupVertices[Group],MATCH(Edges[[#This Row],[Vertex 2]],GroupVertices[Vertex],0)),1,1,"")</f>
        <v>23</v>
      </c>
      <c r="BF180" s="45">
        <v>0</v>
      </c>
      <c r="BG180" s="46">
        <v>0</v>
      </c>
      <c r="BH180" s="45">
        <v>0</v>
      </c>
      <c r="BI180" s="46">
        <v>0</v>
      </c>
      <c r="BJ180" s="45">
        <v>0</v>
      </c>
      <c r="BK180" s="46">
        <v>0</v>
      </c>
      <c r="BL180" s="45">
        <v>12</v>
      </c>
      <c r="BM180" s="46">
        <v>100</v>
      </c>
      <c r="BN180" s="45">
        <v>12</v>
      </c>
    </row>
    <row r="181" spans="1:66" ht="15">
      <c r="A181" s="61" t="s">
        <v>349</v>
      </c>
      <c r="B181" s="61" t="s">
        <v>348</v>
      </c>
      <c r="C181" s="62" t="s">
        <v>4688</v>
      </c>
      <c r="D181" s="63">
        <v>5</v>
      </c>
      <c r="E181" s="62"/>
      <c r="F181" s="65">
        <v>50</v>
      </c>
      <c r="G181" s="62"/>
      <c r="H181" s="66"/>
      <c r="I181" s="67"/>
      <c r="J181" s="67"/>
      <c r="K181" s="31" t="s">
        <v>65</v>
      </c>
      <c r="L181" s="68">
        <v>181</v>
      </c>
      <c r="M181" s="68"/>
      <c r="N181" s="69"/>
      <c r="O181" s="76" t="s">
        <v>586</v>
      </c>
      <c r="P181" s="78">
        <v>44816.075</v>
      </c>
      <c r="Q181" s="76" t="s">
        <v>661</v>
      </c>
      <c r="R181" s="76"/>
      <c r="S181" s="76"/>
      <c r="T181" s="81" t="s">
        <v>828</v>
      </c>
      <c r="U181" s="79" t="str">
        <f>HYPERLINK("https://pbs.twimg.com/media/FMuBznOagAQTSWL.jpg")</f>
        <v>https://pbs.twimg.com/media/FMuBznOagAQTSWL.jpg</v>
      </c>
      <c r="V181" s="79" t="str">
        <f>HYPERLINK("https://pbs.twimg.com/media/FMuBznOagAQTSWL.jpg")</f>
        <v>https://pbs.twimg.com/media/FMuBznOagAQTSWL.jpg</v>
      </c>
      <c r="W181" s="78">
        <v>44816.075</v>
      </c>
      <c r="X181" s="84">
        <v>44816</v>
      </c>
      <c r="Y181" s="81" t="s">
        <v>1013</v>
      </c>
      <c r="Z181" s="79" t="str">
        <f>HYPERLINK("https://twitter.com/maier_maier8/status/1569140739912630276")</f>
        <v>https://twitter.com/maier_maier8/status/1569140739912630276</v>
      </c>
      <c r="AA181" s="76"/>
      <c r="AB181" s="76"/>
      <c r="AC181" s="81" t="s">
        <v>1344</v>
      </c>
      <c r="AD181" s="76"/>
      <c r="AE181" s="76" t="b">
        <v>0</v>
      </c>
      <c r="AF181" s="76">
        <v>0</v>
      </c>
      <c r="AG181" s="81" t="s">
        <v>1674</v>
      </c>
      <c r="AH181" s="76" t="b">
        <v>0</v>
      </c>
      <c r="AI181" s="76" t="s">
        <v>1772</v>
      </c>
      <c r="AJ181" s="76"/>
      <c r="AK181" s="81" t="s">
        <v>1674</v>
      </c>
      <c r="AL181" s="76" t="b">
        <v>0</v>
      </c>
      <c r="AM181" s="76">
        <v>4</v>
      </c>
      <c r="AN181" s="81" t="s">
        <v>1343</v>
      </c>
      <c r="AO181" s="81" t="s">
        <v>1809</v>
      </c>
      <c r="AP181" s="76" t="b">
        <v>0</v>
      </c>
      <c r="AQ181" s="81" t="s">
        <v>1343</v>
      </c>
      <c r="AR181" s="76" t="s">
        <v>219</v>
      </c>
      <c r="AS181" s="76">
        <v>0</v>
      </c>
      <c r="AT181" s="76">
        <v>0</v>
      </c>
      <c r="AU181" s="76"/>
      <c r="AV181" s="76"/>
      <c r="AW181" s="76"/>
      <c r="AX181" s="76"/>
      <c r="AY181" s="76"/>
      <c r="AZ181" s="76"/>
      <c r="BA181" s="76"/>
      <c r="BB181" s="76"/>
      <c r="BC181">
        <v>1</v>
      </c>
      <c r="BD181" s="75" t="str">
        <f>REPLACE(INDEX(GroupVertices[Group],MATCH(Edges[[#This Row],[Vertex 1]],GroupVertices[Vertex],0)),1,1,"")</f>
        <v>23</v>
      </c>
      <c r="BE181" s="75" t="str">
        <f>REPLACE(INDEX(GroupVertices[Group],MATCH(Edges[[#This Row],[Vertex 2]],GroupVertices[Vertex],0)),1,1,"")</f>
        <v>23</v>
      </c>
      <c r="BF181" s="45"/>
      <c r="BG181" s="46"/>
      <c r="BH181" s="45"/>
      <c r="BI181" s="46"/>
      <c r="BJ181" s="45"/>
      <c r="BK181" s="46"/>
      <c r="BL181" s="45"/>
      <c r="BM181" s="46"/>
      <c r="BN181" s="45"/>
    </row>
    <row r="182" spans="1:66" ht="15">
      <c r="A182" s="61" t="s">
        <v>349</v>
      </c>
      <c r="B182" s="61" t="s">
        <v>501</v>
      </c>
      <c r="C182" s="62" t="s">
        <v>4688</v>
      </c>
      <c r="D182" s="63">
        <v>5</v>
      </c>
      <c r="E182" s="62"/>
      <c r="F182" s="65">
        <v>50</v>
      </c>
      <c r="G182" s="62"/>
      <c r="H182" s="66"/>
      <c r="I182" s="67"/>
      <c r="J182" s="67"/>
      <c r="K182" s="31" t="s">
        <v>65</v>
      </c>
      <c r="L182" s="68">
        <v>182</v>
      </c>
      <c r="M182" s="68"/>
      <c r="N182" s="69"/>
      <c r="O182" s="76" t="s">
        <v>585</v>
      </c>
      <c r="P182" s="78">
        <v>44816.075</v>
      </c>
      <c r="Q182" s="76" t="s">
        <v>661</v>
      </c>
      <c r="R182" s="76"/>
      <c r="S182" s="76"/>
      <c r="T182" s="81" t="s">
        <v>828</v>
      </c>
      <c r="U182" s="79" t="str">
        <f>HYPERLINK("https://pbs.twimg.com/media/FMuBznOagAQTSWL.jpg")</f>
        <v>https://pbs.twimg.com/media/FMuBznOagAQTSWL.jpg</v>
      </c>
      <c r="V182" s="79" t="str">
        <f>HYPERLINK("https://pbs.twimg.com/media/FMuBznOagAQTSWL.jpg")</f>
        <v>https://pbs.twimg.com/media/FMuBznOagAQTSWL.jpg</v>
      </c>
      <c r="W182" s="78">
        <v>44816.075</v>
      </c>
      <c r="X182" s="84">
        <v>44816</v>
      </c>
      <c r="Y182" s="81" t="s">
        <v>1013</v>
      </c>
      <c r="Z182" s="79" t="str">
        <f>HYPERLINK("https://twitter.com/maier_maier8/status/1569140739912630276")</f>
        <v>https://twitter.com/maier_maier8/status/1569140739912630276</v>
      </c>
      <c r="AA182" s="76"/>
      <c r="AB182" s="76"/>
      <c r="AC182" s="81" t="s">
        <v>1344</v>
      </c>
      <c r="AD182" s="76"/>
      <c r="AE182" s="76" t="b">
        <v>0</v>
      </c>
      <c r="AF182" s="76">
        <v>0</v>
      </c>
      <c r="AG182" s="81" t="s">
        <v>1674</v>
      </c>
      <c r="AH182" s="76" t="b">
        <v>0</v>
      </c>
      <c r="AI182" s="76" t="s">
        <v>1772</v>
      </c>
      <c r="AJ182" s="76"/>
      <c r="AK182" s="81" t="s">
        <v>1674</v>
      </c>
      <c r="AL182" s="76" t="b">
        <v>0</v>
      </c>
      <c r="AM182" s="76">
        <v>4</v>
      </c>
      <c r="AN182" s="81" t="s">
        <v>1343</v>
      </c>
      <c r="AO182" s="81" t="s">
        <v>1809</v>
      </c>
      <c r="AP182" s="76" t="b">
        <v>0</v>
      </c>
      <c r="AQ182" s="81" t="s">
        <v>1343</v>
      </c>
      <c r="AR182" s="76" t="s">
        <v>219</v>
      </c>
      <c r="AS182" s="76">
        <v>0</v>
      </c>
      <c r="AT182" s="76">
        <v>0</v>
      </c>
      <c r="AU182" s="76"/>
      <c r="AV182" s="76"/>
      <c r="AW182" s="76"/>
      <c r="AX182" s="76"/>
      <c r="AY182" s="76"/>
      <c r="AZ182" s="76"/>
      <c r="BA182" s="76"/>
      <c r="BB182" s="76"/>
      <c r="BC182">
        <v>1</v>
      </c>
      <c r="BD182" s="75" t="str">
        <f>REPLACE(INDEX(GroupVertices[Group],MATCH(Edges[[#This Row],[Vertex 1]],GroupVertices[Vertex],0)),1,1,"")</f>
        <v>23</v>
      </c>
      <c r="BE182" s="75" t="str">
        <f>REPLACE(INDEX(GroupVertices[Group],MATCH(Edges[[#This Row],[Vertex 2]],GroupVertices[Vertex],0)),1,1,"")</f>
        <v>23</v>
      </c>
      <c r="BF182" s="45">
        <v>0</v>
      </c>
      <c r="BG182" s="46">
        <v>0</v>
      </c>
      <c r="BH182" s="45">
        <v>0</v>
      </c>
      <c r="BI182" s="46">
        <v>0</v>
      </c>
      <c r="BJ182" s="45">
        <v>0</v>
      </c>
      <c r="BK182" s="46">
        <v>0</v>
      </c>
      <c r="BL182" s="45">
        <v>12</v>
      </c>
      <c r="BM182" s="46">
        <v>100</v>
      </c>
      <c r="BN182" s="45">
        <v>12</v>
      </c>
    </row>
    <row r="183" spans="1:66" ht="15">
      <c r="A183" s="61" t="s">
        <v>350</v>
      </c>
      <c r="B183" s="61" t="s">
        <v>350</v>
      </c>
      <c r="C183" s="62" t="s">
        <v>4688</v>
      </c>
      <c r="D183" s="63">
        <v>5</v>
      </c>
      <c r="E183" s="62"/>
      <c r="F183" s="65">
        <v>50</v>
      </c>
      <c r="G183" s="62"/>
      <c r="H183" s="66"/>
      <c r="I183" s="67"/>
      <c r="J183" s="67"/>
      <c r="K183" s="31" t="s">
        <v>65</v>
      </c>
      <c r="L183" s="68">
        <v>183</v>
      </c>
      <c r="M183" s="68"/>
      <c r="N183" s="69"/>
      <c r="O183" s="76" t="s">
        <v>219</v>
      </c>
      <c r="P183" s="78">
        <v>44816.246875</v>
      </c>
      <c r="Q183" s="76" t="s">
        <v>662</v>
      </c>
      <c r="R183" s="76"/>
      <c r="S183" s="76"/>
      <c r="T183" s="81" t="s">
        <v>829</v>
      </c>
      <c r="U183" s="76"/>
      <c r="V183" s="79" t="str">
        <f>HYPERLINK("https://pbs.twimg.com/profile_images/1348253593166622722/BNCnH0Ev_normal.jpg")</f>
        <v>https://pbs.twimg.com/profile_images/1348253593166622722/BNCnH0Ev_normal.jpg</v>
      </c>
      <c r="W183" s="78">
        <v>44816.246875</v>
      </c>
      <c r="X183" s="84">
        <v>44816</v>
      </c>
      <c r="Y183" s="81" t="s">
        <v>1014</v>
      </c>
      <c r="Z183" s="79" t="str">
        <f>HYPERLINK("https://twitter.com/freescotsman92/status/1569203025440276480")</f>
        <v>https://twitter.com/freescotsman92/status/1569203025440276480</v>
      </c>
      <c r="AA183" s="76"/>
      <c r="AB183" s="76"/>
      <c r="AC183" s="81" t="s">
        <v>1345</v>
      </c>
      <c r="AD183" s="76"/>
      <c r="AE183" s="76" t="b">
        <v>0</v>
      </c>
      <c r="AF183" s="76">
        <v>1</v>
      </c>
      <c r="AG183" s="81" t="s">
        <v>1674</v>
      </c>
      <c r="AH183" s="76" t="b">
        <v>0</v>
      </c>
      <c r="AI183" s="76" t="s">
        <v>1772</v>
      </c>
      <c r="AJ183" s="76"/>
      <c r="AK183" s="81" t="s">
        <v>1674</v>
      </c>
      <c r="AL183" s="76" t="b">
        <v>0</v>
      </c>
      <c r="AM183" s="76">
        <v>0</v>
      </c>
      <c r="AN183" s="81" t="s">
        <v>1674</v>
      </c>
      <c r="AO183" s="81" t="s">
        <v>1809</v>
      </c>
      <c r="AP183" s="76" t="b">
        <v>0</v>
      </c>
      <c r="AQ183" s="81" t="s">
        <v>1345</v>
      </c>
      <c r="AR183" s="76" t="s">
        <v>219</v>
      </c>
      <c r="AS183" s="76">
        <v>0</v>
      </c>
      <c r="AT183" s="76">
        <v>0</v>
      </c>
      <c r="AU183" s="76"/>
      <c r="AV183" s="76"/>
      <c r="AW183" s="76"/>
      <c r="AX183" s="76"/>
      <c r="AY183" s="76"/>
      <c r="AZ183" s="76"/>
      <c r="BA183" s="76"/>
      <c r="BB183" s="76"/>
      <c r="BC183">
        <v>1</v>
      </c>
      <c r="BD183" s="75" t="str">
        <f>REPLACE(INDEX(GroupVertices[Group],MATCH(Edges[[#This Row],[Vertex 1]],GroupVertices[Vertex],0)),1,1,"")</f>
        <v>2</v>
      </c>
      <c r="BE183" s="75" t="str">
        <f>REPLACE(INDEX(GroupVertices[Group],MATCH(Edges[[#This Row],[Vertex 2]],GroupVertices[Vertex],0)),1,1,"")</f>
        <v>2</v>
      </c>
      <c r="BF183" s="45">
        <v>1</v>
      </c>
      <c r="BG183" s="46">
        <v>2.4390243902439024</v>
      </c>
      <c r="BH183" s="45">
        <v>3</v>
      </c>
      <c r="BI183" s="46">
        <v>7.317073170731708</v>
      </c>
      <c r="BJ183" s="45">
        <v>0</v>
      </c>
      <c r="BK183" s="46">
        <v>0</v>
      </c>
      <c r="BL183" s="45">
        <v>37</v>
      </c>
      <c r="BM183" s="46">
        <v>90.2439024390244</v>
      </c>
      <c r="BN183" s="45">
        <v>41</v>
      </c>
    </row>
    <row r="184" spans="1:66" ht="15">
      <c r="A184" s="61" t="s">
        <v>351</v>
      </c>
      <c r="B184" s="61" t="s">
        <v>502</v>
      </c>
      <c r="C184" s="62" t="s">
        <v>4688</v>
      </c>
      <c r="D184" s="63">
        <v>5</v>
      </c>
      <c r="E184" s="62"/>
      <c r="F184" s="65">
        <v>50</v>
      </c>
      <c r="G184" s="62"/>
      <c r="H184" s="66"/>
      <c r="I184" s="67"/>
      <c r="J184" s="67"/>
      <c r="K184" s="31" t="s">
        <v>65</v>
      </c>
      <c r="L184" s="68">
        <v>184</v>
      </c>
      <c r="M184" s="68"/>
      <c r="N184" s="69"/>
      <c r="O184" s="76" t="s">
        <v>587</v>
      </c>
      <c r="P184" s="78">
        <v>44816.32098379629</v>
      </c>
      <c r="Q184" s="76" t="s">
        <v>663</v>
      </c>
      <c r="R184" s="76"/>
      <c r="S184" s="76"/>
      <c r="T184" s="81" t="s">
        <v>795</v>
      </c>
      <c r="U184" s="76"/>
      <c r="V184" s="79" t="str">
        <f>HYPERLINK("https://pbs.twimg.com/profile_images/1427318110927851522/gy4hztPs_normal.png")</f>
        <v>https://pbs.twimg.com/profile_images/1427318110927851522/gy4hztPs_normal.png</v>
      </c>
      <c r="W184" s="78">
        <v>44816.32098379629</v>
      </c>
      <c r="X184" s="84">
        <v>44816</v>
      </c>
      <c r="Y184" s="81" t="s">
        <v>1015</v>
      </c>
      <c r="Z184" s="79" t="str">
        <f>HYPERLINK("https://twitter.com/selpermer/status/1569229881803960320")</f>
        <v>https://twitter.com/selpermer/status/1569229881803960320</v>
      </c>
      <c r="AA184" s="76"/>
      <c r="AB184" s="76"/>
      <c r="AC184" s="81" t="s">
        <v>1346</v>
      </c>
      <c r="AD184" s="81" t="s">
        <v>1599</v>
      </c>
      <c r="AE184" s="76" t="b">
        <v>0</v>
      </c>
      <c r="AF184" s="76">
        <v>0</v>
      </c>
      <c r="AG184" s="81" t="s">
        <v>1709</v>
      </c>
      <c r="AH184" s="76" t="b">
        <v>0</v>
      </c>
      <c r="AI184" s="76" t="s">
        <v>1773</v>
      </c>
      <c r="AJ184" s="76"/>
      <c r="AK184" s="81" t="s">
        <v>1674</v>
      </c>
      <c r="AL184" s="76" t="b">
        <v>0</v>
      </c>
      <c r="AM184" s="76">
        <v>0</v>
      </c>
      <c r="AN184" s="81" t="s">
        <v>1674</v>
      </c>
      <c r="AO184" s="81" t="s">
        <v>1807</v>
      </c>
      <c r="AP184" s="76" t="b">
        <v>0</v>
      </c>
      <c r="AQ184" s="81" t="s">
        <v>1599</v>
      </c>
      <c r="AR184" s="76" t="s">
        <v>219</v>
      </c>
      <c r="AS184" s="76">
        <v>0</v>
      </c>
      <c r="AT184" s="76">
        <v>0</v>
      </c>
      <c r="AU184" s="76"/>
      <c r="AV184" s="76"/>
      <c r="AW184" s="76"/>
      <c r="AX184" s="76"/>
      <c r="AY184" s="76"/>
      <c r="AZ184" s="76"/>
      <c r="BA184" s="76"/>
      <c r="BB184" s="76"/>
      <c r="BC184">
        <v>1</v>
      </c>
      <c r="BD184" s="75" t="str">
        <f>REPLACE(INDEX(GroupVertices[Group],MATCH(Edges[[#This Row],[Vertex 1]],GroupVertices[Vertex],0)),1,1,"")</f>
        <v>49</v>
      </c>
      <c r="BE184" s="75" t="str">
        <f>REPLACE(INDEX(GroupVertices[Group],MATCH(Edges[[#This Row],[Vertex 2]],GroupVertices[Vertex],0)),1,1,"")</f>
        <v>49</v>
      </c>
      <c r="BF184" s="45">
        <v>0</v>
      </c>
      <c r="BG184" s="46">
        <v>0</v>
      </c>
      <c r="BH184" s="45">
        <v>0</v>
      </c>
      <c r="BI184" s="46">
        <v>0</v>
      </c>
      <c r="BJ184" s="45">
        <v>0</v>
      </c>
      <c r="BK184" s="46">
        <v>0</v>
      </c>
      <c r="BL184" s="45">
        <v>2</v>
      </c>
      <c r="BM184" s="46">
        <v>100</v>
      </c>
      <c r="BN184" s="45">
        <v>2</v>
      </c>
    </row>
    <row r="185" spans="1:66" ht="15">
      <c r="A185" s="61" t="s">
        <v>352</v>
      </c>
      <c r="B185" s="61" t="s">
        <v>503</v>
      </c>
      <c r="C185" s="62" t="s">
        <v>4688</v>
      </c>
      <c r="D185" s="63">
        <v>5</v>
      </c>
      <c r="E185" s="62"/>
      <c r="F185" s="65">
        <v>50</v>
      </c>
      <c r="G185" s="62"/>
      <c r="H185" s="66"/>
      <c r="I185" s="67"/>
      <c r="J185" s="67"/>
      <c r="K185" s="31" t="s">
        <v>65</v>
      </c>
      <c r="L185" s="68">
        <v>185</v>
      </c>
      <c r="M185" s="68"/>
      <c r="N185" s="69"/>
      <c r="O185" s="76" t="s">
        <v>588</v>
      </c>
      <c r="P185" s="78">
        <v>44816.3353587963</v>
      </c>
      <c r="Q185" s="76" t="s">
        <v>664</v>
      </c>
      <c r="R185" s="76"/>
      <c r="S185" s="76"/>
      <c r="T185" s="81" t="s">
        <v>795</v>
      </c>
      <c r="U185" s="76"/>
      <c r="V185" s="79" t="str">
        <f>HYPERLINK("https://pbs.twimg.com/profile_images/1413157286462181378/gUP4dkZt_normal.jpg")</f>
        <v>https://pbs.twimg.com/profile_images/1413157286462181378/gUP4dkZt_normal.jpg</v>
      </c>
      <c r="W185" s="78">
        <v>44816.3353587963</v>
      </c>
      <c r="X185" s="84">
        <v>44816</v>
      </c>
      <c r="Y185" s="81" t="s">
        <v>1016</v>
      </c>
      <c r="Z185" s="79" t="str">
        <f>HYPERLINK("https://twitter.com/khairulazzwa1/status/1569235093591564288")</f>
        <v>https://twitter.com/khairulazzwa1/status/1569235093591564288</v>
      </c>
      <c r="AA185" s="76"/>
      <c r="AB185" s="76"/>
      <c r="AC185" s="81" t="s">
        <v>1347</v>
      </c>
      <c r="AD185" s="81" t="s">
        <v>1600</v>
      </c>
      <c r="AE185" s="76" t="b">
        <v>0</v>
      </c>
      <c r="AF185" s="76">
        <v>0</v>
      </c>
      <c r="AG185" s="81" t="s">
        <v>1710</v>
      </c>
      <c r="AH185" s="76" t="b">
        <v>0</v>
      </c>
      <c r="AI185" s="76" t="s">
        <v>1773</v>
      </c>
      <c r="AJ185" s="76"/>
      <c r="AK185" s="81" t="s">
        <v>1674</v>
      </c>
      <c r="AL185" s="76" t="b">
        <v>0</v>
      </c>
      <c r="AM185" s="76">
        <v>0</v>
      </c>
      <c r="AN185" s="81" t="s">
        <v>1674</v>
      </c>
      <c r="AO185" s="81" t="s">
        <v>1807</v>
      </c>
      <c r="AP185" s="76" t="b">
        <v>0</v>
      </c>
      <c r="AQ185" s="81" t="s">
        <v>1600</v>
      </c>
      <c r="AR185" s="76" t="s">
        <v>219</v>
      </c>
      <c r="AS185" s="76">
        <v>0</v>
      </c>
      <c r="AT185" s="76">
        <v>0</v>
      </c>
      <c r="AU185" s="76"/>
      <c r="AV185" s="76"/>
      <c r="AW185" s="76"/>
      <c r="AX185" s="76"/>
      <c r="AY185" s="76"/>
      <c r="AZ185" s="76"/>
      <c r="BA185" s="76"/>
      <c r="BB185" s="76"/>
      <c r="BC185">
        <v>1</v>
      </c>
      <c r="BD185" s="75" t="str">
        <f>REPLACE(INDEX(GroupVertices[Group],MATCH(Edges[[#This Row],[Vertex 1]],GroupVertices[Vertex],0)),1,1,"")</f>
        <v>35</v>
      </c>
      <c r="BE185" s="75" t="str">
        <f>REPLACE(INDEX(GroupVertices[Group],MATCH(Edges[[#This Row],[Vertex 2]],GroupVertices[Vertex],0)),1,1,"")</f>
        <v>35</v>
      </c>
      <c r="BF185" s="45"/>
      <c r="BG185" s="46"/>
      <c r="BH185" s="45"/>
      <c r="BI185" s="46"/>
      <c r="BJ185" s="45"/>
      <c r="BK185" s="46"/>
      <c r="BL185" s="45"/>
      <c r="BM185" s="46"/>
      <c r="BN185" s="45"/>
    </row>
    <row r="186" spans="1:66" ht="15">
      <c r="A186" s="61" t="s">
        <v>352</v>
      </c>
      <c r="B186" s="61" t="s">
        <v>504</v>
      </c>
      <c r="C186" s="62" t="s">
        <v>4688</v>
      </c>
      <c r="D186" s="63">
        <v>5</v>
      </c>
      <c r="E186" s="62"/>
      <c r="F186" s="65">
        <v>50</v>
      </c>
      <c r="G186" s="62"/>
      <c r="H186" s="66"/>
      <c r="I186" s="67"/>
      <c r="J186" s="67"/>
      <c r="K186" s="31" t="s">
        <v>65</v>
      </c>
      <c r="L186" s="68">
        <v>186</v>
      </c>
      <c r="M186" s="68"/>
      <c r="N186" s="69"/>
      <c r="O186" s="76" t="s">
        <v>587</v>
      </c>
      <c r="P186" s="78">
        <v>44816.3353587963</v>
      </c>
      <c r="Q186" s="76" t="s">
        <v>664</v>
      </c>
      <c r="R186" s="76"/>
      <c r="S186" s="76"/>
      <c r="T186" s="81" t="s">
        <v>795</v>
      </c>
      <c r="U186" s="76"/>
      <c r="V186" s="79" t="str">
        <f>HYPERLINK("https://pbs.twimg.com/profile_images/1413157286462181378/gUP4dkZt_normal.jpg")</f>
        <v>https://pbs.twimg.com/profile_images/1413157286462181378/gUP4dkZt_normal.jpg</v>
      </c>
      <c r="W186" s="78">
        <v>44816.3353587963</v>
      </c>
      <c r="X186" s="84">
        <v>44816</v>
      </c>
      <c r="Y186" s="81" t="s">
        <v>1016</v>
      </c>
      <c r="Z186" s="79" t="str">
        <f>HYPERLINK("https://twitter.com/khairulazzwa1/status/1569235093591564288")</f>
        <v>https://twitter.com/khairulazzwa1/status/1569235093591564288</v>
      </c>
      <c r="AA186" s="76"/>
      <c r="AB186" s="76"/>
      <c r="AC186" s="81" t="s">
        <v>1347</v>
      </c>
      <c r="AD186" s="81" t="s">
        <v>1600</v>
      </c>
      <c r="AE186" s="76" t="b">
        <v>0</v>
      </c>
      <c r="AF186" s="76">
        <v>0</v>
      </c>
      <c r="AG186" s="81" t="s">
        <v>1710</v>
      </c>
      <c r="AH186" s="76" t="b">
        <v>0</v>
      </c>
      <c r="AI186" s="76" t="s">
        <v>1773</v>
      </c>
      <c r="AJ186" s="76"/>
      <c r="AK186" s="81" t="s">
        <v>1674</v>
      </c>
      <c r="AL186" s="76" t="b">
        <v>0</v>
      </c>
      <c r="AM186" s="76">
        <v>0</v>
      </c>
      <c r="AN186" s="81" t="s">
        <v>1674</v>
      </c>
      <c r="AO186" s="81" t="s">
        <v>1807</v>
      </c>
      <c r="AP186" s="76" t="b">
        <v>0</v>
      </c>
      <c r="AQ186" s="81" t="s">
        <v>1600</v>
      </c>
      <c r="AR186" s="76" t="s">
        <v>219</v>
      </c>
      <c r="AS186" s="76">
        <v>0</v>
      </c>
      <c r="AT186" s="76">
        <v>0</v>
      </c>
      <c r="AU186" s="76"/>
      <c r="AV186" s="76"/>
      <c r="AW186" s="76"/>
      <c r="AX186" s="76"/>
      <c r="AY186" s="76"/>
      <c r="AZ186" s="76"/>
      <c r="BA186" s="76"/>
      <c r="BB186" s="76"/>
      <c r="BC186">
        <v>1</v>
      </c>
      <c r="BD186" s="75" t="str">
        <f>REPLACE(INDEX(GroupVertices[Group],MATCH(Edges[[#This Row],[Vertex 1]],GroupVertices[Vertex],0)),1,1,"")</f>
        <v>35</v>
      </c>
      <c r="BE186" s="75" t="str">
        <f>REPLACE(INDEX(GroupVertices[Group],MATCH(Edges[[#This Row],[Vertex 2]],GroupVertices[Vertex],0)),1,1,"")</f>
        <v>35</v>
      </c>
      <c r="BF186" s="45">
        <v>0</v>
      </c>
      <c r="BG186" s="46">
        <v>0</v>
      </c>
      <c r="BH186" s="45">
        <v>0</v>
      </c>
      <c r="BI186" s="46">
        <v>0</v>
      </c>
      <c r="BJ186" s="45">
        <v>0</v>
      </c>
      <c r="BK186" s="46">
        <v>0</v>
      </c>
      <c r="BL186" s="45">
        <v>3</v>
      </c>
      <c r="BM186" s="46">
        <v>100</v>
      </c>
      <c r="BN186" s="45">
        <v>3</v>
      </c>
    </row>
    <row r="187" spans="1:66" ht="15">
      <c r="A187" s="61" t="s">
        <v>353</v>
      </c>
      <c r="B187" s="61" t="s">
        <v>355</v>
      </c>
      <c r="C187" s="62" t="s">
        <v>4688</v>
      </c>
      <c r="D187" s="63">
        <v>5</v>
      </c>
      <c r="E187" s="62"/>
      <c r="F187" s="65">
        <v>50</v>
      </c>
      <c r="G187" s="62"/>
      <c r="H187" s="66"/>
      <c r="I187" s="67"/>
      <c r="J187" s="67"/>
      <c r="K187" s="31" t="s">
        <v>65</v>
      </c>
      <c r="L187" s="68">
        <v>187</v>
      </c>
      <c r="M187" s="68"/>
      <c r="N187" s="69"/>
      <c r="O187" s="76" t="s">
        <v>586</v>
      </c>
      <c r="P187" s="78">
        <v>44816.34731481481</v>
      </c>
      <c r="Q187" s="76" t="s">
        <v>665</v>
      </c>
      <c r="R187" s="76"/>
      <c r="S187" s="76"/>
      <c r="T187" s="81" t="s">
        <v>830</v>
      </c>
      <c r="U187" s="79" t="str">
        <f>HYPERLINK("https://pbs.twimg.com/media/FccOqeBX0AUNXZY.jpg")</f>
        <v>https://pbs.twimg.com/media/FccOqeBX0AUNXZY.jpg</v>
      </c>
      <c r="V187" s="79" t="str">
        <f>HYPERLINK("https://pbs.twimg.com/media/FccOqeBX0AUNXZY.jpg")</f>
        <v>https://pbs.twimg.com/media/FccOqeBX0AUNXZY.jpg</v>
      </c>
      <c r="W187" s="78">
        <v>44816.34731481481</v>
      </c>
      <c r="X187" s="84">
        <v>44816</v>
      </c>
      <c r="Y187" s="81" t="s">
        <v>1017</v>
      </c>
      <c r="Z187" s="79" t="str">
        <f>HYPERLINK("https://twitter.com/luckystrike2030/status/1569239425128841216")</f>
        <v>https://twitter.com/luckystrike2030/status/1569239425128841216</v>
      </c>
      <c r="AA187" s="76"/>
      <c r="AB187" s="76"/>
      <c r="AC187" s="81" t="s">
        <v>1348</v>
      </c>
      <c r="AD187" s="76"/>
      <c r="AE187" s="76" t="b">
        <v>0</v>
      </c>
      <c r="AF187" s="76">
        <v>0</v>
      </c>
      <c r="AG187" s="81" t="s">
        <v>1674</v>
      </c>
      <c r="AH187" s="76" t="b">
        <v>0</v>
      </c>
      <c r="AI187" s="76" t="s">
        <v>1776</v>
      </c>
      <c r="AJ187" s="76"/>
      <c r="AK187" s="81" t="s">
        <v>1674</v>
      </c>
      <c r="AL187" s="76" t="b">
        <v>0</v>
      </c>
      <c r="AM187" s="76">
        <v>3</v>
      </c>
      <c r="AN187" s="81" t="s">
        <v>1351</v>
      </c>
      <c r="AO187" s="81" t="s">
        <v>1807</v>
      </c>
      <c r="AP187" s="76" t="b">
        <v>0</v>
      </c>
      <c r="AQ187" s="81" t="s">
        <v>1351</v>
      </c>
      <c r="AR187" s="76" t="s">
        <v>219</v>
      </c>
      <c r="AS187" s="76">
        <v>0</v>
      </c>
      <c r="AT187" s="76">
        <v>0</v>
      </c>
      <c r="AU187" s="76"/>
      <c r="AV187" s="76"/>
      <c r="AW187" s="76"/>
      <c r="AX187" s="76"/>
      <c r="AY187" s="76"/>
      <c r="AZ187" s="76"/>
      <c r="BA187" s="76"/>
      <c r="BB187" s="76"/>
      <c r="BC187">
        <v>1</v>
      </c>
      <c r="BD187" s="75" t="str">
        <f>REPLACE(INDEX(GroupVertices[Group],MATCH(Edges[[#This Row],[Vertex 1]],GroupVertices[Vertex],0)),1,1,"")</f>
        <v>27</v>
      </c>
      <c r="BE187" s="75" t="str">
        <f>REPLACE(INDEX(GroupVertices[Group],MATCH(Edges[[#This Row],[Vertex 2]],GroupVertices[Vertex],0)),1,1,"")</f>
        <v>27</v>
      </c>
      <c r="BF187" s="45">
        <v>0</v>
      </c>
      <c r="BG187" s="46">
        <v>0</v>
      </c>
      <c r="BH187" s="45">
        <v>0</v>
      </c>
      <c r="BI187" s="46">
        <v>0</v>
      </c>
      <c r="BJ187" s="45">
        <v>0</v>
      </c>
      <c r="BK187" s="46">
        <v>0</v>
      </c>
      <c r="BL187" s="45">
        <v>24</v>
      </c>
      <c r="BM187" s="46">
        <v>100</v>
      </c>
      <c r="BN187" s="45">
        <v>24</v>
      </c>
    </row>
    <row r="188" spans="1:66" ht="15">
      <c r="A188" s="61" t="s">
        <v>354</v>
      </c>
      <c r="B188" s="61" t="s">
        <v>355</v>
      </c>
      <c r="C188" s="62" t="s">
        <v>4688</v>
      </c>
      <c r="D188" s="63">
        <v>5</v>
      </c>
      <c r="E188" s="62"/>
      <c r="F188" s="65">
        <v>50</v>
      </c>
      <c r="G188" s="62"/>
      <c r="H188" s="66"/>
      <c r="I188" s="67"/>
      <c r="J188" s="67"/>
      <c r="K188" s="31" t="s">
        <v>65</v>
      </c>
      <c r="L188" s="68">
        <v>188</v>
      </c>
      <c r="M188" s="68"/>
      <c r="N188" s="69"/>
      <c r="O188" s="76" t="s">
        <v>586</v>
      </c>
      <c r="P188" s="78">
        <v>44816.42731481481</v>
      </c>
      <c r="Q188" s="76" t="s">
        <v>665</v>
      </c>
      <c r="R188" s="76"/>
      <c r="S188" s="76"/>
      <c r="T188" s="81" t="s">
        <v>830</v>
      </c>
      <c r="U188" s="79" t="str">
        <f>HYPERLINK("https://pbs.twimg.com/media/FccOqeBX0AUNXZY.jpg")</f>
        <v>https://pbs.twimg.com/media/FccOqeBX0AUNXZY.jpg</v>
      </c>
      <c r="V188" s="79" t="str">
        <f>HYPERLINK("https://pbs.twimg.com/media/FccOqeBX0AUNXZY.jpg")</f>
        <v>https://pbs.twimg.com/media/FccOqeBX0AUNXZY.jpg</v>
      </c>
      <c r="W188" s="78">
        <v>44816.42731481481</v>
      </c>
      <c r="X188" s="84">
        <v>44816</v>
      </c>
      <c r="Y188" s="81" t="s">
        <v>1018</v>
      </c>
      <c r="Z188" s="79" t="str">
        <f>HYPERLINK("https://twitter.com/giovannicalcara/status/1569268417319911424")</f>
        <v>https://twitter.com/giovannicalcara/status/1569268417319911424</v>
      </c>
      <c r="AA188" s="76"/>
      <c r="AB188" s="76"/>
      <c r="AC188" s="81" t="s">
        <v>1349</v>
      </c>
      <c r="AD188" s="76"/>
      <c r="AE188" s="76" t="b">
        <v>0</v>
      </c>
      <c r="AF188" s="76">
        <v>0</v>
      </c>
      <c r="AG188" s="81" t="s">
        <v>1674</v>
      </c>
      <c r="AH188" s="76" t="b">
        <v>0</v>
      </c>
      <c r="AI188" s="76" t="s">
        <v>1776</v>
      </c>
      <c r="AJ188" s="76"/>
      <c r="AK188" s="81" t="s">
        <v>1674</v>
      </c>
      <c r="AL188" s="76" t="b">
        <v>0</v>
      </c>
      <c r="AM188" s="76">
        <v>3</v>
      </c>
      <c r="AN188" s="81" t="s">
        <v>1351</v>
      </c>
      <c r="AO188" s="81" t="s">
        <v>1809</v>
      </c>
      <c r="AP188" s="76" t="b">
        <v>0</v>
      </c>
      <c r="AQ188" s="81" t="s">
        <v>1351</v>
      </c>
      <c r="AR188" s="76" t="s">
        <v>219</v>
      </c>
      <c r="AS188" s="76">
        <v>0</v>
      </c>
      <c r="AT188" s="76">
        <v>0</v>
      </c>
      <c r="AU188" s="76"/>
      <c r="AV188" s="76"/>
      <c r="AW188" s="76"/>
      <c r="AX188" s="76"/>
      <c r="AY188" s="76"/>
      <c r="AZ188" s="76"/>
      <c r="BA188" s="76"/>
      <c r="BB188" s="76"/>
      <c r="BC188">
        <v>1</v>
      </c>
      <c r="BD188" s="75" t="str">
        <f>REPLACE(INDEX(GroupVertices[Group],MATCH(Edges[[#This Row],[Vertex 1]],GroupVertices[Vertex],0)),1,1,"")</f>
        <v>27</v>
      </c>
      <c r="BE188" s="75" t="str">
        <f>REPLACE(INDEX(GroupVertices[Group],MATCH(Edges[[#This Row],[Vertex 2]],GroupVertices[Vertex],0)),1,1,"")</f>
        <v>27</v>
      </c>
      <c r="BF188" s="45">
        <v>0</v>
      </c>
      <c r="BG188" s="46">
        <v>0</v>
      </c>
      <c r="BH188" s="45">
        <v>0</v>
      </c>
      <c r="BI188" s="46">
        <v>0</v>
      </c>
      <c r="BJ188" s="45">
        <v>0</v>
      </c>
      <c r="BK188" s="46">
        <v>0</v>
      </c>
      <c r="BL188" s="45">
        <v>24</v>
      </c>
      <c r="BM188" s="46">
        <v>100</v>
      </c>
      <c r="BN188" s="45">
        <v>24</v>
      </c>
    </row>
    <row r="189" spans="1:66" ht="15">
      <c r="A189" s="61" t="s">
        <v>355</v>
      </c>
      <c r="B189" s="61" t="s">
        <v>355</v>
      </c>
      <c r="C189" s="62" t="s">
        <v>4689</v>
      </c>
      <c r="D189" s="63">
        <v>5.416666666666667</v>
      </c>
      <c r="E189" s="62"/>
      <c r="F189" s="65">
        <v>47.083333333333336</v>
      </c>
      <c r="G189" s="62"/>
      <c r="H189" s="66"/>
      <c r="I189" s="67"/>
      <c r="J189" s="67"/>
      <c r="K189" s="31" t="s">
        <v>65</v>
      </c>
      <c r="L189" s="68">
        <v>189</v>
      </c>
      <c r="M189" s="68"/>
      <c r="N189" s="69"/>
      <c r="O189" s="76" t="s">
        <v>219</v>
      </c>
      <c r="P189" s="78">
        <v>44812.336550925924</v>
      </c>
      <c r="Q189" s="76" t="s">
        <v>666</v>
      </c>
      <c r="R189" s="79" t="str">
        <f>HYPERLINK("https://twitter.com/Cambiacasacca/status/1567434742311567360")</f>
        <v>https://twitter.com/Cambiacasacca/status/1567434742311567360</v>
      </c>
      <c r="S189" s="76" t="s">
        <v>783</v>
      </c>
      <c r="T189" s="81" t="s">
        <v>831</v>
      </c>
      <c r="U189" s="76"/>
      <c r="V189" s="79" t="str">
        <f>HYPERLINK("https://pbs.twimg.com/profile_images/1502033880651554816/3-5eV5Eu_normal.jpg")</f>
        <v>https://pbs.twimg.com/profile_images/1502033880651554816/3-5eV5Eu_normal.jpg</v>
      </c>
      <c r="W189" s="78">
        <v>44812.336550925924</v>
      </c>
      <c r="X189" s="84">
        <v>44812</v>
      </c>
      <c r="Y189" s="81" t="s">
        <v>1019</v>
      </c>
      <c r="Z189" s="79" t="str">
        <f>HYPERLINK("https://twitter.com/palmenco08/status/1567785970434539520")</f>
        <v>https://twitter.com/palmenco08/status/1567785970434539520</v>
      </c>
      <c r="AA189" s="76"/>
      <c r="AB189" s="76"/>
      <c r="AC189" s="81" t="s">
        <v>1350</v>
      </c>
      <c r="AD189" s="76"/>
      <c r="AE189" s="76" t="b">
        <v>0</v>
      </c>
      <c r="AF189" s="76">
        <v>1</v>
      </c>
      <c r="AG189" s="81" t="s">
        <v>1674</v>
      </c>
      <c r="AH189" s="76" t="b">
        <v>1</v>
      </c>
      <c r="AI189" s="76" t="s">
        <v>1776</v>
      </c>
      <c r="AJ189" s="76"/>
      <c r="AK189" s="81" t="s">
        <v>1795</v>
      </c>
      <c r="AL189" s="76" t="b">
        <v>0</v>
      </c>
      <c r="AM189" s="76">
        <v>0</v>
      </c>
      <c r="AN189" s="81" t="s">
        <v>1674</v>
      </c>
      <c r="AO189" s="81" t="s">
        <v>1807</v>
      </c>
      <c r="AP189" s="76" t="b">
        <v>0</v>
      </c>
      <c r="AQ189" s="81" t="s">
        <v>1350</v>
      </c>
      <c r="AR189" s="76" t="s">
        <v>219</v>
      </c>
      <c r="AS189" s="76">
        <v>0</v>
      </c>
      <c r="AT189" s="76">
        <v>0</v>
      </c>
      <c r="AU189" s="76"/>
      <c r="AV189" s="76"/>
      <c r="AW189" s="76"/>
      <c r="AX189" s="76"/>
      <c r="AY189" s="76"/>
      <c r="AZ189" s="76"/>
      <c r="BA189" s="76"/>
      <c r="BB189" s="76"/>
      <c r="BC189">
        <v>2</v>
      </c>
      <c r="BD189" s="75" t="str">
        <f>REPLACE(INDEX(GroupVertices[Group],MATCH(Edges[[#This Row],[Vertex 1]],GroupVertices[Vertex],0)),1,1,"")</f>
        <v>27</v>
      </c>
      <c r="BE189" s="75" t="str">
        <f>REPLACE(INDEX(GroupVertices[Group],MATCH(Edges[[#This Row],[Vertex 2]],GroupVertices[Vertex],0)),1,1,"")</f>
        <v>27</v>
      </c>
      <c r="BF189" s="45">
        <v>0</v>
      </c>
      <c r="BG189" s="46">
        <v>0</v>
      </c>
      <c r="BH189" s="45">
        <v>0</v>
      </c>
      <c r="BI189" s="46">
        <v>0</v>
      </c>
      <c r="BJ189" s="45">
        <v>0</v>
      </c>
      <c r="BK189" s="46">
        <v>0</v>
      </c>
      <c r="BL189" s="45">
        <v>7</v>
      </c>
      <c r="BM189" s="46">
        <v>100</v>
      </c>
      <c r="BN189" s="45">
        <v>7</v>
      </c>
    </row>
    <row r="190" spans="1:66" ht="15">
      <c r="A190" s="61" t="s">
        <v>355</v>
      </c>
      <c r="B190" s="61" t="s">
        <v>355</v>
      </c>
      <c r="C190" s="62" t="s">
        <v>4689</v>
      </c>
      <c r="D190" s="63">
        <v>5.416666666666667</v>
      </c>
      <c r="E190" s="62"/>
      <c r="F190" s="65">
        <v>47.083333333333336</v>
      </c>
      <c r="G190" s="62"/>
      <c r="H190" s="66"/>
      <c r="I190" s="67"/>
      <c r="J190" s="67"/>
      <c r="K190" s="31" t="s">
        <v>65</v>
      </c>
      <c r="L190" s="68">
        <v>190</v>
      </c>
      <c r="M190" s="68"/>
      <c r="N190" s="69"/>
      <c r="O190" s="76" t="s">
        <v>219</v>
      </c>
      <c r="P190" s="78">
        <v>44816.34648148148</v>
      </c>
      <c r="Q190" s="76" t="s">
        <v>665</v>
      </c>
      <c r="R190" s="76"/>
      <c r="S190" s="76"/>
      <c r="T190" s="81" t="s">
        <v>830</v>
      </c>
      <c r="U190" s="79" t="str">
        <f>HYPERLINK("https://pbs.twimg.com/media/FccOqeBX0AUNXZY.jpg")</f>
        <v>https://pbs.twimg.com/media/FccOqeBX0AUNXZY.jpg</v>
      </c>
      <c r="V190" s="79" t="str">
        <f>HYPERLINK("https://pbs.twimg.com/media/FccOqeBX0AUNXZY.jpg")</f>
        <v>https://pbs.twimg.com/media/FccOqeBX0AUNXZY.jpg</v>
      </c>
      <c r="W190" s="78">
        <v>44816.34648148148</v>
      </c>
      <c r="X190" s="84">
        <v>44816</v>
      </c>
      <c r="Y190" s="81" t="s">
        <v>1020</v>
      </c>
      <c r="Z190" s="79" t="str">
        <f>HYPERLINK("https://twitter.com/palmenco08/status/1569239123247906817")</f>
        <v>https://twitter.com/palmenco08/status/1569239123247906817</v>
      </c>
      <c r="AA190" s="76"/>
      <c r="AB190" s="76"/>
      <c r="AC190" s="81" t="s">
        <v>1351</v>
      </c>
      <c r="AD190" s="76"/>
      <c r="AE190" s="76" t="b">
        <v>0</v>
      </c>
      <c r="AF190" s="76">
        <v>11</v>
      </c>
      <c r="AG190" s="81" t="s">
        <v>1674</v>
      </c>
      <c r="AH190" s="76" t="b">
        <v>0</v>
      </c>
      <c r="AI190" s="76" t="s">
        <v>1776</v>
      </c>
      <c r="AJ190" s="76"/>
      <c r="AK190" s="81" t="s">
        <v>1674</v>
      </c>
      <c r="AL190" s="76" t="b">
        <v>0</v>
      </c>
      <c r="AM190" s="76">
        <v>3</v>
      </c>
      <c r="AN190" s="81" t="s">
        <v>1674</v>
      </c>
      <c r="AO190" s="81" t="s">
        <v>1807</v>
      </c>
      <c r="AP190" s="76" t="b">
        <v>0</v>
      </c>
      <c r="AQ190" s="81" t="s">
        <v>1351</v>
      </c>
      <c r="AR190" s="76" t="s">
        <v>219</v>
      </c>
      <c r="AS190" s="76">
        <v>0</v>
      </c>
      <c r="AT190" s="76">
        <v>0</v>
      </c>
      <c r="AU190" s="76"/>
      <c r="AV190" s="76"/>
      <c r="AW190" s="76"/>
      <c r="AX190" s="76"/>
      <c r="AY190" s="76"/>
      <c r="AZ190" s="76"/>
      <c r="BA190" s="76"/>
      <c r="BB190" s="76"/>
      <c r="BC190">
        <v>2</v>
      </c>
      <c r="BD190" s="75" t="str">
        <f>REPLACE(INDEX(GroupVertices[Group],MATCH(Edges[[#This Row],[Vertex 1]],GroupVertices[Vertex],0)),1,1,"")</f>
        <v>27</v>
      </c>
      <c r="BE190" s="75" t="str">
        <f>REPLACE(INDEX(GroupVertices[Group],MATCH(Edges[[#This Row],[Vertex 2]],GroupVertices[Vertex],0)),1,1,"")</f>
        <v>27</v>
      </c>
      <c r="BF190" s="45">
        <v>0</v>
      </c>
      <c r="BG190" s="46">
        <v>0</v>
      </c>
      <c r="BH190" s="45">
        <v>0</v>
      </c>
      <c r="BI190" s="46">
        <v>0</v>
      </c>
      <c r="BJ190" s="45">
        <v>0</v>
      </c>
      <c r="BK190" s="46">
        <v>0</v>
      </c>
      <c r="BL190" s="45">
        <v>24</v>
      </c>
      <c r="BM190" s="46">
        <v>100</v>
      </c>
      <c r="BN190" s="45">
        <v>24</v>
      </c>
    </row>
    <row r="191" spans="1:66" ht="15">
      <c r="A191" s="61" t="s">
        <v>356</v>
      </c>
      <c r="B191" s="61" t="s">
        <v>355</v>
      </c>
      <c r="C191" s="62" t="s">
        <v>4688</v>
      </c>
      <c r="D191" s="63">
        <v>5</v>
      </c>
      <c r="E191" s="62"/>
      <c r="F191" s="65">
        <v>50</v>
      </c>
      <c r="G191" s="62"/>
      <c r="H191" s="66"/>
      <c r="I191" s="67"/>
      <c r="J191" s="67"/>
      <c r="K191" s="31" t="s">
        <v>65</v>
      </c>
      <c r="L191" s="68">
        <v>191</v>
      </c>
      <c r="M191" s="68"/>
      <c r="N191" s="69"/>
      <c r="O191" s="76" t="s">
        <v>586</v>
      </c>
      <c r="P191" s="78">
        <v>44816.43203703704</v>
      </c>
      <c r="Q191" s="76" t="s">
        <v>665</v>
      </c>
      <c r="R191" s="76"/>
      <c r="S191" s="76"/>
      <c r="T191" s="81" t="s">
        <v>830</v>
      </c>
      <c r="U191" s="79" t="str">
        <f>HYPERLINK("https://pbs.twimg.com/media/FccOqeBX0AUNXZY.jpg")</f>
        <v>https://pbs.twimg.com/media/FccOqeBX0AUNXZY.jpg</v>
      </c>
      <c r="V191" s="79" t="str">
        <f>HYPERLINK("https://pbs.twimg.com/media/FccOqeBX0AUNXZY.jpg")</f>
        <v>https://pbs.twimg.com/media/FccOqeBX0AUNXZY.jpg</v>
      </c>
      <c r="W191" s="78">
        <v>44816.43203703704</v>
      </c>
      <c r="X191" s="84">
        <v>44816</v>
      </c>
      <c r="Y191" s="81" t="s">
        <v>1021</v>
      </c>
      <c r="Z191" s="79" t="str">
        <f>HYPERLINK("https://twitter.com/robymark1/status/1569270126905823233")</f>
        <v>https://twitter.com/robymark1/status/1569270126905823233</v>
      </c>
      <c r="AA191" s="76"/>
      <c r="AB191" s="76"/>
      <c r="AC191" s="81" t="s">
        <v>1352</v>
      </c>
      <c r="AD191" s="76"/>
      <c r="AE191" s="76" t="b">
        <v>0</v>
      </c>
      <c r="AF191" s="76">
        <v>0</v>
      </c>
      <c r="AG191" s="81" t="s">
        <v>1674</v>
      </c>
      <c r="AH191" s="76" t="b">
        <v>0</v>
      </c>
      <c r="AI191" s="76" t="s">
        <v>1776</v>
      </c>
      <c r="AJ191" s="76"/>
      <c r="AK191" s="81" t="s">
        <v>1674</v>
      </c>
      <c r="AL191" s="76" t="b">
        <v>0</v>
      </c>
      <c r="AM191" s="76">
        <v>3</v>
      </c>
      <c r="AN191" s="81" t="s">
        <v>1351</v>
      </c>
      <c r="AO191" s="81" t="s">
        <v>1807</v>
      </c>
      <c r="AP191" s="76" t="b">
        <v>0</v>
      </c>
      <c r="AQ191" s="81" t="s">
        <v>1351</v>
      </c>
      <c r="AR191" s="76" t="s">
        <v>219</v>
      </c>
      <c r="AS191" s="76">
        <v>0</v>
      </c>
      <c r="AT191" s="76">
        <v>0</v>
      </c>
      <c r="AU191" s="76"/>
      <c r="AV191" s="76"/>
      <c r="AW191" s="76"/>
      <c r="AX191" s="76"/>
      <c r="AY191" s="76"/>
      <c r="AZ191" s="76"/>
      <c r="BA191" s="76"/>
      <c r="BB191" s="76"/>
      <c r="BC191">
        <v>1</v>
      </c>
      <c r="BD191" s="75" t="str">
        <f>REPLACE(INDEX(GroupVertices[Group],MATCH(Edges[[#This Row],[Vertex 1]],GroupVertices[Vertex],0)),1,1,"")</f>
        <v>27</v>
      </c>
      <c r="BE191" s="75" t="str">
        <f>REPLACE(INDEX(GroupVertices[Group],MATCH(Edges[[#This Row],[Vertex 2]],GroupVertices[Vertex],0)),1,1,"")</f>
        <v>27</v>
      </c>
      <c r="BF191" s="45">
        <v>0</v>
      </c>
      <c r="BG191" s="46">
        <v>0</v>
      </c>
      <c r="BH191" s="45">
        <v>0</v>
      </c>
      <c r="BI191" s="46">
        <v>0</v>
      </c>
      <c r="BJ191" s="45">
        <v>0</v>
      </c>
      <c r="BK191" s="46">
        <v>0</v>
      </c>
      <c r="BL191" s="45">
        <v>24</v>
      </c>
      <c r="BM191" s="46">
        <v>100</v>
      </c>
      <c r="BN191" s="45">
        <v>24</v>
      </c>
    </row>
    <row r="192" spans="1:66" ht="15">
      <c r="A192" s="61" t="s">
        <v>357</v>
      </c>
      <c r="B192" s="61" t="s">
        <v>505</v>
      </c>
      <c r="C192" s="62" t="s">
        <v>4688</v>
      </c>
      <c r="D192" s="63">
        <v>5</v>
      </c>
      <c r="E192" s="62"/>
      <c r="F192" s="65">
        <v>50</v>
      </c>
      <c r="G192" s="62"/>
      <c r="H192" s="66"/>
      <c r="I192" s="67"/>
      <c r="J192" s="67"/>
      <c r="K192" s="31" t="s">
        <v>65</v>
      </c>
      <c r="L192" s="68">
        <v>192</v>
      </c>
      <c r="M192" s="68"/>
      <c r="N192" s="69"/>
      <c r="O192" s="76" t="s">
        <v>587</v>
      </c>
      <c r="P192" s="78">
        <v>44812.41212962963</v>
      </c>
      <c r="Q192" s="76" t="s">
        <v>667</v>
      </c>
      <c r="R192" s="76"/>
      <c r="S192" s="76"/>
      <c r="T192" s="81" t="s">
        <v>832</v>
      </c>
      <c r="U192" s="76"/>
      <c r="V192" s="79" t="str">
        <f>HYPERLINK("https://pbs.twimg.com/profile_images/1382752853865955330/I3PvsxEp_normal.jpg")</f>
        <v>https://pbs.twimg.com/profile_images/1382752853865955330/I3PvsxEp_normal.jpg</v>
      </c>
      <c r="W192" s="78">
        <v>44812.41212962963</v>
      </c>
      <c r="X192" s="84">
        <v>44812</v>
      </c>
      <c r="Y192" s="81" t="s">
        <v>1022</v>
      </c>
      <c r="Z192" s="79" t="str">
        <f>HYPERLINK("https://twitter.com/mark_dive/status/1567813361038942208")</f>
        <v>https://twitter.com/mark_dive/status/1567813361038942208</v>
      </c>
      <c r="AA192" s="76"/>
      <c r="AB192" s="76"/>
      <c r="AC192" s="81" t="s">
        <v>1353</v>
      </c>
      <c r="AD192" s="81" t="s">
        <v>1601</v>
      </c>
      <c r="AE192" s="76" t="b">
        <v>0</v>
      </c>
      <c r="AF192" s="76">
        <v>0</v>
      </c>
      <c r="AG192" s="81" t="s">
        <v>1711</v>
      </c>
      <c r="AH192" s="76" t="b">
        <v>0</v>
      </c>
      <c r="AI192" s="76" t="s">
        <v>1780</v>
      </c>
      <c r="AJ192" s="76"/>
      <c r="AK192" s="81" t="s">
        <v>1674</v>
      </c>
      <c r="AL192" s="76" t="b">
        <v>0</v>
      </c>
      <c r="AM192" s="76">
        <v>0</v>
      </c>
      <c r="AN192" s="81" t="s">
        <v>1674</v>
      </c>
      <c r="AO192" s="81" t="s">
        <v>1808</v>
      </c>
      <c r="AP192" s="76" t="b">
        <v>0</v>
      </c>
      <c r="AQ192" s="81" t="s">
        <v>1601</v>
      </c>
      <c r="AR192" s="76" t="s">
        <v>219</v>
      </c>
      <c r="AS192" s="76">
        <v>0</v>
      </c>
      <c r="AT192" s="76">
        <v>0</v>
      </c>
      <c r="AU192" s="76"/>
      <c r="AV192" s="76"/>
      <c r="AW192" s="76"/>
      <c r="AX192" s="76"/>
      <c r="AY192" s="76"/>
      <c r="AZ192" s="76"/>
      <c r="BA192" s="76"/>
      <c r="BB192" s="76"/>
      <c r="BC192">
        <v>1</v>
      </c>
      <c r="BD192" s="75" t="str">
        <f>REPLACE(INDEX(GroupVertices[Group],MATCH(Edges[[#This Row],[Vertex 1]],GroupVertices[Vertex],0)),1,1,"")</f>
        <v>12</v>
      </c>
      <c r="BE192" s="75" t="str">
        <f>REPLACE(INDEX(GroupVertices[Group],MATCH(Edges[[#This Row],[Vertex 2]],GroupVertices[Vertex],0)),1,1,"")</f>
        <v>12</v>
      </c>
      <c r="BF192" s="45">
        <v>0</v>
      </c>
      <c r="BG192" s="46">
        <v>0</v>
      </c>
      <c r="BH192" s="45">
        <v>0</v>
      </c>
      <c r="BI192" s="46">
        <v>0</v>
      </c>
      <c r="BJ192" s="45">
        <v>0</v>
      </c>
      <c r="BK192" s="46">
        <v>0</v>
      </c>
      <c r="BL192" s="45">
        <v>14</v>
      </c>
      <c r="BM192" s="46">
        <v>100</v>
      </c>
      <c r="BN192" s="45">
        <v>14</v>
      </c>
    </row>
    <row r="193" spans="1:66" ht="15">
      <c r="A193" s="61" t="s">
        <v>357</v>
      </c>
      <c r="B193" s="61" t="s">
        <v>506</v>
      </c>
      <c r="C193" s="62" t="s">
        <v>4688</v>
      </c>
      <c r="D193" s="63">
        <v>5</v>
      </c>
      <c r="E193" s="62"/>
      <c r="F193" s="65">
        <v>50</v>
      </c>
      <c r="G193" s="62"/>
      <c r="H193" s="66"/>
      <c r="I193" s="67"/>
      <c r="J193" s="67"/>
      <c r="K193" s="31" t="s">
        <v>65</v>
      </c>
      <c r="L193" s="68">
        <v>193</v>
      </c>
      <c r="M193" s="68"/>
      <c r="N193" s="69"/>
      <c r="O193" s="76" t="s">
        <v>587</v>
      </c>
      <c r="P193" s="78">
        <v>44813.39240740741</v>
      </c>
      <c r="Q193" s="76" t="s">
        <v>668</v>
      </c>
      <c r="R193" s="76"/>
      <c r="S193" s="76"/>
      <c r="T193" s="81" t="s">
        <v>833</v>
      </c>
      <c r="U193" s="76"/>
      <c r="V193" s="79" t="str">
        <f>HYPERLINK("https://pbs.twimg.com/profile_images/1382752853865955330/I3PvsxEp_normal.jpg")</f>
        <v>https://pbs.twimg.com/profile_images/1382752853865955330/I3PvsxEp_normal.jpg</v>
      </c>
      <c r="W193" s="78">
        <v>44813.39240740741</v>
      </c>
      <c r="X193" s="84">
        <v>44813</v>
      </c>
      <c r="Y193" s="81" t="s">
        <v>1023</v>
      </c>
      <c r="Z193" s="79" t="str">
        <f>HYPERLINK("https://twitter.com/mark_dive/status/1568168601328254976")</f>
        <v>https://twitter.com/mark_dive/status/1568168601328254976</v>
      </c>
      <c r="AA193" s="76"/>
      <c r="AB193" s="76"/>
      <c r="AC193" s="81" t="s">
        <v>1354</v>
      </c>
      <c r="AD193" s="81" t="s">
        <v>1602</v>
      </c>
      <c r="AE193" s="76" t="b">
        <v>0</v>
      </c>
      <c r="AF193" s="76">
        <v>1</v>
      </c>
      <c r="AG193" s="81" t="s">
        <v>1712</v>
      </c>
      <c r="AH193" s="76" t="b">
        <v>0</v>
      </c>
      <c r="AI193" s="76" t="s">
        <v>1776</v>
      </c>
      <c r="AJ193" s="76"/>
      <c r="AK193" s="81" t="s">
        <v>1674</v>
      </c>
      <c r="AL193" s="76" t="b">
        <v>0</v>
      </c>
      <c r="AM193" s="76">
        <v>0</v>
      </c>
      <c r="AN193" s="81" t="s">
        <v>1674</v>
      </c>
      <c r="AO193" s="81" t="s">
        <v>1808</v>
      </c>
      <c r="AP193" s="76" t="b">
        <v>0</v>
      </c>
      <c r="AQ193" s="81" t="s">
        <v>1602</v>
      </c>
      <c r="AR193" s="76" t="s">
        <v>219</v>
      </c>
      <c r="AS193" s="76">
        <v>0</v>
      </c>
      <c r="AT193" s="76">
        <v>0</v>
      </c>
      <c r="AU193" s="76"/>
      <c r="AV193" s="76"/>
      <c r="AW193" s="76"/>
      <c r="AX193" s="76"/>
      <c r="AY193" s="76"/>
      <c r="AZ193" s="76"/>
      <c r="BA193" s="76"/>
      <c r="BB193" s="76"/>
      <c r="BC193">
        <v>1</v>
      </c>
      <c r="BD193" s="75" t="str">
        <f>REPLACE(INDEX(GroupVertices[Group],MATCH(Edges[[#This Row],[Vertex 1]],GroupVertices[Vertex],0)),1,1,"")</f>
        <v>12</v>
      </c>
      <c r="BE193" s="75" t="str">
        <f>REPLACE(INDEX(GroupVertices[Group],MATCH(Edges[[#This Row],[Vertex 2]],GroupVertices[Vertex],0)),1,1,"")</f>
        <v>12</v>
      </c>
      <c r="BF193" s="45">
        <v>0</v>
      </c>
      <c r="BG193" s="46">
        <v>0</v>
      </c>
      <c r="BH193" s="45">
        <v>0</v>
      </c>
      <c r="BI193" s="46">
        <v>0</v>
      </c>
      <c r="BJ193" s="45">
        <v>0</v>
      </c>
      <c r="BK193" s="46">
        <v>0</v>
      </c>
      <c r="BL193" s="45">
        <v>25</v>
      </c>
      <c r="BM193" s="46">
        <v>100</v>
      </c>
      <c r="BN193" s="45">
        <v>25</v>
      </c>
    </row>
    <row r="194" spans="1:66" ht="15">
      <c r="A194" s="61" t="s">
        <v>357</v>
      </c>
      <c r="B194" s="61" t="s">
        <v>507</v>
      </c>
      <c r="C194" s="62" t="s">
        <v>4688</v>
      </c>
      <c r="D194" s="63">
        <v>5</v>
      </c>
      <c r="E194" s="62"/>
      <c r="F194" s="65">
        <v>50</v>
      </c>
      <c r="G194" s="62"/>
      <c r="H194" s="66"/>
      <c r="I194" s="67"/>
      <c r="J194" s="67"/>
      <c r="K194" s="31" t="s">
        <v>65</v>
      </c>
      <c r="L194" s="68">
        <v>194</v>
      </c>
      <c r="M194" s="68"/>
      <c r="N194" s="69"/>
      <c r="O194" s="76" t="s">
        <v>588</v>
      </c>
      <c r="P194" s="78">
        <v>44814.617418981485</v>
      </c>
      <c r="Q194" s="76" t="s">
        <v>669</v>
      </c>
      <c r="R194" s="76"/>
      <c r="S194" s="76"/>
      <c r="T194" s="81" t="s">
        <v>834</v>
      </c>
      <c r="U194" s="76"/>
      <c r="V194" s="79" t="str">
        <f>HYPERLINK("https://pbs.twimg.com/profile_images/1382752853865955330/I3PvsxEp_normal.jpg")</f>
        <v>https://pbs.twimg.com/profile_images/1382752853865955330/I3PvsxEp_normal.jpg</v>
      </c>
      <c r="W194" s="78">
        <v>44814.617418981485</v>
      </c>
      <c r="X194" s="84">
        <v>44814</v>
      </c>
      <c r="Y194" s="81" t="s">
        <v>1024</v>
      </c>
      <c r="Z194" s="79" t="str">
        <f>HYPERLINK("https://twitter.com/mark_dive/status/1568612530452316164")</f>
        <v>https://twitter.com/mark_dive/status/1568612530452316164</v>
      </c>
      <c r="AA194" s="76"/>
      <c r="AB194" s="76"/>
      <c r="AC194" s="81" t="s">
        <v>1355</v>
      </c>
      <c r="AD194" s="81" t="s">
        <v>1603</v>
      </c>
      <c r="AE194" s="76" t="b">
        <v>0</v>
      </c>
      <c r="AF194" s="76">
        <v>0</v>
      </c>
      <c r="AG194" s="81" t="s">
        <v>1713</v>
      </c>
      <c r="AH194" s="76" t="b">
        <v>0</v>
      </c>
      <c r="AI194" s="76" t="s">
        <v>1776</v>
      </c>
      <c r="AJ194" s="76"/>
      <c r="AK194" s="81" t="s">
        <v>1674</v>
      </c>
      <c r="AL194" s="76" t="b">
        <v>0</v>
      </c>
      <c r="AM194" s="76">
        <v>0</v>
      </c>
      <c r="AN194" s="81" t="s">
        <v>1674</v>
      </c>
      <c r="AO194" s="81" t="s">
        <v>1808</v>
      </c>
      <c r="AP194" s="76" t="b">
        <v>0</v>
      </c>
      <c r="AQ194" s="81" t="s">
        <v>1603</v>
      </c>
      <c r="AR194" s="76" t="s">
        <v>219</v>
      </c>
      <c r="AS194" s="76">
        <v>0</v>
      </c>
      <c r="AT194" s="76">
        <v>0</v>
      </c>
      <c r="AU194" s="76"/>
      <c r="AV194" s="76"/>
      <c r="AW194" s="76"/>
      <c r="AX194" s="76"/>
      <c r="AY194" s="76"/>
      <c r="AZ194" s="76"/>
      <c r="BA194" s="76"/>
      <c r="BB194" s="76"/>
      <c r="BC194">
        <v>1</v>
      </c>
      <c r="BD194" s="75" t="str">
        <f>REPLACE(INDEX(GroupVertices[Group],MATCH(Edges[[#This Row],[Vertex 1]],GroupVertices[Vertex],0)),1,1,"")</f>
        <v>12</v>
      </c>
      <c r="BE194" s="75" t="str">
        <f>REPLACE(INDEX(GroupVertices[Group],MATCH(Edges[[#This Row],[Vertex 2]],GroupVertices[Vertex],0)),1,1,"")</f>
        <v>12</v>
      </c>
      <c r="BF194" s="45"/>
      <c r="BG194" s="46"/>
      <c r="BH194" s="45"/>
      <c r="BI194" s="46"/>
      <c r="BJ194" s="45"/>
      <c r="BK194" s="46"/>
      <c r="BL194" s="45"/>
      <c r="BM194" s="46"/>
      <c r="BN194" s="45"/>
    </row>
    <row r="195" spans="1:66" ht="15">
      <c r="A195" s="61" t="s">
        <v>357</v>
      </c>
      <c r="B195" s="61" t="s">
        <v>508</v>
      </c>
      <c r="C195" s="62" t="s">
        <v>4688</v>
      </c>
      <c r="D195" s="63">
        <v>5</v>
      </c>
      <c r="E195" s="62"/>
      <c r="F195" s="65">
        <v>50</v>
      </c>
      <c r="G195" s="62"/>
      <c r="H195" s="66"/>
      <c r="I195" s="67"/>
      <c r="J195" s="67"/>
      <c r="K195" s="31" t="s">
        <v>65</v>
      </c>
      <c r="L195" s="68">
        <v>195</v>
      </c>
      <c r="M195" s="68"/>
      <c r="N195" s="69"/>
      <c r="O195" s="76" t="s">
        <v>587</v>
      </c>
      <c r="P195" s="78">
        <v>44814.617418981485</v>
      </c>
      <c r="Q195" s="76" t="s">
        <v>669</v>
      </c>
      <c r="R195" s="76"/>
      <c r="S195" s="76"/>
      <c r="T195" s="81" t="s">
        <v>834</v>
      </c>
      <c r="U195" s="76"/>
      <c r="V195" s="79" t="str">
        <f>HYPERLINK("https://pbs.twimg.com/profile_images/1382752853865955330/I3PvsxEp_normal.jpg")</f>
        <v>https://pbs.twimg.com/profile_images/1382752853865955330/I3PvsxEp_normal.jpg</v>
      </c>
      <c r="W195" s="78">
        <v>44814.617418981485</v>
      </c>
      <c r="X195" s="84">
        <v>44814</v>
      </c>
      <c r="Y195" s="81" t="s">
        <v>1024</v>
      </c>
      <c r="Z195" s="79" t="str">
        <f>HYPERLINK("https://twitter.com/mark_dive/status/1568612530452316164")</f>
        <v>https://twitter.com/mark_dive/status/1568612530452316164</v>
      </c>
      <c r="AA195" s="76"/>
      <c r="AB195" s="76"/>
      <c r="AC195" s="81" t="s">
        <v>1355</v>
      </c>
      <c r="AD195" s="81" t="s">
        <v>1603</v>
      </c>
      <c r="AE195" s="76" t="b">
        <v>0</v>
      </c>
      <c r="AF195" s="76">
        <v>0</v>
      </c>
      <c r="AG195" s="81" t="s">
        <v>1713</v>
      </c>
      <c r="AH195" s="76" t="b">
        <v>0</v>
      </c>
      <c r="AI195" s="76" t="s">
        <v>1776</v>
      </c>
      <c r="AJ195" s="76"/>
      <c r="AK195" s="81" t="s">
        <v>1674</v>
      </c>
      <c r="AL195" s="76" t="b">
        <v>0</v>
      </c>
      <c r="AM195" s="76">
        <v>0</v>
      </c>
      <c r="AN195" s="81" t="s">
        <v>1674</v>
      </c>
      <c r="AO195" s="81" t="s">
        <v>1808</v>
      </c>
      <c r="AP195" s="76" t="b">
        <v>0</v>
      </c>
      <c r="AQ195" s="81" t="s">
        <v>1603</v>
      </c>
      <c r="AR195" s="76" t="s">
        <v>219</v>
      </c>
      <c r="AS195" s="76">
        <v>0</v>
      </c>
      <c r="AT195" s="76">
        <v>0</v>
      </c>
      <c r="AU195" s="76"/>
      <c r="AV195" s="76"/>
      <c r="AW195" s="76"/>
      <c r="AX195" s="76"/>
      <c r="AY195" s="76"/>
      <c r="AZ195" s="76"/>
      <c r="BA195" s="76"/>
      <c r="BB195" s="76"/>
      <c r="BC195">
        <v>1</v>
      </c>
      <c r="BD195" s="75" t="str">
        <f>REPLACE(INDEX(GroupVertices[Group],MATCH(Edges[[#This Row],[Vertex 1]],GroupVertices[Vertex],0)),1,1,"")</f>
        <v>12</v>
      </c>
      <c r="BE195" s="75" t="str">
        <f>REPLACE(INDEX(GroupVertices[Group],MATCH(Edges[[#This Row],[Vertex 2]],GroupVertices[Vertex],0)),1,1,"")</f>
        <v>12</v>
      </c>
      <c r="BF195" s="45">
        <v>0</v>
      </c>
      <c r="BG195" s="46">
        <v>0</v>
      </c>
      <c r="BH195" s="45">
        <v>0</v>
      </c>
      <c r="BI195" s="46">
        <v>0</v>
      </c>
      <c r="BJ195" s="45">
        <v>0</v>
      </c>
      <c r="BK195" s="46">
        <v>0</v>
      </c>
      <c r="BL195" s="45">
        <v>12</v>
      </c>
      <c r="BM195" s="46">
        <v>100</v>
      </c>
      <c r="BN195" s="45">
        <v>12</v>
      </c>
    </row>
    <row r="196" spans="1:66" ht="15">
      <c r="A196" s="61" t="s">
        <v>357</v>
      </c>
      <c r="B196" s="61" t="s">
        <v>509</v>
      </c>
      <c r="C196" s="62" t="s">
        <v>4688</v>
      </c>
      <c r="D196" s="63">
        <v>5</v>
      </c>
      <c r="E196" s="62"/>
      <c r="F196" s="65">
        <v>50</v>
      </c>
      <c r="G196" s="62"/>
      <c r="H196" s="66"/>
      <c r="I196" s="67"/>
      <c r="J196" s="67"/>
      <c r="K196" s="31" t="s">
        <v>65</v>
      </c>
      <c r="L196" s="68">
        <v>196</v>
      </c>
      <c r="M196" s="68"/>
      <c r="N196" s="69"/>
      <c r="O196" s="76" t="s">
        <v>587</v>
      </c>
      <c r="P196" s="78">
        <v>44815.41884259259</v>
      </c>
      <c r="Q196" s="76" t="s">
        <v>670</v>
      </c>
      <c r="R196" s="76"/>
      <c r="S196" s="76"/>
      <c r="T196" s="81" t="s">
        <v>833</v>
      </c>
      <c r="U196" s="76"/>
      <c r="V196" s="79" t="str">
        <f>HYPERLINK("https://pbs.twimg.com/profile_images/1382752853865955330/I3PvsxEp_normal.jpg")</f>
        <v>https://pbs.twimg.com/profile_images/1382752853865955330/I3PvsxEp_normal.jpg</v>
      </c>
      <c r="W196" s="78">
        <v>44815.41884259259</v>
      </c>
      <c r="X196" s="84">
        <v>44815</v>
      </c>
      <c r="Y196" s="81" t="s">
        <v>1025</v>
      </c>
      <c r="Z196" s="79" t="str">
        <f>HYPERLINK("https://twitter.com/mark_dive/status/1568902956740759555")</f>
        <v>https://twitter.com/mark_dive/status/1568902956740759555</v>
      </c>
      <c r="AA196" s="76"/>
      <c r="AB196" s="76"/>
      <c r="AC196" s="81" t="s">
        <v>1356</v>
      </c>
      <c r="AD196" s="81" t="s">
        <v>1604</v>
      </c>
      <c r="AE196" s="76" t="b">
        <v>0</v>
      </c>
      <c r="AF196" s="76">
        <v>0</v>
      </c>
      <c r="AG196" s="81" t="s">
        <v>1714</v>
      </c>
      <c r="AH196" s="76" t="b">
        <v>0</v>
      </c>
      <c r="AI196" s="76" t="s">
        <v>1776</v>
      </c>
      <c r="AJ196" s="76"/>
      <c r="AK196" s="81" t="s">
        <v>1674</v>
      </c>
      <c r="AL196" s="76" t="b">
        <v>0</v>
      </c>
      <c r="AM196" s="76">
        <v>0</v>
      </c>
      <c r="AN196" s="81" t="s">
        <v>1674</v>
      </c>
      <c r="AO196" s="81" t="s">
        <v>1808</v>
      </c>
      <c r="AP196" s="76" t="b">
        <v>0</v>
      </c>
      <c r="AQ196" s="81" t="s">
        <v>1604</v>
      </c>
      <c r="AR196" s="76" t="s">
        <v>219</v>
      </c>
      <c r="AS196" s="76">
        <v>0</v>
      </c>
      <c r="AT196" s="76">
        <v>0</v>
      </c>
      <c r="AU196" s="76"/>
      <c r="AV196" s="76"/>
      <c r="AW196" s="76"/>
      <c r="AX196" s="76"/>
      <c r="AY196" s="76"/>
      <c r="AZ196" s="76"/>
      <c r="BA196" s="76"/>
      <c r="BB196" s="76"/>
      <c r="BC196">
        <v>1</v>
      </c>
      <c r="BD196" s="75" t="str">
        <f>REPLACE(INDEX(GroupVertices[Group],MATCH(Edges[[#This Row],[Vertex 1]],GroupVertices[Vertex],0)),1,1,"")</f>
        <v>12</v>
      </c>
      <c r="BE196" s="75" t="str">
        <f>REPLACE(INDEX(GroupVertices[Group],MATCH(Edges[[#This Row],[Vertex 2]],GroupVertices[Vertex],0)),1,1,"")</f>
        <v>12</v>
      </c>
      <c r="BF196" s="45">
        <v>0</v>
      </c>
      <c r="BG196" s="46">
        <v>0</v>
      </c>
      <c r="BH196" s="45">
        <v>0</v>
      </c>
      <c r="BI196" s="46">
        <v>0</v>
      </c>
      <c r="BJ196" s="45">
        <v>0</v>
      </c>
      <c r="BK196" s="46">
        <v>0</v>
      </c>
      <c r="BL196" s="45">
        <v>18</v>
      </c>
      <c r="BM196" s="46">
        <v>100</v>
      </c>
      <c r="BN196" s="45">
        <v>18</v>
      </c>
    </row>
    <row r="197" spans="1:66" ht="15">
      <c r="A197" s="61" t="s">
        <v>357</v>
      </c>
      <c r="B197" s="61" t="s">
        <v>510</v>
      </c>
      <c r="C197" s="62" t="s">
        <v>4688</v>
      </c>
      <c r="D197" s="63">
        <v>5</v>
      </c>
      <c r="E197" s="62"/>
      <c r="F197" s="65">
        <v>50</v>
      </c>
      <c r="G197" s="62"/>
      <c r="H197" s="66"/>
      <c r="I197" s="67"/>
      <c r="J197" s="67"/>
      <c r="K197" s="31" t="s">
        <v>65</v>
      </c>
      <c r="L197" s="68">
        <v>197</v>
      </c>
      <c r="M197" s="68"/>
      <c r="N197" s="69"/>
      <c r="O197" s="76" t="s">
        <v>587</v>
      </c>
      <c r="P197" s="78">
        <v>44816.51896990741</v>
      </c>
      <c r="Q197" s="76" t="s">
        <v>671</v>
      </c>
      <c r="R197" s="76"/>
      <c r="S197" s="76"/>
      <c r="T197" s="81" t="s">
        <v>833</v>
      </c>
      <c r="U197" s="76"/>
      <c r="V197" s="79" t="str">
        <f>HYPERLINK("https://pbs.twimg.com/profile_images/1382752853865955330/I3PvsxEp_normal.jpg")</f>
        <v>https://pbs.twimg.com/profile_images/1382752853865955330/I3PvsxEp_normal.jpg</v>
      </c>
      <c r="W197" s="78">
        <v>44816.51896990741</v>
      </c>
      <c r="X197" s="84">
        <v>44816</v>
      </c>
      <c r="Y197" s="81" t="s">
        <v>1026</v>
      </c>
      <c r="Z197" s="79" t="str">
        <f>HYPERLINK("https://twitter.com/mark_dive/status/1569301632042549249")</f>
        <v>https://twitter.com/mark_dive/status/1569301632042549249</v>
      </c>
      <c r="AA197" s="76"/>
      <c r="AB197" s="76"/>
      <c r="AC197" s="81" t="s">
        <v>1357</v>
      </c>
      <c r="AD197" s="81" t="s">
        <v>1605</v>
      </c>
      <c r="AE197" s="76" t="b">
        <v>0</v>
      </c>
      <c r="AF197" s="76">
        <v>1</v>
      </c>
      <c r="AG197" s="81" t="s">
        <v>1715</v>
      </c>
      <c r="AH197" s="76" t="b">
        <v>0</v>
      </c>
      <c r="AI197" s="76" t="s">
        <v>1776</v>
      </c>
      <c r="AJ197" s="76"/>
      <c r="AK197" s="81" t="s">
        <v>1674</v>
      </c>
      <c r="AL197" s="76" t="b">
        <v>0</v>
      </c>
      <c r="AM197" s="76">
        <v>0</v>
      </c>
      <c r="AN197" s="81" t="s">
        <v>1674</v>
      </c>
      <c r="AO197" s="81" t="s">
        <v>1808</v>
      </c>
      <c r="AP197" s="76" t="b">
        <v>0</v>
      </c>
      <c r="AQ197" s="81" t="s">
        <v>1605</v>
      </c>
      <c r="AR197" s="76" t="s">
        <v>219</v>
      </c>
      <c r="AS197" s="76">
        <v>0</v>
      </c>
      <c r="AT197" s="76">
        <v>0</v>
      </c>
      <c r="AU197" s="76"/>
      <c r="AV197" s="76"/>
      <c r="AW197" s="76"/>
      <c r="AX197" s="76"/>
      <c r="AY197" s="76"/>
      <c r="AZ197" s="76"/>
      <c r="BA197" s="76"/>
      <c r="BB197" s="76"/>
      <c r="BC197">
        <v>1</v>
      </c>
      <c r="BD197" s="75" t="str">
        <f>REPLACE(INDEX(GroupVertices[Group],MATCH(Edges[[#This Row],[Vertex 1]],GroupVertices[Vertex],0)),1,1,"")</f>
        <v>12</v>
      </c>
      <c r="BE197" s="75" t="str">
        <f>REPLACE(INDEX(GroupVertices[Group],MATCH(Edges[[#This Row],[Vertex 2]],GroupVertices[Vertex],0)),1,1,"")</f>
        <v>12</v>
      </c>
      <c r="BF197" s="45">
        <v>0</v>
      </c>
      <c r="BG197" s="46">
        <v>0</v>
      </c>
      <c r="BH197" s="45">
        <v>0</v>
      </c>
      <c r="BI197" s="46">
        <v>0</v>
      </c>
      <c r="BJ197" s="45">
        <v>0</v>
      </c>
      <c r="BK197" s="46">
        <v>0</v>
      </c>
      <c r="BL197" s="45">
        <v>17</v>
      </c>
      <c r="BM197" s="46">
        <v>100</v>
      </c>
      <c r="BN197" s="45">
        <v>17</v>
      </c>
    </row>
    <row r="198" spans="1:66" ht="15">
      <c r="A198" s="61" t="s">
        <v>358</v>
      </c>
      <c r="B198" s="61" t="s">
        <v>364</v>
      </c>
      <c r="C198" s="62" t="s">
        <v>4688</v>
      </c>
      <c r="D198" s="63">
        <v>5</v>
      </c>
      <c r="E198" s="62"/>
      <c r="F198" s="65">
        <v>50</v>
      </c>
      <c r="G198" s="62"/>
      <c r="H198" s="66"/>
      <c r="I198" s="67"/>
      <c r="J198" s="67"/>
      <c r="K198" s="31" t="s">
        <v>65</v>
      </c>
      <c r="L198" s="68">
        <v>198</v>
      </c>
      <c r="M198" s="68"/>
      <c r="N198" s="69"/>
      <c r="O198" s="76" t="s">
        <v>586</v>
      </c>
      <c r="P198" s="78">
        <v>44816.56186342592</v>
      </c>
      <c r="Q198" s="76" t="s">
        <v>672</v>
      </c>
      <c r="R198" s="79" t="str">
        <f>HYPERLINK("https://twitter.com/MaxDfelladius/status/1569308389137649669")</f>
        <v>https://twitter.com/MaxDfelladius/status/1569308389137649669</v>
      </c>
      <c r="S198" s="76" t="s">
        <v>783</v>
      </c>
      <c r="T198" s="81" t="s">
        <v>835</v>
      </c>
      <c r="U198" s="76"/>
      <c r="V198" s="79" t="str">
        <f>HYPERLINK("https://pbs.twimg.com/profile_images/1490317095183294464/1tjDF5N-_normal.jpg")</f>
        <v>https://pbs.twimg.com/profile_images/1490317095183294464/1tjDF5N-_normal.jpg</v>
      </c>
      <c r="W198" s="78">
        <v>44816.56186342592</v>
      </c>
      <c r="X198" s="84">
        <v>44816</v>
      </c>
      <c r="Y198" s="81" t="s">
        <v>1027</v>
      </c>
      <c r="Z198" s="79" t="str">
        <f>HYPERLINK("https://twitter.com/gamodana/status/1569317173545545728")</f>
        <v>https://twitter.com/gamodana/status/1569317173545545728</v>
      </c>
      <c r="AA198" s="76"/>
      <c r="AB198" s="76"/>
      <c r="AC198" s="81" t="s">
        <v>1358</v>
      </c>
      <c r="AD198" s="76"/>
      <c r="AE198" s="76" t="b">
        <v>0</v>
      </c>
      <c r="AF198" s="76">
        <v>0</v>
      </c>
      <c r="AG198" s="81" t="s">
        <v>1674</v>
      </c>
      <c r="AH198" s="76" t="b">
        <v>1</v>
      </c>
      <c r="AI198" s="76" t="s">
        <v>1772</v>
      </c>
      <c r="AJ198" s="76"/>
      <c r="AK198" s="81" t="s">
        <v>1796</v>
      </c>
      <c r="AL198" s="76" t="b">
        <v>0</v>
      </c>
      <c r="AM198" s="76">
        <v>4</v>
      </c>
      <c r="AN198" s="81" t="s">
        <v>1364</v>
      </c>
      <c r="AO198" s="81" t="s">
        <v>1807</v>
      </c>
      <c r="AP198" s="76" t="b">
        <v>0</v>
      </c>
      <c r="AQ198" s="81" t="s">
        <v>1364</v>
      </c>
      <c r="AR198" s="76" t="s">
        <v>219</v>
      </c>
      <c r="AS198" s="76">
        <v>0</v>
      </c>
      <c r="AT198" s="76">
        <v>0</v>
      </c>
      <c r="AU198" s="76"/>
      <c r="AV198" s="76"/>
      <c r="AW198" s="76"/>
      <c r="AX198" s="76"/>
      <c r="AY198" s="76"/>
      <c r="AZ198" s="76"/>
      <c r="BA198" s="76"/>
      <c r="BB198" s="76"/>
      <c r="BC198">
        <v>1</v>
      </c>
      <c r="BD198" s="75" t="str">
        <f>REPLACE(INDEX(GroupVertices[Group],MATCH(Edges[[#This Row],[Vertex 1]],GroupVertices[Vertex],0)),1,1,"")</f>
        <v>17</v>
      </c>
      <c r="BE198" s="75" t="str">
        <f>REPLACE(INDEX(GroupVertices[Group],MATCH(Edges[[#This Row],[Vertex 2]],GroupVertices[Vertex],0)),1,1,"")</f>
        <v>17</v>
      </c>
      <c r="BF198" s="45">
        <v>1</v>
      </c>
      <c r="BG198" s="46">
        <v>2.380952380952381</v>
      </c>
      <c r="BH198" s="45">
        <v>1</v>
      </c>
      <c r="BI198" s="46">
        <v>2.380952380952381</v>
      </c>
      <c r="BJ198" s="45">
        <v>0</v>
      </c>
      <c r="BK198" s="46">
        <v>0</v>
      </c>
      <c r="BL198" s="45">
        <v>40</v>
      </c>
      <c r="BM198" s="46">
        <v>95.23809523809524</v>
      </c>
      <c r="BN198" s="45">
        <v>42</v>
      </c>
    </row>
    <row r="199" spans="1:66" ht="15">
      <c r="A199" s="61" t="s">
        <v>359</v>
      </c>
      <c r="B199" s="61" t="s">
        <v>364</v>
      </c>
      <c r="C199" s="62" t="s">
        <v>4688</v>
      </c>
      <c r="D199" s="63">
        <v>5</v>
      </c>
      <c r="E199" s="62"/>
      <c r="F199" s="65">
        <v>50</v>
      </c>
      <c r="G199" s="62"/>
      <c r="H199" s="66"/>
      <c r="I199" s="67"/>
      <c r="J199" s="67"/>
      <c r="K199" s="31" t="s">
        <v>65</v>
      </c>
      <c r="L199" s="68">
        <v>199</v>
      </c>
      <c r="M199" s="68"/>
      <c r="N199" s="69"/>
      <c r="O199" s="76" t="s">
        <v>587</v>
      </c>
      <c r="P199" s="78">
        <v>44816.584085648145</v>
      </c>
      <c r="Q199" s="76" t="s">
        <v>673</v>
      </c>
      <c r="R199" s="76"/>
      <c r="S199" s="76"/>
      <c r="T199" s="81" t="s">
        <v>795</v>
      </c>
      <c r="U199" s="76"/>
      <c r="V199" s="79" t="str">
        <f>HYPERLINK("https://pbs.twimg.com/profile_images/1565601273793155072/_ZBFA3xK_normal.jpg")</f>
        <v>https://pbs.twimg.com/profile_images/1565601273793155072/_ZBFA3xK_normal.jpg</v>
      </c>
      <c r="W199" s="78">
        <v>44816.584085648145</v>
      </c>
      <c r="X199" s="84">
        <v>44816</v>
      </c>
      <c r="Y199" s="81" t="s">
        <v>1028</v>
      </c>
      <c r="Z199" s="79" t="str">
        <f>HYPERLINK("https://twitter.com/solomon73155195/status/1569325225749217282")</f>
        <v>https://twitter.com/solomon73155195/status/1569325225749217282</v>
      </c>
      <c r="AA199" s="76"/>
      <c r="AB199" s="76"/>
      <c r="AC199" s="81" t="s">
        <v>1359</v>
      </c>
      <c r="AD199" s="81" t="s">
        <v>1364</v>
      </c>
      <c r="AE199" s="76" t="b">
        <v>0</v>
      </c>
      <c r="AF199" s="76">
        <v>0</v>
      </c>
      <c r="AG199" s="81" t="s">
        <v>1716</v>
      </c>
      <c r="AH199" s="76" t="b">
        <v>0</v>
      </c>
      <c r="AI199" s="76" t="s">
        <v>1773</v>
      </c>
      <c r="AJ199" s="76"/>
      <c r="AK199" s="81" t="s">
        <v>1674</v>
      </c>
      <c r="AL199" s="76" t="b">
        <v>0</v>
      </c>
      <c r="AM199" s="76">
        <v>0</v>
      </c>
      <c r="AN199" s="81" t="s">
        <v>1674</v>
      </c>
      <c r="AO199" s="81" t="s">
        <v>1807</v>
      </c>
      <c r="AP199" s="76" t="b">
        <v>0</v>
      </c>
      <c r="AQ199" s="81" t="s">
        <v>1364</v>
      </c>
      <c r="AR199" s="76" t="s">
        <v>219</v>
      </c>
      <c r="AS199" s="76">
        <v>0</v>
      </c>
      <c r="AT199" s="76">
        <v>0</v>
      </c>
      <c r="AU199" s="76"/>
      <c r="AV199" s="76"/>
      <c r="AW199" s="76"/>
      <c r="AX199" s="76"/>
      <c r="AY199" s="76"/>
      <c r="AZ199" s="76"/>
      <c r="BA199" s="76"/>
      <c r="BB199" s="76"/>
      <c r="BC199">
        <v>1</v>
      </c>
      <c r="BD199" s="75" t="str">
        <f>REPLACE(INDEX(GroupVertices[Group],MATCH(Edges[[#This Row],[Vertex 1]],GroupVertices[Vertex],0)),1,1,"")</f>
        <v>17</v>
      </c>
      <c r="BE199" s="75" t="str">
        <f>REPLACE(INDEX(GroupVertices[Group],MATCH(Edges[[#This Row],[Vertex 2]],GroupVertices[Vertex],0)),1,1,"")</f>
        <v>17</v>
      </c>
      <c r="BF199" s="45">
        <v>0</v>
      </c>
      <c r="BG199" s="46">
        <v>0</v>
      </c>
      <c r="BH199" s="45">
        <v>0</v>
      </c>
      <c r="BI199" s="46">
        <v>0</v>
      </c>
      <c r="BJ199" s="45">
        <v>0</v>
      </c>
      <c r="BK199" s="46">
        <v>0</v>
      </c>
      <c r="BL199" s="45">
        <v>2</v>
      </c>
      <c r="BM199" s="46">
        <v>100</v>
      </c>
      <c r="BN199" s="45">
        <v>2</v>
      </c>
    </row>
    <row r="200" spans="1:66" ht="15">
      <c r="A200" s="61" t="s">
        <v>360</v>
      </c>
      <c r="B200" s="61" t="s">
        <v>511</v>
      </c>
      <c r="C200" s="62" t="s">
        <v>4688</v>
      </c>
      <c r="D200" s="63">
        <v>5</v>
      </c>
      <c r="E200" s="62"/>
      <c r="F200" s="65">
        <v>50</v>
      </c>
      <c r="G200" s="62"/>
      <c r="H200" s="66"/>
      <c r="I200" s="67"/>
      <c r="J200" s="67"/>
      <c r="K200" s="31" t="s">
        <v>65</v>
      </c>
      <c r="L200" s="68">
        <v>200</v>
      </c>
      <c r="M200" s="68"/>
      <c r="N200" s="69"/>
      <c r="O200" s="76" t="s">
        <v>588</v>
      </c>
      <c r="P200" s="78">
        <v>44816.60480324074</v>
      </c>
      <c r="Q200" s="76" t="s">
        <v>674</v>
      </c>
      <c r="R200" s="76"/>
      <c r="S200" s="76"/>
      <c r="T200" s="81" t="s">
        <v>836</v>
      </c>
      <c r="U200" s="76"/>
      <c r="V200" s="79" t="str">
        <f>HYPERLINK("https://pbs.twimg.com/profile_images/1544271154147385345/p1GlPOSh_normal.png")</f>
        <v>https://pbs.twimg.com/profile_images/1544271154147385345/p1GlPOSh_normal.png</v>
      </c>
      <c r="W200" s="78">
        <v>44816.60480324074</v>
      </c>
      <c r="X200" s="84">
        <v>44816</v>
      </c>
      <c r="Y200" s="81" t="s">
        <v>1029</v>
      </c>
      <c r="Z200" s="79" t="str">
        <f>HYPERLINK("https://twitter.com/mariusstannard/status/1569332733486268416")</f>
        <v>https://twitter.com/mariusstannard/status/1569332733486268416</v>
      </c>
      <c r="AA200" s="76"/>
      <c r="AB200" s="76"/>
      <c r="AC200" s="81" t="s">
        <v>1360</v>
      </c>
      <c r="AD200" s="81" t="s">
        <v>1606</v>
      </c>
      <c r="AE200" s="76" t="b">
        <v>0</v>
      </c>
      <c r="AF200" s="76">
        <v>0</v>
      </c>
      <c r="AG200" s="81" t="s">
        <v>1717</v>
      </c>
      <c r="AH200" s="76" t="b">
        <v>0</v>
      </c>
      <c r="AI200" s="76" t="s">
        <v>1772</v>
      </c>
      <c r="AJ200" s="76"/>
      <c r="AK200" s="81" t="s">
        <v>1674</v>
      </c>
      <c r="AL200" s="76" t="b">
        <v>0</v>
      </c>
      <c r="AM200" s="76">
        <v>0</v>
      </c>
      <c r="AN200" s="81" t="s">
        <v>1674</v>
      </c>
      <c r="AO200" s="81" t="s">
        <v>1808</v>
      </c>
      <c r="AP200" s="76" t="b">
        <v>0</v>
      </c>
      <c r="AQ200" s="81" t="s">
        <v>1606</v>
      </c>
      <c r="AR200" s="76" t="s">
        <v>219</v>
      </c>
      <c r="AS200" s="76">
        <v>0</v>
      </c>
      <c r="AT200" s="76">
        <v>0</v>
      </c>
      <c r="AU200" s="76"/>
      <c r="AV200" s="76"/>
      <c r="AW200" s="76"/>
      <c r="AX200" s="76"/>
      <c r="AY200" s="76"/>
      <c r="AZ200" s="76"/>
      <c r="BA200" s="76"/>
      <c r="BB200" s="76"/>
      <c r="BC200">
        <v>1</v>
      </c>
      <c r="BD200" s="75" t="str">
        <f>REPLACE(INDEX(GroupVertices[Group],MATCH(Edges[[#This Row],[Vertex 1]],GroupVertices[Vertex],0)),1,1,"")</f>
        <v>1</v>
      </c>
      <c r="BE200" s="75" t="str">
        <f>REPLACE(INDEX(GroupVertices[Group],MATCH(Edges[[#This Row],[Vertex 2]],GroupVertices[Vertex],0)),1,1,"")</f>
        <v>1</v>
      </c>
      <c r="BF200" s="45"/>
      <c r="BG200" s="46"/>
      <c r="BH200" s="45"/>
      <c r="BI200" s="46"/>
      <c r="BJ200" s="45"/>
      <c r="BK200" s="46"/>
      <c r="BL200" s="45"/>
      <c r="BM200" s="46"/>
      <c r="BN200" s="45"/>
    </row>
    <row r="201" spans="1:66" ht="15">
      <c r="A201" s="61" t="s">
        <v>360</v>
      </c>
      <c r="B201" s="61" t="s">
        <v>512</v>
      </c>
      <c r="C201" s="62" t="s">
        <v>4688</v>
      </c>
      <c r="D201" s="63">
        <v>5</v>
      </c>
      <c r="E201" s="62"/>
      <c r="F201" s="65">
        <v>50</v>
      </c>
      <c r="G201" s="62"/>
      <c r="H201" s="66"/>
      <c r="I201" s="67"/>
      <c r="J201" s="67"/>
      <c r="K201" s="31" t="s">
        <v>65</v>
      </c>
      <c r="L201" s="68">
        <v>201</v>
      </c>
      <c r="M201" s="68"/>
      <c r="N201" s="69"/>
      <c r="O201" s="76" t="s">
        <v>587</v>
      </c>
      <c r="P201" s="78">
        <v>44816.60480324074</v>
      </c>
      <c r="Q201" s="76" t="s">
        <v>674</v>
      </c>
      <c r="R201" s="76"/>
      <c r="S201" s="76"/>
      <c r="T201" s="81" t="s">
        <v>836</v>
      </c>
      <c r="U201" s="76"/>
      <c r="V201" s="79" t="str">
        <f>HYPERLINK("https://pbs.twimg.com/profile_images/1544271154147385345/p1GlPOSh_normal.png")</f>
        <v>https://pbs.twimg.com/profile_images/1544271154147385345/p1GlPOSh_normal.png</v>
      </c>
      <c r="W201" s="78">
        <v>44816.60480324074</v>
      </c>
      <c r="X201" s="84">
        <v>44816</v>
      </c>
      <c r="Y201" s="81" t="s">
        <v>1029</v>
      </c>
      <c r="Z201" s="79" t="str">
        <f>HYPERLINK("https://twitter.com/mariusstannard/status/1569332733486268416")</f>
        <v>https://twitter.com/mariusstannard/status/1569332733486268416</v>
      </c>
      <c r="AA201" s="76"/>
      <c r="AB201" s="76"/>
      <c r="AC201" s="81" t="s">
        <v>1360</v>
      </c>
      <c r="AD201" s="81" t="s">
        <v>1606</v>
      </c>
      <c r="AE201" s="76" t="b">
        <v>0</v>
      </c>
      <c r="AF201" s="76">
        <v>0</v>
      </c>
      <c r="AG201" s="81" t="s">
        <v>1717</v>
      </c>
      <c r="AH201" s="76" t="b">
        <v>0</v>
      </c>
      <c r="AI201" s="76" t="s">
        <v>1772</v>
      </c>
      <c r="AJ201" s="76"/>
      <c r="AK201" s="81" t="s">
        <v>1674</v>
      </c>
      <c r="AL201" s="76" t="b">
        <v>0</v>
      </c>
      <c r="AM201" s="76">
        <v>0</v>
      </c>
      <c r="AN201" s="81" t="s">
        <v>1674</v>
      </c>
      <c r="AO201" s="81" t="s">
        <v>1808</v>
      </c>
      <c r="AP201" s="76" t="b">
        <v>0</v>
      </c>
      <c r="AQ201" s="81" t="s">
        <v>1606</v>
      </c>
      <c r="AR201" s="76" t="s">
        <v>219</v>
      </c>
      <c r="AS201" s="76">
        <v>0</v>
      </c>
      <c r="AT201" s="76">
        <v>0</v>
      </c>
      <c r="AU201" s="76"/>
      <c r="AV201" s="76"/>
      <c r="AW201" s="76"/>
      <c r="AX201" s="76"/>
      <c r="AY201" s="76"/>
      <c r="AZ201" s="76"/>
      <c r="BA201" s="76"/>
      <c r="BB201" s="76"/>
      <c r="BC201">
        <v>1</v>
      </c>
      <c r="BD201" s="75" t="str">
        <f>REPLACE(INDEX(GroupVertices[Group],MATCH(Edges[[#This Row],[Vertex 1]],GroupVertices[Vertex],0)),1,1,"")</f>
        <v>1</v>
      </c>
      <c r="BE201" s="75" t="str">
        <f>REPLACE(INDEX(GroupVertices[Group],MATCH(Edges[[#This Row],[Vertex 2]],GroupVertices[Vertex],0)),1,1,"")</f>
        <v>1</v>
      </c>
      <c r="BF201" s="45">
        <v>1</v>
      </c>
      <c r="BG201" s="46">
        <v>4</v>
      </c>
      <c r="BH201" s="45">
        <v>3</v>
      </c>
      <c r="BI201" s="46">
        <v>12</v>
      </c>
      <c r="BJ201" s="45">
        <v>0</v>
      </c>
      <c r="BK201" s="46">
        <v>0</v>
      </c>
      <c r="BL201" s="45">
        <v>21</v>
      </c>
      <c r="BM201" s="46">
        <v>84</v>
      </c>
      <c r="BN201" s="45">
        <v>25</v>
      </c>
    </row>
    <row r="202" spans="1:66" ht="15">
      <c r="A202" s="61" t="s">
        <v>361</v>
      </c>
      <c r="B202" s="61" t="s">
        <v>361</v>
      </c>
      <c r="C202" s="62" t="s">
        <v>4688</v>
      </c>
      <c r="D202" s="63">
        <v>5</v>
      </c>
      <c r="E202" s="62"/>
      <c r="F202" s="65">
        <v>50</v>
      </c>
      <c r="G202" s="62"/>
      <c r="H202" s="66"/>
      <c r="I202" s="67"/>
      <c r="J202" s="67"/>
      <c r="K202" s="31" t="s">
        <v>65</v>
      </c>
      <c r="L202" s="68">
        <v>202</v>
      </c>
      <c r="M202" s="68"/>
      <c r="N202" s="69"/>
      <c r="O202" s="76" t="s">
        <v>219</v>
      </c>
      <c r="P202" s="78">
        <v>44816.63136574074</v>
      </c>
      <c r="Q202" s="76" t="s">
        <v>675</v>
      </c>
      <c r="R202" s="76"/>
      <c r="S202" s="76"/>
      <c r="T202" s="76"/>
      <c r="U202" s="76"/>
      <c r="V202" s="79" t="str">
        <f>HYPERLINK("https://pbs.twimg.com/profile_images/1287874019660791808/wm9JfkaQ_normal.jpg")</f>
        <v>https://pbs.twimg.com/profile_images/1287874019660791808/wm9JfkaQ_normal.jpg</v>
      </c>
      <c r="W202" s="78">
        <v>44816.63136574074</v>
      </c>
      <c r="X202" s="84">
        <v>44816</v>
      </c>
      <c r="Y202" s="81" t="s">
        <v>1030</v>
      </c>
      <c r="Z202" s="79" t="str">
        <f>HYPERLINK("https://twitter.com/kr33b/status/1569342361083457537")</f>
        <v>https://twitter.com/kr33b/status/1569342361083457537</v>
      </c>
      <c r="AA202" s="76"/>
      <c r="AB202" s="76"/>
      <c r="AC202" s="81" t="s">
        <v>1361</v>
      </c>
      <c r="AD202" s="81" t="s">
        <v>1607</v>
      </c>
      <c r="AE202" s="76" t="b">
        <v>0</v>
      </c>
      <c r="AF202" s="76">
        <v>2</v>
      </c>
      <c r="AG202" s="81" t="s">
        <v>1718</v>
      </c>
      <c r="AH202" s="76" t="b">
        <v>0</v>
      </c>
      <c r="AI202" s="76" t="s">
        <v>1781</v>
      </c>
      <c r="AJ202" s="76"/>
      <c r="AK202" s="81" t="s">
        <v>1674</v>
      </c>
      <c r="AL202" s="76" t="b">
        <v>0</v>
      </c>
      <c r="AM202" s="76">
        <v>1</v>
      </c>
      <c r="AN202" s="81" t="s">
        <v>1674</v>
      </c>
      <c r="AO202" s="81" t="s">
        <v>1808</v>
      </c>
      <c r="AP202" s="76" t="b">
        <v>0</v>
      </c>
      <c r="AQ202" s="81" t="s">
        <v>1607</v>
      </c>
      <c r="AR202" s="76" t="s">
        <v>219</v>
      </c>
      <c r="AS202" s="76">
        <v>0</v>
      </c>
      <c r="AT202" s="76">
        <v>0</v>
      </c>
      <c r="AU202" s="76"/>
      <c r="AV202" s="76"/>
      <c r="AW202" s="76"/>
      <c r="AX202" s="76"/>
      <c r="AY202" s="76"/>
      <c r="AZ202" s="76"/>
      <c r="BA202" s="76"/>
      <c r="BB202" s="76"/>
      <c r="BC202">
        <v>1</v>
      </c>
      <c r="BD202" s="75" t="str">
        <f>REPLACE(INDEX(GroupVertices[Group],MATCH(Edges[[#This Row],[Vertex 1]],GroupVertices[Vertex],0)),1,1,"")</f>
        <v>48</v>
      </c>
      <c r="BE202" s="75" t="str">
        <f>REPLACE(INDEX(GroupVertices[Group],MATCH(Edges[[#This Row],[Vertex 2]],GroupVertices[Vertex],0)),1,1,"")</f>
        <v>48</v>
      </c>
      <c r="BF202" s="45">
        <v>0</v>
      </c>
      <c r="BG202" s="46">
        <v>0</v>
      </c>
      <c r="BH202" s="45">
        <v>0</v>
      </c>
      <c r="BI202" s="46">
        <v>0</v>
      </c>
      <c r="BJ202" s="45">
        <v>0</v>
      </c>
      <c r="BK202" s="46">
        <v>0</v>
      </c>
      <c r="BL202" s="45">
        <v>37</v>
      </c>
      <c r="BM202" s="46">
        <v>100</v>
      </c>
      <c r="BN202" s="45">
        <v>37</v>
      </c>
    </row>
    <row r="203" spans="1:66" ht="15">
      <c r="A203" s="61" t="s">
        <v>362</v>
      </c>
      <c r="B203" s="61" t="s">
        <v>361</v>
      </c>
      <c r="C203" s="62" t="s">
        <v>4688</v>
      </c>
      <c r="D203" s="63">
        <v>5</v>
      </c>
      <c r="E203" s="62"/>
      <c r="F203" s="65">
        <v>50</v>
      </c>
      <c r="G203" s="62"/>
      <c r="H203" s="66"/>
      <c r="I203" s="67"/>
      <c r="J203" s="67"/>
      <c r="K203" s="31" t="s">
        <v>65</v>
      </c>
      <c r="L203" s="68">
        <v>203</v>
      </c>
      <c r="M203" s="68"/>
      <c r="N203" s="69"/>
      <c r="O203" s="76" t="s">
        <v>586</v>
      </c>
      <c r="P203" s="78">
        <v>44816.672326388885</v>
      </c>
      <c r="Q203" s="76" t="s">
        <v>675</v>
      </c>
      <c r="R203" s="76"/>
      <c r="S203" s="76"/>
      <c r="T203" s="76"/>
      <c r="U203" s="76"/>
      <c r="V203" s="79" t="str">
        <f>HYPERLINK("https://pbs.twimg.com/profile_images/1222634122411237376/IwyBl8Vy_normal.jpg")</f>
        <v>https://pbs.twimg.com/profile_images/1222634122411237376/IwyBl8Vy_normal.jpg</v>
      </c>
      <c r="W203" s="78">
        <v>44816.672326388885</v>
      </c>
      <c r="X203" s="84">
        <v>44816</v>
      </c>
      <c r="Y203" s="81" t="s">
        <v>1031</v>
      </c>
      <c r="Z203" s="79" t="str">
        <f>HYPERLINK("https://twitter.com/pp_now/status/1569357205987532800")</f>
        <v>https://twitter.com/pp_now/status/1569357205987532800</v>
      </c>
      <c r="AA203" s="76"/>
      <c r="AB203" s="76"/>
      <c r="AC203" s="81" t="s">
        <v>1362</v>
      </c>
      <c r="AD203" s="76"/>
      <c r="AE203" s="76" t="b">
        <v>0</v>
      </c>
      <c r="AF203" s="76">
        <v>0</v>
      </c>
      <c r="AG203" s="81" t="s">
        <v>1674</v>
      </c>
      <c r="AH203" s="76" t="b">
        <v>0</v>
      </c>
      <c r="AI203" s="76" t="s">
        <v>1781</v>
      </c>
      <c r="AJ203" s="76"/>
      <c r="AK203" s="81" t="s">
        <v>1674</v>
      </c>
      <c r="AL203" s="76" t="b">
        <v>0</v>
      </c>
      <c r="AM203" s="76">
        <v>1</v>
      </c>
      <c r="AN203" s="81" t="s">
        <v>1361</v>
      </c>
      <c r="AO203" s="81" t="s">
        <v>1807</v>
      </c>
      <c r="AP203" s="76" t="b">
        <v>0</v>
      </c>
      <c r="AQ203" s="81" t="s">
        <v>1361</v>
      </c>
      <c r="AR203" s="76" t="s">
        <v>219</v>
      </c>
      <c r="AS203" s="76">
        <v>0</v>
      </c>
      <c r="AT203" s="76">
        <v>0</v>
      </c>
      <c r="AU203" s="76"/>
      <c r="AV203" s="76"/>
      <c r="AW203" s="76"/>
      <c r="AX203" s="76"/>
      <c r="AY203" s="76"/>
      <c r="AZ203" s="76"/>
      <c r="BA203" s="76"/>
      <c r="BB203" s="76"/>
      <c r="BC203">
        <v>1</v>
      </c>
      <c r="BD203" s="75" t="str">
        <f>REPLACE(INDEX(GroupVertices[Group],MATCH(Edges[[#This Row],[Vertex 1]],GroupVertices[Vertex],0)),1,1,"")</f>
        <v>48</v>
      </c>
      <c r="BE203" s="75" t="str">
        <f>REPLACE(INDEX(GroupVertices[Group],MATCH(Edges[[#This Row],[Vertex 2]],GroupVertices[Vertex],0)),1,1,"")</f>
        <v>48</v>
      </c>
      <c r="BF203" s="45">
        <v>0</v>
      </c>
      <c r="BG203" s="46">
        <v>0</v>
      </c>
      <c r="BH203" s="45">
        <v>0</v>
      </c>
      <c r="BI203" s="46">
        <v>0</v>
      </c>
      <c r="BJ203" s="45">
        <v>0</v>
      </c>
      <c r="BK203" s="46">
        <v>0</v>
      </c>
      <c r="BL203" s="45">
        <v>37</v>
      </c>
      <c r="BM203" s="46">
        <v>100</v>
      </c>
      <c r="BN203" s="45">
        <v>37</v>
      </c>
    </row>
    <row r="204" spans="1:66" ht="15">
      <c r="A204" s="61" t="s">
        <v>363</v>
      </c>
      <c r="B204" s="61" t="s">
        <v>364</v>
      </c>
      <c r="C204" s="62" t="s">
        <v>4688</v>
      </c>
      <c r="D204" s="63">
        <v>5</v>
      </c>
      <c r="E204" s="62"/>
      <c r="F204" s="65">
        <v>50</v>
      </c>
      <c r="G204" s="62"/>
      <c r="H204" s="66"/>
      <c r="I204" s="67"/>
      <c r="J204" s="67"/>
      <c r="K204" s="31" t="s">
        <v>65</v>
      </c>
      <c r="L204" s="68">
        <v>204</v>
      </c>
      <c r="M204" s="68"/>
      <c r="N204" s="69"/>
      <c r="O204" s="76" t="s">
        <v>586</v>
      </c>
      <c r="P204" s="78">
        <v>44816.67445601852</v>
      </c>
      <c r="Q204" s="76" t="s">
        <v>672</v>
      </c>
      <c r="R204" s="79" t="str">
        <f>HYPERLINK("https://twitter.com/MaxDfelladius/status/1569308389137649669")</f>
        <v>https://twitter.com/MaxDfelladius/status/1569308389137649669</v>
      </c>
      <c r="S204" s="76" t="s">
        <v>783</v>
      </c>
      <c r="T204" s="81" t="s">
        <v>835</v>
      </c>
      <c r="U204" s="76"/>
      <c r="V204" s="79" t="str">
        <f>HYPERLINK("https://pbs.twimg.com/profile_images/1570257207110897666/NP3eJKG7_normal.jpg")</f>
        <v>https://pbs.twimg.com/profile_images/1570257207110897666/NP3eJKG7_normal.jpg</v>
      </c>
      <c r="W204" s="78">
        <v>44816.67445601852</v>
      </c>
      <c r="X204" s="84">
        <v>44816</v>
      </c>
      <c r="Y204" s="81" t="s">
        <v>1032</v>
      </c>
      <c r="Z204" s="79" t="str">
        <f>HYPERLINK("https://twitter.com/ymnkv/status/1569357974484799489")</f>
        <v>https://twitter.com/ymnkv/status/1569357974484799489</v>
      </c>
      <c r="AA204" s="76"/>
      <c r="AB204" s="76"/>
      <c r="AC204" s="81" t="s">
        <v>1363</v>
      </c>
      <c r="AD204" s="76"/>
      <c r="AE204" s="76" t="b">
        <v>0</v>
      </c>
      <c r="AF204" s="76">
        <v>0</v>
      </c>
      <c r="AG204" s="81" t="s">
        <v>1674</v>
      </c>
      <c r="AH204" s="76" t="b">
        <v>1</v>
      </c>
      <c r="AI204" s="76" t="s">
        <v>1772</v>
      </c>
      <c r="AJ204" s="76"/>
      <c r="AK204" s="81" t="s">
        <v>1796</v>
      </c>
      <c r="AL204" s="76" t="b">
        <v>0</v>
      </c>
      <c r="AM204" s="76">
        <v>4</v>
      </c>
      <c r="AN204" s="81" t="s">
        <v>1364</v>
      </c>
      <c r="AO204" s="81" t="s">
        <v>1808</v>
      </c>
      <c r="AP204" s="76" t="b">
        <v>0</v>
      </c>
      <c r="AQ204" s="81" t="s">
        <v>1364</v>
      </c>
      <c r="AR204" s="76" t="s">
        <v>219</v>
      </c>
      <c r="AS204" s="76">
        <v>0</v>
      </c>
      <c r="AT204" s="76">
        <v>0</v>
      </c>
      <c r="AU204" s="76"/>
      <c r="AV204" s="76"/>
      <c r="AW204" s="76"/>
      <c r="AX204" s="76"/>
      <c r="AY204" s="76"/>
      <c r="AZ204" s="76"/>
      <c r="BA204" s="76"/>
      <c r="BB204" s="76"/>
      <c r="BC204">
        <v>1</v>
      </c>
      <c r="BD204" s="75" t="str">
        <f>REPLACE(INDEX(GroupVertices[Group],MATCH(Edges[[#This Row],[Vertex 1]],GroupVertices[Vertex],0)),1,1,"")</f>
        <v>17</v>
      </c>
      <c r="BE204" s="75" t="str">
        <f>REPLACE(INDEX(GroupVertices[Group],MATCH(Edges[[#This Row],[Vertex 2]],GroupVertices[Vertex],0)),1,1,"")</f>
        <v>17</v>
      </c>
      <c r="BF204" s="45">
        <v>1</v>
      </c>
      <c r="BG204" s="46">
        <v>2.380952380952381</v>
      </c>
      <c r="BH204" s="45">
        <v>1</v>
      </c>
      <c r="BI204" s="46">
        <v>2.380952380952381</v>
      </c>
      <c r="BJ204" s="45">
        <v>0</v>
      </c>
      <c r="BK204" s="46">
        <v>0</v>
      </c>
      <c r="BL204" s="45">
        <v>40</v>
      </c>
      <c r="BM204" s="46">
        <v>95.23809523809524</v>
      </c>
      <c r="BN204" s="45">
        <v>42</v>
      </c>
    </row>
    <row r="205" spans="1:66" ht="15">
      <c r="A205" s="61" t="s">
        <v>364</v>
      </c>
      <c r="B205" s="61" t="s">
        <v>364</v>
      </c>
      <c r="C205" s="62" t="s">
        <v>4688</v>
      </c>
      <c r="D205" s="63">
        <v>5</v>
      </c>
      <c r="E205" s="62"/>
      <c r="F205" s="65">
        <v>50</v>
      </c>
      <c r="G205" s="62"/>
      <c r="H205" s="66"/>
      <c r="I205" s="67"/>
      <c r="J205" s="67"/>
      <c r="K205" s="31" t="s">
        <v>65</v>
      </c>
      <c r="L205" s="68">
        <v>205</v>
      </c>
      <c r="M205" s="68"/>
      <c r="N205" s="69"/>
      <c r="O205" s="76" t="s">
        <v>219</v>
      </c>
      <c r="P205" s="78">
        <v>44816.555347222224</v>
      </c>
      <c r="Q205" s="76" t="s">
        <v>672</v>
      </c>
      <c r="R205" s="79" t="str">
        <f>HYPERLINK("https://twitter.com/MaxDfelladius/status/1569308389137649669")</f>
        <v>https://twitter.com/MaxDfelladius/status/1569308389137649669</v>
      </c>
      <c r="S205" s="76" t="s">
        <v>783</v>
      </c>
      <c r="T205" s="81" t="s">
        <v>835</v>
      </c>
      <c r="U205" s="76"/>
      <c r="V205" s="79" t="str">
        <f>HYPERLINK("https://pbs.twimg.com/profile_images/923110970515513344/mN-gzyJK_normal.jpg")</f>
        <v>https://pbs.twimg.com/profile_images/923110970515513344/mN-gzyJK_normal.jpg</v>
      </c>
      <c r="W205" s="78">
        <v>44816.555347222224</v>
      </c>
      <c r="X205" s="84">
        <v>44816</v>
      </c>
      <c r="Y205" s="81" t="s">
        <v>1033</v>
      </c>
      <c r="Z205" s="79" t="str">
        <f>HYPERLINK("https://twitter.com/akorybko/status/1569314814589108225")</f>
        <v>https://twitter.com/akorybko/status/1569314814589108225</v>
      </c>
      <c r="AA205" s="76"/>
      <c r="AB205" s="76"/>
      <c r="AC205" s="81" t="s">
        <v>1364</v>
      </c>
      <c r="AD205" s="76"/>
      <c r="AE205" s="76" t="b">
        <v>0</v>
      </c>
      <c r="AF205" s="76">
        <v>16</v>
      </c>
      <c r="AG205" s="81" t="s">
        <v>1674</v>
      </c>
      <c r="AH205" s="76" t="b">
        <v>1</v>
      </c>
      <c r="AI205" s="76" t="s">
        <v>1772</v>
      </c>
      <c r="AJ205" s="76"/>
      <c r="AK205" s="81" t="s">
        <v>1796</v>
      </c>
      <c r="AL205" s="76" t="b">
        <v>0</v>
      </c>
      <c r="AM205" s="76">
        <v>4</v>
      </c>
      <c r="AN205" s="81" t="s">
        <v>1674</v>
      </c>
      <c r="AO205" s="81" t="s">
        <v>1809</v>
      </c>
      <c r="AP205" s="76" t="b">
        <v>0</v>
      </c>
      <c r="AQ205" s="81" t="s">
        <v>1364</v>
      </c>
      <c r="AR205" s="76" t="s">
        <v>219</v>
      </c>
      <c r="AS205" s="76">
        <v>0</v>
      </c>
      <c r="AT205" s="76">
        <v>0</v>
      </c>
      <c r="AU205" s="76"/>
      <c r="AV205" s="76"/>
      <c r="AW205" s="76"/>
      <c r="AX205" s="76"/>
      <c r="AY205" s="76"/>
      <c r="AZ205" s="76"/>
      <c r="BA205" s="76"/>
      <c r="BB205" s="76"/>
      <c r="BC205">
        <v>1</v>
      </c>
      <c r="BD205" s="75" t="str">
        <f>REPLACE(INDEX(GroupVertices[Group],MATCH(Edges[[#This Row],[Vertex 1]],GroupVertices[Vertex],0)),1,1,"")</f>
        <v>17</v>
      </c>
      <c r="BE205" s="75" t="str">
        <f>REPLACE(INDEX(GroupVertices[Group],MATCH(Edges[[#This Row],[Vertex 2]],GroupVertices[Vertex],0)),1,1,"")</f>
        <v>17</v>
      </c>
      <c r="BF205" s="45">
        <v>1</v>
      </c>
      <c r="BG205" s="46">
        <v>2.380952380952381</v>
      </c>
      <c r="BH205" s="45">
        <v>1</v>
      </c>
      <c r="BI205" s="46">
        <v>2.380952380952381</v>
      </c>
      <c r="BJ205" s="45">
        <v>0</v>
      </c>
      <c r="BK205" s="46">
        <v>0</v>
      </c>
      <c r="BL205" s="45">
        <v>40</v>
      </c>
      <c r="BM205" s="46">
        <v>95.23809523809524</v>
      </c>
      <c r="BN205" s="45">
        <v>42</v>
      </c>
    </row>
    <row r="206" spans="1:66" ht="15">
      <c r="A206" s="61" t="s">
        <v>365</v>
      </c>
      <c r="B206" s="61" t="s">
        <v>364</v>
      </c>
      <c r="C206" s="62" t="s">
        <v>4688</v>
      </c>
      <c r="D206" s="63">
        <v>5</v>
      </c>
      <c r="E206" s="62"/>
      <c r="F206" s="65">
        <v>50</v>
      </c>
      <c r="G206" s="62"/>
      <c r="H206" s="66"/>
      <c r="I206" s="67"/>
      <c r="J206" s="67"/>
      <c r="K206" s="31" t="s">
        <v>65</v>
      </c>
      <c r="L206" s="68">
        <v>206</v>
      </c>
      <c r="M206" s="68"/>
      <c r="N206" s="69"/>
      <c r="O206" s="76" t="s">
        <v>586</v>
      </c>
      <c r="P206" s="78">
        <v>44816.74512731482</v>
      </c>
      <c r="Q206" s="76" t="s">
        <v>672</v>
      </c>
      <c r="R206" s="79" t="str">
        <f>HYPERLINK("https://twitter.com/MaxDfelladius/status/1569308389137649669")</f>
        <v>https://twitter.com/MaxDfelladius/status/1569308389137649669</v>
      </c>
      <c r="S206" s="76" t="s">
        <v>783</v>
      </c>
      <c r="T206" s="81" t="s">
        <v>835</v>
      </c>
      <c r="U206" s="76"/>
      <c r="V206" s="79" t="str">
        <f>HYPERLINK("https://pbs.twimg.com/profile_images/636582458176221184/2uRQQx1e_normal.png")</f>
        <v>https://pbs.twimg.com/profile_images/636582458176221184/2uRQQx1e_normal.png</v>
      </c>
      <c r="W206" s="78">
        <v>44816.74512731482</v>
      </c>
      <c r="X206" s="84">
        <v>44816</v>
      </c>
      <c r="Y206" s="81" t="s">
        <v>1034</v>
      </c>
      <c r="Z206" s="79" t="str">
        <f>HYPERLINK("https://twitter.com/carmenacoleman/status/1569383585815166976")</f>
        <v>https://twitter.com/carmenacoleman/status/1569383585815166976</v>
      </c>
      <c r="AA206" s="76"/>
      <c r="AB206" s="76"/>
      <c r="AC206" s="81" t="s">
        <v>1365</v>
      </c>
      <c r="AD206" s="76"/>
      <c r="AE206" s="76" t="b">
        <v>0</v>
      </c>
      <c r="AF206" s="76">
        <v>0</v>
      </c>
      <c r="AG206" s="81" t="s">
        <v>1674</v>
      </c>
      <c r="AH206" s="76" t="b">
        <v>1</v>
      </c>
      <c r="AI206" s="76" t="s">
        <v>1772</v>
      </c>
      <c r="AJ206" s="76"/>
      <c r="AK206" s="81" t="s">
        <v>1796</v>
      </c>
      <c r="AL206" s="76" t="b">
        <v>0</v>
      </c>
      <c r="AM206" s="76">
        <v>4</v>
      </c>
      <c r="AN206" s="81" t="s">
        <v>1364</v>
      </c>
      <c r="AO206" s="81" t="s">
        <v>1808</v>
      </c>
      <c r="AP206" s="76" t="b">
        <v>0</v>
      </c>
      <c r="AQ206" s="81" t="s">
        <v>1364</v>
      </c>
      <c r="AR206" s="76" t="s">
        <v>219</v>
      </c>
      <c r="AS206" s="76">
        <v>0</v>
      </c>
      <c r="AT206" s="76">
        <v>0</v>
      </c>
      <c r="AU206" s="76"/>
      <c r="AV206" s="76"/>
      <c r="AW206" s="76"/>
      <c r="AX206" s="76"/>
      <c r="AY206" s="76"/>
      <c r="AZ206" s="76"/>
      <c r="BA206" s="76"/>
      <c r="BB206" s="76"/>
      <c r="BC206">
        <v>1</v>
      </c>
      <c r="BD206" s="75" t="str">
        <f>REPLACE(INDEX(GroupVertices[Group],MATCH(Edges[[#This Row],[Vertex 1]],GroupVertices[Vertex],0)),1,1,"")</f>
        <v>17</v>
      </c>
      <c r="BE206" s="75" t="str">
        <f>REPLACE(INDEX(GroupVertices[Group],MATCH(Edges[[#This Row],[Vertex 2]],GroupVertices[Vertex],0)),1,1,"")</f>
        <v>17</v>
      </c>
      <c r="BF206" s="45">
        <v>1</v>
      </c>
      <c r="BG206" s="46">
        <v>2.380952380952381</v>
      </c>
      <c r="BH206" s="45">
        <v>1</v>
      </c>
      <c r="BI206" s="46">
        <v>2.380952380952381</v>
      </c>
      <c r="BJ206" s="45">
        <v>0</v>
      </c>
      <c r="BK206" s="46">
        <v>0</v>
      </c>
      <c r="BL206" s="45">
        <v>40</v>
      </c>
      <c r="BM206" s="46">
        <v>95.23809523809524</v>
      </c>
      <c r="BN206" s="45">
        <v>42</v>
      </c>
    </row>
    <row r="207" spans="1:66" ht="15">
      <c r="A207" s="61" t="s">
        <v>366</v>
      </c>
      <c r="B207" s="61" t="s">
        <v>513</v>
      </c>
      <c r="C207" s="62" t="s">
        <v>4688</v>
      </c>
      <c r="D207" s="63">
        <v>5</v>
      </c>
      <c r="E207" s="62"/>
      <c r="F207" s="65">
        <v>50</v>
      </c>
      <c r="G207" s="62"/>
      <c r="H207" s="66"/>
      <c r="I207" s="67"/>
      <c r="J207" s="67"/>
      <c r="K207" s="31" t="s">
        <v>65</v>
      </c>
      <c r="L207" s="68">
        <v>207</v>
      </c>
      <c r="M207" s="68"/>
      <c r="N207" s="69"/>
      <c r="O207" s="76" t="s">
        <v>587</v>
      </c>
      <c r="P207" s="78">
        <v>44816.79756944445</v>
      </c>
      <c r="Q207" s="76" t="s">
        <v>676</v>
      </c>
      <c r="R207" s="76"/>
      <c r="S207" s="76"/>
      <c r="T207" s="81" t="s">
        <v>837</v>
      </c>
      <c r="U207" s="76"/>
      <c r="V207" s="79" t="str">
        <f>HYPERLINK("https://pbs.twimg.com/profile_images/1332671007883137026/M20mm0Jg_normal.jpg")</f>
        <v>https://pbs.twimg.com/profile_images/1332671007883137026/M20mm0Jg_normal.jpg</v>
      </c>
      <c r="W207" s="78">
        <v>44816.79756944445</v>
      </c>
      <c r="X207" s="84">
        <v>44816</v>
      </c>
      <c r="Y207" s="81" t="s">
        <v>1035</v>
      </c>
      <c r="Z207" s="79" t="str">
        <f>HYPERLINK("https://twitter.com/berniedelf/status/1569402590672130048")</f>
        <v>https://twitter.com/berniedelf/status/1569402590672130048</v>
      </c>
      <c r="AA207" s="76"/>
      <c r="AB207" s="76"/>
      <c r="AC207" s="81" t="s">
        <v>1366</v>
      </c>
      <c r="AD207" s="81" t="s">
        <v>1608</v>
      </c>
      <c r="AE207" s="76" t="b">
        <v>0</v>
      </c>
      <c r="AF207" s="76">
        <v>0</v>
      </c>
      <c r="AG207" s="81" t="s">
        <v>1719</v>
      </c>
      <c r="AH207" s="76" t="b">
        <v>0</v>
      </c>
      <c r="AI207" s="76" t="s">
        <v>1773</v>
      </c>
      <c r="AJ207" s="76"/>
      <c r="AK207" s="81" t="s">
        <v>1674</v>
      </c>
      <c r="AL207" s="76" t="b">
        <v>0</v>
      </c>
      <c r="AM207" s="76">
        <v>0</v>
      </c>
      <c r="AN207" s="81" t="s">
        <v>1674</v>
      </c>
      <c r="AO207" s="81" t="s">
        <v>1808</v>
      </c>
      <c r="AP207" s="76" t="b">
        <v>0</v>
      </c>
      <c r="AQ207" s="81" t="s">
        <v>1608</v>
      </c>
      <c r="AR207" s="76" t="s">
        <v>219</v>
      </c>
      <c r="AS207" s="76">
        <v>0</v>
      </c>
      <c r="AT207" s="76">
        <v>0</v>
      </c>
      <c r="AU207" s="76"/>
      <c r="AV207" s="76"/>
      <c r="AW207" s="76"/>
      <c r="AX207" s="76"/>
      <c r="AY207" s="76"/>
      <c r="AZ207" s="76"/>
      <c r="BA207" s="76"/>
      <c r="BB207" s="76"/>
      <c r="BC207">
        <v>1</v>
      </c>
      <c r="BD207" s="75" t="str">
        <f>REPLACE(INDEX(GroupVertices[Group],MATCH(Edges[[#This Row],[Vertex 1]],GroupVertices[Vertex],0)),1,1,"")</f>
        <v>47</v>
      </c>
      <c r="BE207" s="75" t="str">
        <f>REPLACE(INDEX(GroupVertices[Group],MATCH(Edges[[#This Row],[Vertex 2]],GroupVertices[Vertex],0)),1,1,"")</f>
        <v>47</v>
      </c>
      <c r="BF207" s="45">
        <v>0</v>
      </c>
      <c r="BG207" s="46">
        <v>0</v>
      </c>
      <c r="BH207" s="45">
        <v>0</v>
      </c>
      <c r="BI207" s="46">
        <v>0</v>
      </c>
      <c r="BJ207" s="45">
        <v>0</v>
      </c>
      <c r="BK207" s="46">
        <v>0</v>
      </c>
      <c r="BL207" s="45">
        <v>3</v>
      </c>
      <c r="BM207" s="46">
        <v>100</v>
      </c>
      <c r="BN207" s="45">
        <v>3</v>
      </c>
    </row>
    <row r="208" spans="1:66" ht="15">
      <c r="A208" s="61" t="s">
        <v>367</v>
      </c>
      <c r="B208" s="61" t="s">
        <v>514</v>
      </c>
      <c r="C208" s="62" t="s">
        <v>4688</v>
      </c>
      <c r="D208" s="63">
        <v>5</v>
      </c>
      <c r="E208" s="62"/>
      <c r="F208" s="65">
        <v>50</v>
      </c>
      <c r="G208" s="62"/>
      <c r="H208" s="66"/>
      <c r="I208" s="67"/>
      <c r="J208" s="67"/>
      <c r="K208" s="31" t="s">
        <v>65</v>
      </c>
      <c r="L208" s="68">
        <v>208</v>
      </c>
      <c r="M208" s="68"/>
      <c r="N208" s="69"/>
      <c r="O208" s="76" t="s">
        <v>587</v>
      </c>
      <c r="P208" s="78">
        <v>44816.8846412037</v>
      </c>
      <c r="Q208" s="76" t="s">
        <v>677</v>
      </c>
      <c r="R208" s="76"/>
      <c r="S208" s="76"/>
      <c r="T208" s="81" t="s">
        <v>838</v>
      </c>
      <c r="U208" s="76"/>
      <c r="V208" s="79" t="str">
        <f>HYPERLINK("https://pbs.twimg.com/profile_images/1561835387508740098/-ajRrRYm_normal.jpg")</f>
        <v>https://pbs.twimg.com/profile_images/1561835387508740098/-ajRrRYm_normal.jpg</v>
      </c>
      <c r="W208" s="78">
        <v>44816.8846412037</v>
      </c>
      <c r="X208" s="84">
        <v>44816</v>
      </c>
      <c r="Y208" s="81" t="s">
        <v>1036</v>
      </c>
      <c r="Z208" s="79" t="str">
        <f>HYPERLINK("https://twitter.com/arifvns1985/status/1569434143548907523")</f>
        <v>https://twitter.com/arifvns1985/status/1569434143548907523</v>
      </c>
      <c r="AA208" s="76"/>
      <c r="AB208" s="76"/>
      <c r="AC208" s="81" t="s">
        <v>1367</v>
      </c>
      <c r="AD208" s="81" t="s">
        <v>1609</v>
      </c>
      <c r="AE208" s="76" t="b">
        <v>0</v>
      </c>
      <c r="AF208" s="76">
        <v>1</v>
      </c>
      <c r="AG208" s="81" t="s">
        <v>1720</v>
      </c>
      <c r="AH208" s="76" t="b">
        <v>0</v>
      </c>
      <c r="AI208" s="76" t="s">
        <v>1773</v>
      </c>
      <c r="AJ208" s="76"/>
      <c r="AK208" s="81" t="s">
        <v>1674</v>
      </c>
      <c r="AL208" s="76" t="b">
        <v>0</v>
      </c>
      <c r="AM208" s="76">
        <v>0</v>
      </c>
      <c r="AN208" s="81" t="s">
        <v>1674</v>
      </c>
      <c r="AO208" s="81" t="s">
        <v>1809</v>
      </c>
      <c r="AP208" s="76" t="b">
        <v>0</v>
      </c>
      <c r="AQ208" s="81" t="s">
        <v>1609</v>
      </c>
      <c r="AR208" s="76" t="s">
        <v>219</v>
      </c>
      <c r="AS208" s="76">
        <v>0</v>
      </c>
      <c r="AT208" s="76">
        <v>0</v>
      </c>
      <c r="AU208" s="76"/>
      <c r="AV208" s="76"/>
      <c r="AW208" s="76"/>
      <c r="AX208" s="76"/>
      <c r="AY208" s="76"/>
      <c r="AZ208" s="76"/>
      <c r="BA208" s="76"/>
      <c r="BB208" s="76"/>
      <c r="BC208">
        <v>1</v>
      </c>
      <c r="BD208" s="75" t="str">
        <f>REPLACE(INDEX(GroupVertices[Group],MATCH(Edges[[#This Row],[Vertex 1]],GroupVertices[Vertex],0)),1,1,"")</f>
        <v>46</v>
      </c>
      <c r="BE208" s="75" t="str">
        <f>REPLACE(INDEX(GroupVertices[Group],MATCH(Edges[[#This Row],[Vertex 2]],GroupVertices[Vertex],0)),1,1,"")</f>
        <v>46</v>
      </c>
      <c r="BF208" s="45">
        <v>0</v>
      </c>
      <c r="BG208" s="46">
        <v>0</v>
      </c>
      <c r="BH208" s="45">
        <v>0</v>
      </c>
      <c r="BI208" s="46">
        <v>0</v>
      </c>
      <c r="BJ208" s="45">
        <v>0</v>
      </c>
      <c r="BK208" s="46">
        <v>0</v>
      </c>
      <c r="BL208" s="45">
        <v>14</v>
      </c>
      <c r="BM208" s="46">
        <v>100</v>
      </c>
      <c r="BN208" s="45">
        <v>14</v>
      </c>
    </row>
    <row r="209" spans="1:66" ht="15">
      <c r="A209" s="61" t="s">
        <v>368</v>
      </c>
      <c r="B209" s="61" t="s">
        <v>368</v>
      </c>
      <c r="C209" s="62" t="s">
        <v>4689</v>
      </c>
      <c r="D209" s="63">
        <v>5.416666666666667</v>
      </c>
      <c r="E209" s="62"/>
      <c r="F209" s="65">
        <v>47.083333333333336</v>
      </c>
      <c r="G209" s="62"/>
      <c r="H209" s="66"/>
      <c r="I209" s="67"/>
      <c r="J209" s="67"/>
      <c r="K209" s="31" t="s">
        <v>65</v>
      </c>
      <c r="L209" s="68">
        <v>209</v>
      </c>
      <c r="M209" s="68"/>
      <c r="N209" s="69"/>
      <c r="O209" s="76" t="s">
        <v>219</v>
      </c>
      <c r="P209" s="78">
        <v>44684.93628472222</v>
      </c>
      <c r="Q209" s="76" t="s">
        <v>678</v>
      </c>
      <c r="R209" s="76"/>
      <c r="S209" s="76"/>
      <c r="T209" s="81" t="s">
        <v>839</v>
      </c>
      <c r="U209" s="79" t="str">
        <f>HYPERLINK("https://pbs.twimg.com/media/FR3Y1LuXsAQ67ek.jpg")</f>
        <v>https://pbs.twimg.com/media/FR3Y1LuXsAQ67ek.jpg</v>
      </c>
      <c r="V209" s="79" t="str">
        <f>HYPERLINK("https://pbs.twimg.com/media/FR3Y1LuXsAQ67ek.jpg")</f>
        <v>https://pbs.twimg.com/media/FR3Y1LuXsAQ67ek.jpg</v>
      </c>
      <c r="W209" s="78">
        <v>44684.93628472222</v>
      </c>
      <c r="X209" s="84">
        <v>44684</v>
      </c>
      <c r="Y209" s="81" t="s">
        <v>1037</v>
      </c>
      <c r="Z209" s="79" t="str">
        <f>HYPERLINK("https://twitter.com/varyagi/status/1521617663776239616")</f>
        <v>https://twitter.com/varyagi/status/1521617663776239616</v>
      </c>
      <c r="AA209" s="76"/>
      <c r="AB209" s="76"/>
      <c r="AC209" s="81" t="s">
        <v>1368</v>
      </c>
      <c r="AD209" s="81" t="s">
        <v>1610</v>
      </c>
      <c r="AE209" s="76" t="b">
        <v>0</v>
      </c>
      <c r="AF209" s="76">
        <v>52</v>
      </c>
      <c r="AG209" s="81" t="s">
        <v>1721</v>
      </c>
      <c r="AH209" s="76" t="b">
        <v>0</v>
      </c>
      <c r="AI209" s="76" t="s">
        <v>1772</v>
      </c>
      <c r="AJ209" s="76"/>
      <c r="AK209" s="81" t="s">
        <v>1674</v>
      </c>
      <c r="AL209" s="76" t="b">
        <v>0</v>
      </c>
      <c r="AM209" s="76">
        <v>19</v>
      </c>
      <c r="AN209" s="81" t="s">
        <v>1674</v>
      </c>
      <c r="AO209" s="81" t="s">
        <v>1808</v>
      </c>
      <c r="AP209" s="76" t="b">
        <v>0</v>
      </c>
      <c r="AQ209" s="81" t="s">
        <v>1610</v>
      </c>
      <c r="AR209" s="76" t="s">
        <v>586</v>
      </c>
      <c r="AS209" s="76">
        <v>0</v>
      </c>
      <c r="AT209" s="76">
        <v>0</v>
      </c>
      <c r="AU209" s="76"/>
      <c r="AV209" s="76"/>
      <c r="AW209" s="76"/>
      <c r="AX209" s="76"/>
      <c r="AY209" s="76"/>
      <c r="AZ209" s="76"/>
      <c r="BA209" s="76"/>
      <c r="BB209" s="76"/>
      <c r="BC209">
        <v>2</v>
      </c>
      <c r="BD209" s="75" t="str">
        <f>REPLACE(INDEX(GroupVertices[Group],MATCH(Edges[[#This Row],[Vertex 1]],GroupVertices[Vertex],0)),1,1,"")</f>
        <v>2</v>
      </c>
      <c r="BE209" s="75" t="str">
        <f>REPLACE(INDEX(GroupVertices[Group],MATCH(Edges[[#This Row],[Vertex 2]],GroupVertices[Vertex],0)),1,1,"")</f>
        <v>2</v>
      </c>
      <c r="BF209" s="45">
        <v>1</v>
      </c>
      <c r="BG209" s="46">
        <v>2.0408163265306123</v>
      </c>
      <c r="BH209" s="45">
        <v>3</v>
      </c>
      <c r="BI209" s="46">
        <v>6.122448979591836</v>
      </c>
      <c r="BJ209" s="45">
        <v>0</v>
      </c>
      <c r="BK209" s="46">
        <v>0</v>
      </c>
      <c r="BL209" s="45">
        <v>45</v>
      </c>
      <c r="BM209" s="46">
        <v>91.83673469387755</v>
      </c>
      <c r="BN209" s="45">
        <v>49</v>
      </c>
    </row>
    <row r="210" spans="1:66" ht="15">
      <c r="A210" s="61" t="s">
        <v>368</v>
      </c>
      <c r="B210" s="61" t="s">
        <v>368</v>
      </c>
      <c r="C210" s="62" t="s">
        <v>4689</v>
      </c>
      <c r="D210" s="63">
        <v>5.416666666666667</v>
      </c>
      <c r="E210" s="62"/>
      <c r="F210" s="65">
        <v>47.083333333333336</v>
      </c>
      <c r="G210" s="62"/>
      <c r="H210" s="66"/>
      <c r="I210" s="67"/>
      <c r="J210" s="67"/>
      <c r="K210" s="31" t="s">
        <v>65</v>
      </c>
      <c r="L210" s="68">
        <v>210</v>
      </c>
      <c r="M210" s="68"/>
      <c r="N210" s="69"/>
      <c r="O210" s="76" t="s">
        <v>586</v>
      </c>
      <c r="P210" s="78">
        <v>44816.92335648148</v>
      </c>
      <c r="Q210" s="76" t="s">
        <v>678</v>
      </c>
      <c r="R210" s="76"/>
      <c r="S210" s="76"/>
      <c r="T210" s="81" t="s">
        <v>839</v>
      </c>
      <c r="U210" s="79" t="str">
        <f>HYPERLINK("https://pbs.twimg.com/media/FR3Y1LuXsAQ67ek.jpg")</f>
        <v>https://pbs.twimg.com/media/FR3Y1LuXsAQ67ek.jpg</v>
      </c>
      <c r="V210" s="79" t="str">
        <f>HYPERLINK("https://pbs.twimg.com/media/FR3Y1LuXsAQ67ek.jpg")</f>
        <v>https://pbs.twimg.com/media/FR3Y1LuXsAQ67ek.jpg</v>
      </c>
      <c r="W210" s="78">
        <v>44816.92335648148</v>
      </c>
      <c r="X210" s="84">
        <v>44816</v>
      </c>
      <c r="Y210" s="81" t="s">
        <v>1038</v>
      </c>
      <c r="Z210" s="79" t="str">
        <f>HYPERLINK("https://twitter.com/varyagi/status/1569448174128881664")</f>
        <v>https://twitter.com/varyagi/status/1569448174128881664</v>
      </c>
      <c r="AA210" s="76"/>
      <c r="AB210" s="76"/>
      <c r="AC210" s="81" t="s">
        <v>1369</v>
      </c>
      <c r="AD210" s="76"/>
      <c r="AE210" s="76" t="b">
        <v>0</v>
      </c>
      <c r="AF210" s="76">
        <v>0</v>
      </c>
      <c r="AG210" s="81" t="s">
        <v>1674</v>
      </c>
      <c r="AH210" s="76" t="b">
        <v>0</v>
      </c>
      <c r="AI210" s="76" t="s">
        <v>1772</v>
      </c>
      <c r="AJ210" s="76"/>
      <c r="AK210" s="81" t="s">
        <v>1674</v>
      </c>
      <c r="AL210" s="76" t="b">
        <v>0</v>
      </c>
      <c r="AM210" s="76">
        <v>19</v>
      </c>
      <c r="AN210" s="81" t="s">
        <v>1368</v>
      </c>
      <c r="AO210" s="81" t="s">
        <v>1808</v>
      </c>
      <c r="AP210" s="76" t="b">
        <v>0</v>
      </c>
      <c r="AQ210" s="81" t="s">
        <v>1368</v>
      </c>
      <c r="AR210" s="76" t="s">
        <v>219</v>
      </c>
      <c r="AS210" s="76">
        <v>0</v>
      </c>
      <c r="AT210" s="76">
        <v>0</v>
      </c>
      <c r="AU210" s="76"/>
      <c r="AV210" s="76"/>
      <c r="AW210" s="76"/>
      <c r="AX210" s="76"/>
      <c r="AY210" s="76"/>
      <c r="AZ210" s="76"/>
      <c r="BA210" s="76"/>
      <c r="BB210" s="76"/>
      <c r="BC210">
        <v>2</v>
      </c>
      <c r="BD210" s="75" t="str">
        <f>REPLACE(INDEX(GroupVertices[Group],MATCH(Edges[[#This Row],[Vertex 1]],GroupVertices[Vertex],0)),1,1,"")</f>
        <v>2</v>
      </c>
      <c r="BE210" s="75" t="str">
        <f>REPLACE(INDEX(GroupVertices[Group],MATCH(Edges[[#This Row],[Vertex 2]],GroupVertices[Vertex],0)),1,1,"")</f>
        <v>2</v>
      </c>
      <c r="BF210" s="45">
        <v>1</v>
      </c>
      <c r="BG210" s="46">
        <v>2.0408163265306123</v>
      </c>
      <c r="BH210" s="45">
        <v>3</v>
      </c>
      <c r="BI210" s="46">
        <v>6.122448979591836</v>
      </c>
      <c r="BJ210" s="45">
        <v>0</v>
      </c>
      <c r="BK210" s="46">
        <v>0</v>
      </c>
      <c r="BL210" s="45">
        <v>45</v>
      </c>
      <c r="BM210" s="46">
        <v>91.83673469387755</v>
      </c>
      <c r="BN210" s="45">
        <v>49</v>
      </c>
    </row>
    <row r="211" spans="1:66" ht="15">
      <c r="A211" s="61" t="s">
        <v>369</v>
      </c>
      <c r="B211" s="61" t="s">
        <v>515</v>
      </c>
      <c r="C211" s="62" t="s">
        <v>4688</v>
      </c>
      <c r="D211" s="63">
        <v>5</v>
      </c>
      <c r="E211" s="62"/>
      <c r="F211" s="65">
        <v>50</v>
      </c>
      <c r="G211" s="62"/>
      <c r="H211" s="66"/>
      <c r="I211" s="67"/>
      <c r="J211" s="67"/>
      <c r="K211" s="31" t="s">
        <v>65</v>
      </c>
      <c r="L211" s="68">
        <v>211</v>
      </c>
      <c r="M211" s="68"/>
      <c r="N211" s="69"/>
      <c r="O211" s="76" t="s">
        <v>588</v>
      </c>
      <c r="P211" s="78">
        <v>44817.057708333334</v>
      </c>
      <c r="Q211" s="76" t="s">
        <v>679</v>
      </c>
      <c r="R211" s="76"/>
      <c r="S211" s="76"/>
      <c r="T211" s="76"/>
      <c r="U211" s="76"/>
      <c r="V211" s="79" t="str">
        <f>HYPERLINK("https://abs.twimg.com/sticky/default_profile_images/default_profile_normal.png")</f>
        <v>https://abs.twimg.com/sticky/default_profile_images/default_profile_normal.png</v>
      </c>
      <c r="W211" s="78">
        <v>44817.057708333334</v>
      </c>
      <c r="X211" s="84">
        <v>44817</v>
      </c>
      <c r="Y211" s="81" t="s">
        <v>1039</v>
      </c>
      <c r="Z211" s="79" t="str">
        <f>HYPERLINK("https://twitter.com/peter_b_c/status/1569496861370884096")</f>
        <v>https://twitter.com/peter_b_c/status/1569496861370884096</v>
      </c>
      <c r="AA211" s="76"/>
      <c r="AB211" s="76"/>
      <c r="AC211" s="81" t="s">
        <v>1370</v>
      </c>
      <c r="AD211" s="81" t="s">
        <v>1611</v>
      </c>
      <c r="AE211" s="76" t="b">
        <v>0</v>
      </c>
      <c r="AF211" s="76">
        <v>0</v>
      </c>
      <c r="AG211" s="81" t="s">
        <v>1722</v>
      </c>
      <c r="AH211" s="76" t="b">
        <v>0</v>
      </c>
      <c r="AI211" s="76" t="s">
        <v>1772</v>
      </c>
      <c r="AJ211" s="76"/>
      <c r="AK211" s="81" t="s">
        <v>1674</v>
      </c>
      <c r="AL211" s="76" t="b">
        <v>0</v>
      </c>
      <c r="AM211" s="76">
        <v>0</v>
      </c>
      <c r="AN211" s="81" t="s">
        <v>1674</v>
      </c>
      <c r="AO211" s="81" t="s">
        <v>1810</v>
      </c>
      <c r="AP211" s="76" t="b">
        <v>0</v>
      </c>
      <c r="AQ211" s="81" t="s">
        <v>1611</v>
      </c>
      <c r="AR211" s="76" t="s">
        <v>219</v>
      </c>
      <c r="AS211" s="76">
        <v>0</v>
      </c>
      <c r="AT211" s="76">
        <v>0</v>
      </c>
      <c r="AU211" s="76"/>
      <c r="AV211" s="76"/>
      <c r="AW211" s="76"/>
      <c r="AX211" s="76"/>
      <c r="AY211" s="76"/>
      <c r="AZ211" s="76"/>
      <c r="BA211" s="76"/>
      <c r="BB211" s="76"/>
      <c r="BC211">
        <v>1</v>
      </c>
      <c r="BD211" s="75" t="str">
        <f>REPLACE(INDEX(GroupVertices[Group],MATCH(Edges[[#This Row],[Vertex 1]],GroupVertices[Vertex],0)),1,1,"")</f>
        <v>26</v>
      </c>
      <c r="BE211" s="75" t="str">
        <f>REPLACE(INDEX(GroupVertices[Group],MATCH(Edges[[#This Row],[Vertex 2]],GroupVertices[Vertex],0)),1,1,"")</f>
        <v>26</v>
      </c>
      <c r="BF211" s="45"/>
      <c r="BG211" s="46"/>
      <c r="BH211" s="45"/>
      <c r="BI211" s="46"/>
      <c r="BJ211" s="45"/>
      <c r="BK211" s="46"/>
      <c r="BL211" s="45"/>
      <c r="BM211" s="46"/>
      <c r="BN211" s="45"/>
    </row>
    <row r="212" spans="1:66" ht="15">
      <c r="A212" s="61" t="s">
        <v>369</v>
      </c>
      <c r="B212" s="61" t="s">
        <v>516</v>
      </c>
      <c r="C212" s="62" t="s">
        <v>4688</v>
      </c>
      <c r="D212" s="63">
        <v>5</v>
      </c>
      <c r="E212" s="62"/>
      <c r="F212" s="65">
        <v>50</v>
      </c>
      <c r="G212" s="62"/>
      <c r="H212" s="66"/>
      <c r="I212" s="67"/>
      <c r="J212" s="67"/>
      <c r="K212" s="31" t="s">
        <v>65</v>
      </c>
      <c r="L212" s="68">
        <v>212</v>
      </c>
      <c r="M212" s="68"/>
      <c r="N212" s="69"/>
      <c r="O212" s="76" t="s">
        <v>588</v>
      </c>
      <c r="P212" s="78">
        <v>44817.057708333334</v>
      </c>
      <c r="Q212" s="76" t="s">
        <v>679</v>
      </c>
      <c r="R212" s="76"/>
      <c r="S212" s="76"/>
      <c r="T212" s="76"/>
      <c r="U212" s="76"/>
      <c r="V212" s="79" t="str">
        <f>HYPERLINK("https://abs.twimg.com/sticky/default_profile_images/default_profile_normal.png")</f>
        <v>https://abs.twimg.com/sticky/default_profile_images/default_profile_normal.png</v>
      </c>
      <c r="W212" s="78">
        <v>44817.057708333334</v>
      </c>
      <c r="X212" s="84">
        <v>44817</v>
      </c>
      <c r="Y212" s="81" t="s">
        <v>1039</v>
      </c>
      <c r="Z212" s="79" t="str">
        <f>HYPERLINK("https://twitter.com/peter_b_c/status/1569496861370884096")</f>
        <v>https://twitter.com/peter_b_c/status/1569496861370884096</v>
      </c>
      <c r="AA212" s="76"/>
      <c r="AB212" s="76"/>
      <c r="AC212" s="81" t="s">
        <v>1370</v>
      </c>
      <c r="AD212" s="81" t="s">
        <v>1611</v>
      </c>
      <c r="AE212" s="76" t="b">
        <v>0</v>
      </c>
      <c r="AF212" s="76">
        <v>0</v>
      </c>
      <c r="AG212" s="81" t="s">
        <v>1722</v>
      </c>
      <c r="AH212" s="76" t="b">
        <v>0</v>
      </c>
      <c r="AI212" s="76" t="s">
        <v>1772</v>
      </c>
      <c r="AJ212" s="76"/>
      <c r="AK212" s="81" t="s">
        <v>1674</v>
      </c>
      <c r="AL212" s="76" t="b">
        <v>0</v>
      </c>
      <c r="AM212" s="76">
        <v>0</v>
      </c>
      <c r="AN212" s="81" t="s">
        <v>1674</v>
      </c>
      <c r="AO212" s="81" t="s">
        <v>1810</v>
      </c>
      <c r="AP212" s="76" t="b">
        <v>0</v>
      </c>
      <c r="AQ212" s="81" t="s">
        <v>1611</v>
      </c>
      <c r="AR212" s="76" t="s">
        <v>219</v>
      </c>
      <c r="AS212" s="76">
        <v>0</v>
      </c>
      <c r="AT212" s="76">
        <v>0</v>
      </c>
      <c r="AU212" s="76"/>
      <c r="AV212" s="76"/>
      <c r="AW212" s="76"/>
      <c r="AX212" s="76"/>
      <c r="AY212" s="76"/>
      <c r="AZ212" s="76"/>
      <c r="BA212" s="76"/>
      <c r="BB212" s="76"/>
      <c r="BC212">
        <v>1</v>
      </c>
      <c r="BD212" s="75" t="str">
        <f>REPLACE(INDEX(GroupVertices[Group],MATCH(Edges[[#This Row],[Vertex 1]],GroupVertices[Vertex],0)),1,1,"")</f>
        <v>26</v>
      </c>
      <c r="BE212" s="75" t="str">
        <f>REPLACE(INDEX(GroupVertices[Group],MATCH(Edges[[#This Row],[Vertex 2]],GroupVertices[Vertex],0)),1,1,"")</f>
        <v>26</v>
      </c>
      <c r="BF212" s="45"/>
      <c r="BG212" s="46"/>
      <c r="BH212" s="45"/>
      <c r="BI212" s="46"/>
      <c r="BJ212" s="45"/>
      <c r="BK212" s="46"/>
      <c r="BL212" s="45"/>
      <c r="BM212" s="46"/>
      <c r="BN212" s="45"/>
    </row>
    <row r="213" spans="1:66" ht="15">
      <c r="A213" s="61" t="s">
        <v>369</v>
      </c>
      <c r="B213" s="61" t="s">
        <v>517</v>
      </c>
      <c r="C213" s="62" t="s">
        <v>4688</v>
      </c>
      <c r="D213" s="63">
        <v>5</v>
      </c>
      <c r="E213" s="62"/>
      <c r="F213" s="65">
        <v>50</v>
      </c>
      <c r="G213" s="62"/>
      <c r="H213" s="66"/>
      <c r="I213" s="67"/>
      <c r="J213" s="67"/>
      <c r="K213" s="31" t="s">
        <v>65</v>
      </c>
      <c r="L213" s="68">
        <v>213</v>
      </c>
      <c r="M213" s="68"/>
      <c r="N213" s="69"/>
      <c r="O213" s="76" t="s">
        <v>587</v>
      </c>
      <c r="P213" s="78">
        <v>44817.057708333334</v>
      </c>
      <c r="Q213" s="76" t="s">
        <v>679</v>
      </c>
      <c r="R213" s="76"/>
      <c r="S213" s="76"/>
      <c r="T213" s="76"/>
      <c r="U213" s="76"/>
      <c r="V213" s="79" t="str">
        <f>HYPERLINK("https://abs.twimg.com/sticky/default_profile_images/default_profile_normal.png")</f>
        <v>https://abs.twimg.com/sticky/default_profile_images/default_profile_normal.png</v>
      </c>
      <c r="W213" s="78">
        <v>44817.057708333334</v>
      </c>
      <c r="X213" s="84">
        <v>44817</v>
      </c>
      <c r="Y213" s="81" t="s">
        <v>1039</v>
      </c>
      <c r="Z213" s="79" t="str">
        <f>HYPERLINK("https://twitter.com/peter_b_c/status/1569496861370884096")</f>
        <v>https://twitter.com/peter_b_c/status/1569496861370884096</v>
      </c>
      <c r="AA213" s="76"/>
      <c r="AB213" s="76"/>
      <c r="AC213" s="81" t="s">
        <v>1370</v>
      </c>
      <c r="AD213" s="81" t="s">
        <v>1611</v>
      </c>
      <c r="AE213" s="76" t="b">
        <v>0</v>
      </c>
      <c r="AF213" s="76">
        <v>0</v>
      </c>
      <c r="AG213" s="81" t="s">
        <v>1722</v>
      </c>
      <c r="AH213" s="76" t="b">
        <v>0</v>
      </c>
      <c r="AI213" s="76" t="s">
        <v>1772</v>
      </c>
      <c r="AJ213" s="76"/>
      <c r="AK213" s="81" t="s">
        <v>1674</v>
      </c>
      <c r="AL213" s="76" t="b">
        <v>0</v>
      </c>
      <c r="AM213" s="76">
        <v>0</v>
      </c>
      <c r="AN213" s="81" t="s">
        <v>1674</v>
      </c>
      <c r="AO213" s="81" t="s">
        <v>1810</v>
      </c>
      <c r="AP213" s="76" t="b">
        <v>0</v>
      </c>
      <c r="AQ213" s="81" t="s">
        <v>1611</v>
      </c>
      <c r="AR213" s="76" t="s">
        <v>219</v>
      </c>
      <c r="AS213" s="76">
        <v>0</v>
      </c>
      <c r="AT213" s="76">
        <v>0</v>
      </c>
      <c r="AU213" s="76"/>
      <c r="AV213" s="76"/>
      <c r="AW213" s="76"/>
      <c r="AX213" s="76"/>
      <c r="AY213" s="76"/>
      <c r="AZ213" s="76"/>
      <c r="BA213" s="76"/>
      <c r="BB213" s="76"/>
      <c r="BC213">
        <v>1</v>
      </c>
      <c r="BD213" s="75" t="str">
        <f>REPLACE(INDEX(GroupVertices[Group],MATCH(Edges[[#This Row],[Vertex 1]],GroupVertices[Vertex],0)),1,1,"")</f>
        <v>26</v>
      </c>
      <c r="BE213" s="75" t="str">
        <f>REPLACE(INDEX(GroupVertices[Group],MATCH(Edges[[#This Row],[Vertex 2]],GroupVertices[Vertex],0)),1,1,"")</f>
        <v>26</v>
      </c>
      <c r="BF213" s="45">
        <v>0</v>
      </c>
      <c r="BG213" s="46">
        <v>0</v>
      </c>
      <c r="BH213" s="45">
        <v>0</v>
      </c>
      <c r="BI213" s="46">
        <v>0</v>
      </c>
      <c r="BJ213" s="45">
        <v>0</v>
      </c>
      <c r="BK213" s="46">
        <v>0</v>
      </c>
      <c r="BL213" s="45">
        <v>43</v>
      </c>
      <c r="BM213" s="46">
        <v>100</v>
      </c>
      <c r="BN213" s="45">
        <v>43</v>
      </c>
    </row>
    <row r="214" spans="1:66" ht="15">
      <c r="A214" s="61" t="s">
        <v>370</v>
      </c>
      <c r="B214" s="61" t="s">
        <v>518</v>
      </c>
      <c r="C214" s="62" t="s">
        <v>4688</v>
      </c>
      <c r="D214" s="63">
        <v>5</v>
      </c>
      <c r="E214" s="62"/>
      <c r="F214" s="65">
        <v>50</v>
      </c>
      <c r="G214" s="62"/>
      <c r="H214" s="66"/>
      <c r="I214" s="67"/>
      <c r="J214" s="67"/>
      <c r="K214" s="31" t="s">
        <v>65</v>
      </c>
      <c r="L214" s="68">
        <v>214</v>
      </c>
      <c r="M214" s="68"/>
      <c r="N214" s="69"/>
      <c r="O214" s="76" t="s">
        <v>587</v>
      </c>
      <c r="P214" s="78">
        <v>44817.3409837963</v>
      </c>
      <c r="Q214" s="76" t="s">
        <v>680</v>
      </c>
      <c r="R214" s="76"/>
      <c r="S214" s="76"/>
      <c r="T214" s="81" t="s">
        <v>801</v>
      </c>
      <c r="U214" s="76"/>
      <c r="V214" s="79" t="str">
        <f>HYPERLINK("https://pbs.twimg.com/profile_images/1423346020805644288/T3n4AiLz_normal.jpg")</f>
        <v>https://pbs.twimg.com/profile_images/1423346020805644288/T3n4AiLz_normal.jpg</v>
      </c>
      <c r="W214" s="78">
        <v>44817.3409837963</v>
      </c>
      <c r="X214" s="84">
        <v>44817</v>
      </c>
      <c r="Y214" s="81" t="s">
        <v>1040</v>
      </c>
      <c r="Z214" s="79" t="str">
        <f>HYPERLINK("https://twitter.com/cookiegonewrong/status/1569599519880540160")</f>
        <v>https://twitter.com/cookiegonewrong/status/1569599519880540160</v>
      </c>
      <c r="AA214" s="76"/>
      <c r="AB214" s="76"/>
      <c r="AC214" s="81" t="s">
        <v>1371</v>
      </c>
      <c r="AD214" s="81" t="s">
        <v>1612</v>
      </c>
      <c r="AE214" s="76" t="b">
        <v>0</v>
      </c>
      <c r="AF214" s="76">
        <v>0</v>
      </c>
      <c r="AG214" s="81" t="s">
        <v>1723</v>
      </c>
      <c r="AH214" s="76" t="b">
        <v>0</v>
      </c>
      <c r="AI214" s="76" t="s">
        <v>1772</v>
      </c>
      <c r="AJ214" s="76"/>
      <c r="AK214" s="81" t="s">
        <v>1674</v>
      </c>
      <c r="AL214" s="76" t="b">
        <v>0</v>
      </c>
      <c r="AM214" s="76">
        <v>0</v>
      </c>
      <c r="AN214" s="81" t="s">
        <v>1674</v>
      </c>
      <c r="AO214" s="81" t="s">
        <v>1808</v>
      </c>
      <c r="AP214" s="76" t="b">
        <v>0</v>
      </c>
      <c r="AQ214" s="81" t="s">
        <v>1612</v>
      </c>
      <c r="AR214" s="76" t="s">
        <v>219</v>
      </c>
      <c r="AS214" s="76">
        <v>0</v>
      </c>
      <c r="AT214" s="76">
        <v>0</v>
      </c>
      <c r="AU214" s="76"/>
      <c r="AV214" s="76"/>
      <c r="AW214" s="76"/>
      <c r="AX214" s="76"/>
      <c r="AY214" s="76"/>
      <c r="AZ214" s="76"/>
      <c r="BA214" s="76"/>
      <c r="BB214" s="76"/>
      <c r="BC214">
        <v>1</v>
      </c>
      <c r="BD214" s="75" t="str">
        <f>REPLACE(INDEX(GroupVertices[Group],MATCH(Edges[[#This Row],[Vertex 1]],GroupVertices[Vertex],0)),1,1,"")</f>
        <v>45</v>
      </c>
      <c r="BE214" s="75" t="str">
        <f>REPLACE(INDEX(GroupVertices[Group],MATCH(Edges[[#This Row],[Vertex 2]],GroupVertices[Vertex],0)),1,1,"")</f>
        <v>45</v>
      </c>
      <c r="BF214" s="45">
        <v>2</v>
      </c>
      <c r="BG214" s="46">
        <v>5.2631578947368425</v>
      </c>
      <c r="BH214" s="45">
        <v>1</v>
      </c>
      <c r="BI214" s="46">
        <v>2.6315789473684212</v>
      </c>
      <c r="BJ214" s="45">
        <v>0</v>
      </c>
      <c r="BK214" s="46">
        <v>0</v>
      </c>
      <c r="BL214" s="45">
        <v>35</v>
      </c>
      <c r="BM214" s="46">
        <v>92.10526315789474</v>
      </c>
      <c r="BN214" s="45">
        <v>38</v>
      </c>
    </row>
    <row r="215" spans="1:66" ht="15">
      <c r="A215" s="61" t="s">
        <v>371</v>
      </c>
      <c r="B215" s="61" t="s">
        <v>519</v>
      </c>
      <c r="C215" s="62" t="s">
        <v>4688</v>
      </c>
      <c r="D215" s="63">
        <v>5</v>
      </c>
      <c r="E215" s="62"/>
      <c r="F215" s="65">
        <v>50</v>
      </c>
      <c r="G215" s="62"/>
      <c r="H215" s="66"/>
      <c r="I215" s="67"/>
      <c r="J215" s="67"/>
      <c r="K215" s="31" t="s">
        <v>65</v>
      </c>
      <c r="L215" s="68">
        <v>215</v>
      </c>
      <c r="M215" s="68"/>
      <c r="N215" s="69"/>
      <c r="O215" s="76" t="s">
        <v>588</v>
      </c>
      <c r="P215" s="78">
        <v>44817.47409722222</v>
      </c>
      <c r="Q215" s="76" t="s">
        <v>681</v>
      </c>
      <c r="R215" s="76"/>
      <c r="S215" s="76"/>
      <c r="T215" s="81" t="s">
        <v>840</v>
      </c>
      <c r="U215" s="76"/>
      <c r="V215" s="79" t="str">
        <f>HYPERLINK("https://pbs.twimg.com/profile_images/1065809287476318208/sExOz_YS_normal.jpg")</f>
        <v>https://pbs.twimg.com/profile_images/1065809287476318208/sExOz_YS_normal.jpg</v>
      </c>
      <c r="W215" s="78">
        <v>44817.47409722222</v>
      </c>
      <c r="X215" s="84">
        <v>44817</v>
      </c>
      <c r="Y215" s="81" t="s">
        <v>1041</v>
      </c>
      <c r="Z215" s="79" t="str">
        <f>HYPERLINK("https://twitter.com/theliverpooly/status/1569647757820067845")</f>
        <v>https://twitter.com/theliverpooly/status/1569647757820067845</v>
      </c>
      <c r="AA215" s="76"/>
      <c r="AB215" s="76"/>
      <c r="AC215" s="81" t="s">
        <v>1372</v>
      </c>
      <c r="AD215" s="81" t="s">
        <v>1613</v>
      </c>
      <c r="AE215" s="76" t="b">
        <v>0</v>
      </c>
      <c r="AF215" s="76">
        <v>0</v>
      </c>
      <c r="AG215" s="81" t="s">
        <v>1724</v>
      </c>
      <c r="AH215" s="76" t="b">
        <v>0</v>
      </c>
      <c r="AI215" s="76" t="s">
        <v>1772</v>
      </c>
      <c r="AJ215" s="76"/>
      <c r="AK215" s="81" t="s">
        <v>1674</v>
      </c>
      <c r="AL215" s="76" t="b">
        <v>0</v>
      </c>
      <c r="AM215" s="76">
        <v>0</v>
      </c>
      <c r="AN215" s="81" t="s">
        <v>1674</v>
      </c>
      <c r="AO215" s="81" t="s">
        <v>1809</v>
      </c>
      <c r="AP215" s="76" t="b">
        <v>0</v>
      </c>
      <c r="AQ215" s="81" t="s">
        <v>1613</v>
      </c>
      <c r="AR215" s="76" t="s">
        <v>219</v>
      </c>
      <c r="AS215" s="76">
        <v>0</v>
      </c>
      <c r="AT215" s="76">
        <v>0</v>
      </c>
      <c r="AU215" s="76"/>
      <c r="AV215" s="76"/>
      <c r="AW215" s="76"/>
      <c r="AX215" s="76"/>
      <c r="AY215" s="76"/>
      <c r="AZ215" s="76"/>
      <c r="BA215" s="76"/>
      <c r="BB215" s="76"/>
      <c r="BC215">
        <v>1</v>
      </c>
      <c r="BD215" s="75" t="str">
        <f>REPLACE(INDEX(GroupVertices[Group],MATCH(Edges[[#This Row],[Vertex 1]],GroupVertices[Vertex],0)),1,1,"")</f>
        <v>34</v>
      </c>
      <c r="BE215" s="75" t="str">
        <f>REPLACE(INDEX(GroupVertices[Group],MATCH(Edges[[#This Row],[Vertex 2]],GroupVertices[Vertex],0)),1,1,"")</f>
        <v>34</v>
      </c>
      <c r="BF215" s="45"/>
      <c r="BG215" s="46"/>
      <c r="BH215" s="45"/>
      <c r="BI215" s="46"/>
      <c r="BJ215" s="45"/>
      <c r="BK215" s="46"/>
      <c r="BL215" s="45"/>
      <c r="BM215" s="46"/>
      <c r="BN215" s="45"/>
    </row>
    <row r="216" spans="1:66" ht="15">
      <c r="A216" s="61" t="s">
        <v>371</v>
      </c>
      <c r="B216" s="61" t="s">
        <v>520</v>
      </c>
      <c r="C216" s="62" t="s">
        <v>4688</v>
      </c>
      <c r="D216" s="63">
        <v>5</v>
      </c>
      <c r="E216" s="62"/>
      <c r="F216" s="65">
        <v>50</v>
      </c>
      <c r="G216" s="62"/>
      <c r="H216" s="66"/>
      <c r="I216" s="67"/>
      <c r="J216" s="67"/>
      <c r="K216" s="31" t="s">
        <v>65</v>
      </c>
      <c r="L216" s="68">
        <v>216</v>
      </c>
      <c r="M216" s="68"/>
      <c r="N216" s="69"/>
      <c r="O216" s="76" t="s">
        <v>587</v>
      </c>
      <c r="P216" s="78">
        <v>44817.47409722222</v>
      </c>
      <c r="Q216" s="76" t="s">
        <v>681</v>
      </c>
      <c r="R216" s="76"/>
      <c r="S216" s="76"/>
      <c r="T216" s="81" t="s">
        <v>840</v>
      </c>
      <c r="U216" s="76"/>
      <c r="V216" s="79" t="str">
        <f>HYPERLINK("https://pbs.twimg.com/profile_images/1065809287476318208/sExOz_YS_normal.jpg")</f>
        <v>https://pbs.twimg.com/profile_images/1065809287476318208/sExOz_YS_normal.jpg</v>
      </c>
      <c r="W216" s="78">
        <v>44817.47409722222</v>
      </c>
      <c r="X216" s="84">
        <v>44817</v>
      </c>
      <c r="Y216" s="81" t="s">
        <v>1041</v>
      </c>
      <c r="Z216" s="79" t="str">
        <f>HYPERLINK("https://twitter.com/theliverpooly/status/1569647757820067845")</f>
        <v>https://twitter.com/theliverpooly/status/1569647757820067845</v>
      </c>
      <c r="AA216" s="76"/>
      <c r="AB216" s="76"/>
      <c r="AC216" s="81" t="s">
        <v>1372</v>
      </c>
      <c r="AD216" s="81" t="s">
        <v>1613</v>
      </c>
      <c r="AE216" s="76" t="b">
        <v>0</v>
      </c>
      <c r="AF216" s="76">
        <v>0</v>
      </c>
      <c r="AG216" s="81" t="s">
        <v>1724</v>
      </c>
      <c r="AH216" s="76" t="b">
        <v>0</v>
      </c>
      <c r="AI216" s="76" t="s">
        <v>1772</v>
      </c>
      <c r="AJ216" s="76"/>
      <c r="AK216" s="81" t="s">
        <v>1674</v>
      </c>
      <c r="AL216" s="76" t="b">
        <v>0</v>
      </c>
      <c r="AM216" s="76">
        <v>0</v>
      </c>
      <c r="AN216" s="81" t="s">
        <v>1674</v>
      </c>
      <c r="AO216" s="81" t="s">
        <v>1809</v>
      </c>
      <c r="AP216" s="76" t="b">
        <v>0</v>
      </c>
      <c r="AQ216" s="81" t="s">
        <v>1613</v>
      </c>
      <c r="AR216" s="76" t="s">
        <v>219</v>
      </c>
      <c r="AS216" s="76">
        <v>0</v>
      </c>
      <c r="AT216" s="76">
        <v>0</v>
      </c>
      <c r="AU216" s="76"/>
      <c r="AV216" s="76"/>
      <c r="AW216" s="76"/>
      <c r="AX216" s="76"/>
      <c r="AY216" s="76"/>
      <c r="AZ216" s="76"/>
      <c r="BA216" s="76"/>
      <c r="BB216" s="76"/>
      <c r="BC216">
        <v>1</v>
      </c>
      <c r="BD216" s="75" t="str">
        <f>REPLACE(INDEX(GroupVertices[Group],MATCH(Edges[[#This Row],[Vertex 1]],GroupVertices[Vertex],0)),1,1,"")</f>
        <v>34</v>
      </c>
      <c r="BE216" s="75" t="str">
        <f>REPLACE(INDEX(GroupVertices[Group],MATCH(Edges[[#This Row],[Vertex 2]],GroupVertices[Vertex],0)),1,1,"")</f>
        <v>34</v>
      </c>
      <c r="BF216" s="45">
        <v>1</v>
      </c>
      <c r="BG216" s="46">
        <v>3.0303030303030303</v>
      </c>
      <c r="BH216" s="45">
        <v>1</v>
      </c>
      <c r="BI216" s="46">
        <v>3.0303030303030303</v>
      </c>
      <c r="BJ216" s="45">
        <v>0</v>
      </c>
      <c r="BK216" s="46">
        <v>0</v>
      </c>
      <c r="BL216" s="45">
        <v>31</v>
      </c>
      <c r="BM216" s="46">
        <v>93.93939393939394</v>
      </c>
      <c r="BN216" s="45">
        <v>33</v>
      </c>
    </row>
    <row r="217" spans="1:66" ht="15">
      <c r="A217" s="61" t="s">
        <v>372</v>
      </c>
      <c r="B217" s="61" t="s">
        <v>521</v>
      </c>
      <c r="C217" s="62" t="s">
        <v>4688</v>
      </c>
      <c r="D217" s="63">
        <v>5</v>
      </c>
      <c r="E217" s="62"/>
      <c r="F217" s="65">
        <v>50</v>
      </c>
      <c r="G217" s="62"/>
      <c r="H217" s="66"/>
      <c r="I217" s="67"/>
      <c r="J217" s="67"/>
      <c r="K217" s="31" t="s">
        <v>65</v>
      </c>
      <c r="L217" s="68">
        <v>217</v>
      </c>
      <c r="M217" s="68"/>
      <c r="N217" s="69"/>
      <c r="O217" s="76" t="s">
        <v>588</v>
      </c>
      <c r="P217" s="78">
        <v>44817.4790625</v>
      </c>
      <c r="Q217" s="76" t="s">
        <v>682</v>
      </c>
      <c r="R217" s="76"/>
      <c r="S217" s="76"/>
      <c r="T217" s="76"/>
      <c r="U217" s="76"/>
      <c r="V217" s="79" t="str">
        <f>HYPERLINK("https://pbs.twimg.com/profile_images/1497900647550697473/Ezdr-fMu_normal.png")</f>
        <v>https://pbs.twimg.com/profile_images/1497900647550697473/Ezdr-fMu_normal.png</v>
      </c>
      <c r="W217" s="78">
        <v>44817.4790625</v>
      </c>
      <c r="X217" s="84">
        <v>44817</v>
      </c>
      <c r="Y217" s="81" t="s">
        <v>1042</v>
      </c>
      <c r="Z217" s="79" t="str">
        <f>HYPERLINK("https://twitter.com/wille_keurige/status/1569649555582644224")</f>
        <v>https://twitter.com/wille_keurige/status/1569649555582644224</v>
      </c>
      <c r="AA217" s="76"/>
      <c r="AB217" s="76"/>
      <c r="AC217" s="81" t="s">
        <v>1373</v>
      </c>
      <c r="AD217" s="81" t="s">
        <v>1614</v>
      </c>
      <c r="AE217" s="76" t="b">
        <v>0</v>
      </c>
      <c r="AF217" s="76">
        <v>5</v>
      </c>
      <c r="AG217" s="81" t="s">
        <v>1725</v>
      </c>
      <c r="AH217" s="76" t="b">
        <v>0</v>
      </c>
      <c r="AI217" s="76" t="s">
        <v>1779</v>
      </c>
      <c r="AJ217" s="76"/>
      <c r="AK217" s="81" t="s">
        <v>1674</v>
      </c>
      <c r="AL217" s="76" t="b">
        <v>0</v>
      </c>
      <c r="AM217" s="76">
        <v>0</v>
      </c>
      <c r="AN217" s="81" t="s">
        <v>1674</v>
      </c>
      <c r="AO217" s="81" t="s">
        <v>1808</v>
      </c>
      <c r="AP217" s="76" t="b">
        <v>0</v>
      </c>
      <c r="AQ217" s="81" t="s">
        <v>1614</v>
      </c>
      <c r="AR217" s="76" t="s">
        <v>219</v>
      </c>
      <c r="AS217" s="76">
        <v>0</v>
      </c>
      <c r="AT217" s="76">
        <v>0</v>
      </c>
      <c r="AU217" s="76"/>
      <c r="AV217" s="76"/>
      <c r="AW217" s="76"/>
      <c r="AX217" s="76"/>
      <c r="AY217" s="76"/>
      <c r="AZ217" s="76"/>
      <c r="BA217" s="76"/>
      <c r="BB217" s="76"/>
      <c r="BC217">
        <v>1</v>
      </c>
      <c r="BD217" s="75" t="str">
        <f>REPLACE(INDEX(GroupVertices[Group],MATCH(Edges[[#This Row],[Vertex 1]],GroupVertices[Vertex],0)),1,1,"")</f>
        <v>33</v>
      </c>
      <c r="BE217" s="75" t="str">
        <f>REPLACE(INDEX(GroupVertices[Group],MATCH(Edges[[#This Row],[Vertex 2]],GroupVertices[Vertex],0)),1,1,"")</f>
        <v>33</v>
      </c>
      <c r="BF217" s="45"/>
      <c r="BG217" s="46"/>
      <c r="BH217" s="45"/>
      <c r="BI217" s="46"/>
      <c r="BJ217" s="45"/>
      <c r="BK217" s="46"/>
      <c r="BL217" s="45"/>
      <c r="BM217" s="46"/>
      <c r="BN217" s="45"/>
    </row>
    <row r="218" spans="1:66" ht="15">
      <c r="A218" s="61" t="s">
        <v>372</v>
      </c>
      <c r="B218" s="61" t="s">
        <v>522</v>
      </c>
      <c r="C218" s="62" t="s">
        <v>4688</v>
      </c>
      <c r="D218" s="63">
        <v>5</v>
      </c>
      <c r="E218" s="62"/>
      <c r="F218" s="65">
        <v>50</v>
      </c>
      <c r="G218" s="62"/>
      <c r="H218" s="66"/>
      <c r="I218" s="67"/>
      <c r="J218" s="67"/>
      <c r="K218" s="31" t="s">
        <v>65</v>
      </c>
      <c r="L218" s="68">
        <v>218</v>
      </c>
      <c r="M218" s="68"/>
      <c r="N218" s="69"/>
      <c r="O218" s="76" t="s">
        <v>587</v>
      </c>
      <c r="P218" s="78">
        <v>44817.4790625</v>
      </c>
      <c r="Q218" s="76" t="s">
        <v>682</v>
      </c>
      <c r="R218" s="76"/>
      <c r="S218" s="76"/>
      <c r="T218" s="76"/>
      <c r="U218" s="76"/>
      <c r="V218" s="79" t="str">
        <f>HYPERLINK("https://pbs.twimg.com/profile_images/1497900647550697473/Ezdr-fMu_normal.png")</f>
        <v>https://pbs.twimg.com/profile_images/1497900647550697473/Ezdr-fMu_normal.png</v>
      </c>
      <c r="W218" s="78">
        <v>44817.4790625</v>
      </c>
      <c r="X218" s="84">
        <v>44817</v>
      </c>
      <c r="Y218" s="81" t="s">
        <v>1042</v>
      </c>
      <c r="Z218" s="79" t="str">
        <f>HYPERLINK("https://twitter.com/wille_keurige/status/1569649555582644224")</f>
        <v>https://twitter.com/wille_keurige/status/1569649555582644224</v>
      </c>
      <c r="AA218" s="76"/>
      <c r="AB218" s="76"/>
      <c r="AC218" s="81" t="s">
        <v>1373</v>
      </c>
      <c r="AD218" s="81" t="s">
        <v>1614</v>
      </c>
      <c r="AE218" s="76" t="b">
        <v>0</v>
      </c>
      <c r="AF218" s="76">
        <v>5</v>
      </c>
      <c r="AG218" s="81" t="s">
        <v>1725</v>
      </c>
      <c r="AH218" s="76" t="b">
        <v>0</v>
      </c>
      <c r="AI218" s="76" t="s">
        <v>1779</v>
      </c>
      <c r="AJ218" s="76"/>
      <c r="AK218" s="81" t="s">
        <v>1674</v>
      </c>
      <c r="AL218" s="76" t="b">
        <v>0</v>
      </c>
      <c r="AM218" s="76">
        <v>0</v>
      </c>
      <c r="AN218" s="81" t="s">
        <v>1674</v>
      </c>
      <c r="AO218" s="81" t="s">
        <v>1808</v>
      </c>
      <c r="AP218" s="76" t="b">
        <v>0</v>
      </c>
      <c r="AQ218" s="81" t="s">
        <v>1614</v>
      </c>
      <c r="AR218" s="76" t="s">
        <v>219</v>
      </c>
      <c r="AS218" s="76">
        <v>0</v>
      </c>
      <c r="AT218" s="76">
        <v>0</v>
      </c>
      <c r="AU218" s="76"/>
      <c r="AV218" s="76"/>
      <c r="AW218" s="76"/>
      <c r="AX218" s="76"/>
      <c r="AY218" s="76"/>
      <c r="AZ218" s="76"/>
      <c r="BA218" s="76"/>
      <c r="BB218" s="76"/>
      <c r="BC218">
        <v>1</v>
      </c>
      <c r="BD218" s="75" t="str">
        <f>REPLACE(INDEX(GroupVertices[Group],MATCH(Edges[[#This Row],[Vertex 1]],GroupVertices[Vertex],0)),1,1,"")</f>
        <v>33</v>
      </c>
      <c r="BE218" s="75" t="str">
        <f>REPLACE(INDEX(GroupVertices[Group],MATCH(Edges[[#This Row],[Vertex 2]],GroupVertices[Vertex],0)),1,1,"")</f>
        <v>33</v>
      </c>
      <c r="BF218" s="45">
        <v>0</v>
      </c>
      <c r="BG218" s="46">
        <v>0</v>
      </c>
      <c r="BH218" s="45">
        <v>0</v>
      </c>
      <c r="BI218" s="46">
        <v>0</v>
      </c>
      <c r="BJ218" s="45">
        <v>0</v>
      </c>
      <c r="BK218" s="46">
        <v>0</v>
      </c>
      <c r="BL218" s="45">
        <v>33</v>
      </c>
      <c r="BM218" s="46">
        <v>100</v>
      </c>
      <c r="BN218" s="45">
        <v>33</v>
      </c>
    </row>
    <row r="219" spans="1:66" ht="15">
      <c r="A219" s="61" t="s">
        <v>373</v>
      </c>
      <c r="B219" s="61" t="s">
        <v>523</v>
      </c>
      <c r="C219" s="62" t="s">
        <v>4688</v>
      </c>
      <c r="D219" s="63">
        <v>5</v>
      </c>
      <c r="E219" s="62"/>
      <c r="F219" s="65">
        <v>50</v>
      </c>
      <c r="G219" s="62"/>
      <c r="H219" s="66"/>
      <c r="I219" s="67"/>
      <c r="J219" s="67"/>
      <c r="K219" s="31" t="s">
        <v>65</v>
      </c>
      <c r="L219" s="68">
        <v>219</v>
      </c>
      <c r="M219" s="68"/>
      <c r="N219" s="69"/>
      <c r="O219" s="76" t="s">
        <v>588</v>
      </c>
      <c r="P219" s="78">
        <v>44817.48944444444</v>
      </c>
      <c r="Q219" s="76" t="s">
        <v>683</v>
      </c>
      <c r="R219" s="79" t="str">
        <f>HYPERLINK("https://twitter.com/DJanecek/status/1569290251906031619")</f>
        <v>https://twitter.com/DJanecek/status/1569290251906031619</v>
      </c>
      <c r="S219" s="76" t="s">
        <v>783</v>
      </c>
      <c r="T219" s="81" t="s">
        <v>841</v>
      </c>
      <c r="U219" s="76"/>
      <c r="V219" s="79" t="str">
        <f>HYPERLINK("https://pbs.twimg.com/profile_images/1117568007499284480/ks2D6uA6_normal.jpg")</f>
        <v>https://pbs.twimg.com/profile_images/1117568007499284480/ks2D6uA6_normal.jpg</v>
      </c>
      <c r="W219" s="78">
        <v>44817.48944444444</v>
      </c>
      <c r="X219" s="84">
        <v>44817</v>
      </c>
      <c r="Y219" s="81" t="s">
        <v>1043</v>
      </c>
      <c r="Z219" s="79" t="str">
        <f>HYPERLINK("https://twitter.com/pxalbert1/status/1569653318976167936")</f>
        <v>https://twitter.com/pxalbert1/status/1569653318976167936</v>
      </c>
      <c r="AA219" s="76"/>
      <c r="AB219" s="76"/>
      <c r="AC219" s="81" t="s">
        <v>1374</v>
      </c>
      <c r="AD219" s="76"/>
      <c r="AE219" s="76" t="b">
        <v>0</v>
      </c>
      <c r="AF219" s="76">
        <v>2</v>
      </c>
      <c r="AG219" s="81" t="s">
        <v>1674</v>
      </c>
      <c r="AH219" s="76" t="b">
        <v>1</v>
      </c>
      <c r="AI219" s="76" t="s">
        <v>1774</v>
      </c>
      <c r="AJ219" s="76"/>
      <c r="AK219" s="81" t="s">
        <v>1797</v>
      </c>
      <c r="AL219" s="76" t="b">
        <v>0</v>
      </c>
      <c r="AM219" s="76">
        <v>0</v>
      </c>
      <c r="AN219" s="81" t="s">
        <v>1674</v>
      </c>
      <c r="AO219" s="81" t="s">
        <v>1809</v>
      </c>
      <c r="AP219" s="76" t="b">
        <v>0</v>
      </c>
      <c r="AQ219" s="81" t="s">
        <v>1374</v>
      </c>
      <c r="AR219" s="76" t="s">
        <v>219</v>
      </c>
      <c r="AS219" s="76">
        <v>0</v>
      </c>
      <c r="AT219" s="76">
        <v>0</v>
      </c>
      <c r="AU219" s="76"/>
      <c r="AV219" s="76"/>
      <c r="AW219" s="76"/>
      <c r="AX219" s="76"/>
      <c r="AY219" s="76"/>
      <c r="AZ219" s="76"/>
      <c r="BA219" s="76"/>
      <c r="BB219" s="76"/>
      <c r="BC219">
        <v>1</v>
      </c>
      <c r="BD219" s="75" t="str">
        <f>REPLACE(INDEX(GroupVertices[Group],MATCH(Edges[[#This Row],[Vertex 1]],GroupVertices[Vertex],0)),1,1,"")</f>
        <v>32</v>
      </c>
      <c r="BE219" s="75" t="str">
        <f>REPLACE(INDEX(GroupVertices[Group],MATCH(Edges[[#This Row],[Vertex 2]],GroupVertices[Vertex],0)),1,1,"")</f>
        <v>32</v>
      </c>
      <c r="BF219" s="45"/>
      <c r="BG219" s="46"/>
      <c r="BH219" s="45"/>
      <c r="BI219" s="46"/>
      <c r="BJ219" s="45"/>
      <c r="BK219" s="46"/>
      <c r="BL219" s="45"/>
      <c r="BM219" s="46"/>
      <c r="BN219" s="45"/>
    </row>
    <row r="220" spans="1:66" ht="15">
      <c r="A220" s="61" t="s">
        <v>373</v>
      </c>
      <c r="B220" s="61" t="s">
        <v>524</v>
      </c>
      <c r="C220" s="62" t="s">
        <v>4688</v>
      </c>
      <c r="D220" s="63">
        <v>5</v>
      </c>
      <c r="E220" s="62"/>
      <c r="F220" s="65">
        <v>50</v>
      </c>
      <c r="G220" s="62"/>
      <c r="H220" s="66"/>
      <c r="I220" s="67"/>
      <c r="J220" s="67"/>
      <c r="K220" s="31" t="s">
        <v>65</v>
      </c>
      <c r="L220" s="68">
        <v>220</v>
      </c>
      <c r="M220" s="68"/>
      <c r="N220" s="69"/>
      <c r="O220" s="76" t="s">
        <v>588</v>
      </c>
      <c r="P220" s="78">
        <v>44817.48944444444</v>
      </c>
      <c r="Q220" s="76" t="s">
        <v>683</v>
      </c>
      <c r="R220" s="79" t="str">
        <f>HYPERLINK("https://twitter.com/DJanecek/status/1569290251906031619")</f>
        <v>https://twitter.com/DJanecek/status/1569290251906031619</v>
      </c>
      <c r="S220" s="76" t="s">
        <v>783</v>
      </c>
      <c r="T220" s="81" t="s">
        <v>841</v>
      </c>
      <c r="U220" s="76"/>
      <c r="V220" s="79" t="str">
        <f>HYPERLINK("https://pbs.twimg.com/profile_images/1117568007499284480/ks2D6uA6_normal.jpg")</f>
        <v>https://pbs.twimg.com/profile_images/1117568007499284480/ks2D6uA6_normal.jpg</v>
      </c>
      <c r="W220" s="78">
        <v>44817.48944444444</v>
      </c>
      <c r="X220" s="84">
        <v>44817</v>
      </c>
      <c r="Y220" s="81" t="s">
        <v>1043</v>
      </c>
      <c r="Z220" s="79" t="str">
        <f>HYPERLINK("https://twitter.com/pxalbert1/status/1569653318976167936")</f>
        <v>https://twitter.com/pxalbert1/status/1569653318976167936</v>
      </c>
      <c r="AA220" s="76"/>
      <c r="AB220" s="76"/>
      <c r="AC220" s="81" t="s">
        <v>1374</v>
      </c>
      <c r="AD220" s="76"/>
      <c r="AE220" s="76" t="b">
        <v>0</v>
      </c>
      <c r="AF220" s="76">
        <v>2</v>
      </c>
      <c r="AG220" s="81" t="s">
        <v>1674</v>
      </c>
      <c r="AH220" s="76" t="b">
        <v>1</v>
      </c>
      <c r="AI220" s="76" t="s">
        <v>1774</v>
      </c>
      <c r="AJ220" s="76"/>
      <c r="AK220" s="81" t="s">
        <v>1797</v>
      </c>
      <c r="AL220" s="76" t="b">
        <v>0</v>
      </c>
      <c r="AM220" s="76">
        <v>0</v>
      </c>
      <c r="AN220" s="81" t="s">
        <v>1674</v>
      </c>
      <c r="AO220" s="81" t="s">
        <v>1809</v>
      </c>
      <c r="AP220" s="76" t="b">
        <v>0</v>
      </c>
      <c r="AQ220" s="81" t="s">
        <v>1374</v>
      </c>
      <c r="AR220" s="76" t="s">
        <v>219</v>
      </c>
      <c r="AS220" s="76">
        <v>0</v>
      </c>
      <c r="AT220" s="76">
        <v>0</v>
      </c>
      <c r="AU220" s="76"/>
      <c r="AV220" s="76"/>
      <c r="AW220" s="76"/>
      <c r="AX220" s="76"/>
      <c r="AY220" s="76"/>
      <c r="AZ220" s="76"/>
      <c r="BA220" s="76"/>
      <c r="BB220" s="76"/>
      <c r="BC220">
        <v>1</v>
      </c>
      <c r="BD220" s="75" t="str">
        <f>REPLACE(INDEX(GroupVertices[Group],MATCH(Edges[[#This Row],[Vertex 1]],GroupVertices[Vertex],0)),1,1,"")</f>
        <v>32</v>
      </c>
      <c r="BE220" s="75" t="str">
        <f>REPLACE(INDEX(GroupVertices[Group],MATCH(Edges[[#This Row],[Vertex 2]],GroupVertices[Vertex],0)),1,1,"")</f>
        <v>32</v>
      </c>
      <c r="BF220" s="45">
        <v>0</v>
      </c>
      <c r="BG220" s="46">
        <v>0</v>
      </c>
      <c r="BH220" s="45">
        <v>2</v>
      </c>
      <c r="BI220" s="46">
        <v>4.878048780487805</v>
      </c>
      <c r="BJ220" s="45">
        <v>0</v>
      </c>
      <c r="BK220" s="46">
        <v>0</v>
      </c>
      <c r="BL220" s="45">
        <v>39</v>
      </c>
      <c r="BM220" s="46">
        <v>95.1219512195122</v>
      </c>
      <c r="BN220" s="45">
        <v>41</v>
      </c>
    </row>
    <row r="221" spans="1:66" ht="15">
      <c r="A221" s="61" t="s">
        <v>373</v>
      </c>
      <c r="B221" s="61" t="s">
        <v>373</v>
      </c>
      <c r="C221" s="62" t="s">
        <v>4688</v>
      </c>
      <c r="D221" s="63">
        <v>5</v>
      </c>
      <c r="E221" s="62"/>
      <c r="F221" s="65">
        <v>50</v>
      </c>
      <c r="G221" s="62"/>
      <c r="H221" s="66"/>
      <c r="I221" s="67"/>
      <c r="J221" s="67"/>
      <c r="K221" s="31" t="s">
        <v>65</v>
      </c>
      <c r="L221" s="68">
        <v>221</v>
      </c>
      <c r="M221" s="68"/>
      <c r="N221" s="69"/>
      <c r="O221" s="76" t="s">
        <v>219</v>
      </c>
      <c r="P221" s="78">
        <v>44816.48105324074</v>
      </c>
      <c r="Q221" s="76" t="s">
        <v>684</v>
      </c>
      <c r="R221" s="79" t="str">
        <f>HYPERLINK("https://twitter.com/EFDavies/status/1569272600055930880")</f>
        <v>https://twitter.com/EFDavies/status/1569272600055930880</v>
      </c>
      <c r="S221" s="76" t="s">
        <v>783</v>
      </c>
      <c r="T221" s="81" t="s">
        <v>795</v>
      </c>
      <c r="U221" s="76"/>
      <c r="V221" s="79" t="str">
        <f>HYPERLINK("https://pbs.twimg.com/profile_images/1117568007499284480/ks2D6uA6_normal.jpg")</f>
        <v>https://pbs.twimg.com/profile_images/1117568007499284480/ks2D6uA6_normal.jpg</v>
      </c>
      <c r="W221" s="78">
        <v>44816.48105324074</v>
      </c>
      <c r="X221" s="84">
        <v>44816</v>
      </c>
      <c r="Y221" s="81" t="s">
        <v>1044</v>
      </c>
      <c r="Z221" s="79" t="str">
        <f>HYPERLINK("https://twitter.com/pxalbert1/status/1569287891695665152")</f>
        <v>https://twitter.com/pxalbert1/status/1569287891695665152</v>
      </c>
      <c r="AA221" s="76"/>
      <c r="AB221" s="76"/>
      <c r="AC221" s="81" t="s">
        <v>1375</v>
      </c>
      <c r="AD221" s="76"/>
      <c r="AE221" s="76" t="b">
        <v>0</v>
      </c>
      <c r="AF221" s="76">
        <v>1</v>
      </c>
      <c r="AG221" s="81" t="s">
        <v>1674</v>
      </c>
      <c r="AH221" s="76" t="b">
        <v>1</v>
      </c>
      <c r="AI221" s="76" t="s">
        <v>1774</v>
      </c>
      <c r="AJ221" s="76"/>
      <c r="AK221" s="81" t="s">
        <v>1798</v>
      </c>
      <c r="AL221" s="76" t="b">
        <v>0</v>
      </c>
      <c r="AM221" s="76">
        <v>0</v>
      </c>
      <c r="AN221" s="81" t="s">
        <v>1674</v>
      </c>
      <c r="AO221" s="81" t="s">
        <v>1809</v>
      </c>
      <c r="AP221" s="76" t="b">
        <v>0</v>
      </c>
      <c r="AQ221" s="81" t="s">
        <v>1375</v>
      </c>
      <c r="AR221" s="76" t="s">
        <v>219</v>
      </c>
      <c r="AS221" s="76">
        <v>0</v>
      </c>
      <c r="AT221" s="76">
        <v>0</v>
      </c>
      <c r="AU221" s="76"/>
      <c r="AV221" s="76"/>
      <c r="AW221" s="76"/>
      <c r="AX221" s="76"/>
      <c r="AY221" s="76"/>
      <c r="AZ221" s="76"/>
      <c r="BA221" s="76"/>
      <c r="BB221" s="76"/>
      <c r="BC221">
        <v>1</v>
      </c>
      <c r="BD221" s="75" t="str">
        <f>REPLACE(INDEX(GroupVertices[Group],MATCH(Edges[[#This Row],[Vertex 1]],GroupVertices[Vertex],0)),1,1,"")</f>
        <v>32</v>
      </c>
      <c r="BE221" s="75" t="str">
        <f>REPLACE(INDEX(GroupVertices[Group],MATCH(Edges[[#This Row],[Vertex 2]],GroupVertices[Vertex],0)),1,1,"")</f>
        <v>32</v>
      </c>
      <c r="BF221" s="45">
        <v>0</v>
      </c>
      <c r="BG221" s="46">
        <v>0</v>
      </c>
      <c r="BH221" s="45">
        <v>1</v>
      </c>
      <c r="BI221" s="46">
        <v>2.5641025641025643</v>
      </c>
      <c r="BJ221" s="45">
        <v>0</v>
      </c>
      <c r="BK221" s="46">
        <v>0</v>
      </c>
      <c r="BL221" s="45">
        <v>38</v>
      </c>
      <c r="BM221" s="46">
        <v>97.43589743589743</v>
      </c>
      <c r="BN221" s="45">
        <v>39</v>
      </c>
    </row>
    <row r="222" spans="1:66" ht="15">
      <c r="A222" s="61" t="s">
        <v>374</v>
      </c>
      <c r="B222" s="61" t="s">
        <v>374</v>
      </c>
      <c r="C222" s="62" t="s">
        <v>4688</v>
      </c>
      <c r="D222" s="63">
        <v>5</v>
      </c>
      <c r="E222" s="62"/>
      <c r="F222" s="65">
        <v>50</v>
      </c>
      <c r="G222" s="62"/>
      <c r="H222" s="66"/>
      <c r="I222" s="67"/>
      <c r="J222" s="67"/>
      <c r="K222" s="31" t="s">
        <v>65</v>
      </c>
      <c r="L222" s="68">
        <v>222</v>
      </c>
      <c r="M222" s="68"/>
      <c r="N222" s="69"/>
      <c r="O222" s="76" t="s">
        <v>219</v>
      </c>
      <c r="P222" s="78">
        <v>44817.56606481481</v>
      </c>
      <c r="Q222" s="76" t="s">
        <v>685</v>
      </c>
      <c r="R222" s="79" t="str">
        <f>HYPERLINK("https://twitter.com/M_Guliyev2/status/1569679577844154369")</f>
        <v>https://twitter.com/M_Guliyev2/status/1569679577844154369</v>
      </c>
      <c r="S222" s="76" t="s">
        <v>783</v>
      </c>
      <c r="T222" s="76"/>
      <c r="U222" s="76"/>
      <c r="V222" s="79" t="str">
        <f>HYPERLINK("https://pbs.twimg.com/profile_images/1558438671887605760/dKtWLXtK_normal.jpg")</f>
        <v>https://pbs.twimg.com/profile_images/1558438671887605760/dKtWLXtK_normal.jpg</v>
      </c>
      <c r="W222" s="78">
        <v>44817.56606481481</v>
      </c>
      <c r="X222" s="84">
        <v>44817</v>
      </c>
      <c r="Y222" s="81" t="s">
        <v>1045</v>
      </c>
      <c r="Z222" s="79" t="str">
        <f>HYPERLINK("https://twitter.com/tamer_lannn/status/1569681086686306304")</f>
        <v>https://twitter.com/tamer_lannn/status/1569681086686306304</v>
      </c>
      <c r="AA222" s="76"/>
      <c r="AB222" s="76"/>
      <c r="AC222" s="81" t="s">
        <v>1376</v>
      </c>
      <c r="AD222" s="76"/>
      <c r="AE222" s="76" t="b">
        <v>0</v>
      </c>
      <c r="AF222" s="76">
        <v>9</v>
      </c>
      <c r="AG222" s="81" t="s">
        <v>1674</v>
      </c>
      <c r="AH222" s="76" t="b">
        <v>1</v>
      </c>
      <c r="AI222" s="76" t="s">
        <v>1771</v>
      </c>
      <c r="AJ222" s="76"/>
      <c r="AK222" s="81" t="s">
        <v>1799</v>
      </c>
      <c r="AL222" s="76" t="b">
        <v>0</v>
      </c>
      <c r="AM222" s="76">
        <v>0</v>
      </c>
      <c r="AN222" s="81" t="s">
        <v>1674</v>
      </c>
      <c r="AO222" s="81" t="s">
        <v>1809</v>
      </c>
      <c r="AP222" s="76" t="b">
        <v>0</v>
      </c>
      <c r="AQ222" s="81" t="s">
        <v>1376</v>
      </c>
      <c r="AR222" s="76" t="s">
        <v>219</v>
      </c>
      <c r="AS222" s="76">
        <v>0</v>
      </c>
      <c r="AT222" s="76">
        <v>0</v>
      </c>
      <c r="AU222" s="76"/>
      <c r="AV222" s="76"/>
      <c r="AW222" s="76"/>
      <c r="AX222" s="76"/>
      <c r="AY222" s="76"/>
      <c r="AZ222" s="76"/>
      <c r="BA222" s="76"/>
      <c r="BB222" s="76"/>
      <c r="BC222">
        <v>1</v>
      </c>
      <c r="BD222" s="75" t="str">
        <f>REPLACE(INDEX(GroupVertices[Group],MATCH(Edges[[#This Row],[Vertex 1]],GroupVertices[Vertex],0)),1,1,"")</f>
        <v>2</v>
      </c>
      <c r="BE222" s="75" t="str">
        <f>REPLACE(INDEX(GroupVertices[Group],MATCH(Edges[[#This Row],[Vertex 2]],GroupVertices[Vertex],0)),1,1,"")</f>
        <v>2</v>
      </c>
      <c r="BF222" s="45">
        <v>0</v>
      </c>
      <c r="BG222" s="46">
        <v>0</v>
      </c>
      <c r="BH222" s="45">
        <v>0</v>
      </c>
      <c r="BI222" s="46">
        <v>0</v>
      </c>
      <c r="BJ222" s="45">
        <v>0</v>
      </c>
      <c r="BK222" s="46">
        <v>0</v>
      </c>
      <c r="BL222" s="45">
        <v>33</v>
      </c>
      <c r="BM222" s="46">
        <v>100</v>
      </c>
      <c r="BN222" s="45">
        <v>33</v>
      </c>
    </row>
    <row r="223" spans="1:66" ht="15">
      <c r="A223" s="61" t="s">
        <v>375</v>
      </c>
      <c r="B223" s="61" t="s">
        <v>497</v>
      </c>
      <c r="C223" s="62" t="s">
        <v>4688</v>
      </c>
      <c r="D223" s="63">
        <v>5</v>
      </c>
      <c r="E223" s="62"/>
      <c r="F223" s="65">
        <v>50</v>
      </c>
      <c r="G223" s="62"/>
      <c r="H223" s="66"/>
      <c r="I223" s="67"/>
      <c r="J223" s="67"/>
      <c r="K223" s="31" t="s">
        <v>65</v>
      </c>
      <c r="L223" s="68">
        <v>223</v>
      </c>
      <c r="M223" s="68"/>
      <c r="N223" s="69"/>
      <c r="O223" s="76" t="s">
        <v>585</v>
      </c>
      <c r="P223" s="78">
        <v>44816.67450231482</v>
      </c>
      <c r="Q223" s="76" t="s">
        <v>686</v>
      </c>
      <c r="R223" s="76"/>
      <c r="S223" s="76"/>
      <c r="T223" s="81" t="s">
        <v>842</v>
      </c>
      <c r="U223" s="79" t="str">
        <f>HYPERLINK("https://pbs.twimg.com/ext_tw_video_thumb/1569314489102630913/pu/img/BR0KDvRYMz2wMx5y.jpg")</f>
        <v>https://pbs.twimg.com/ext_tw_video_thumb/1569314489102630913/pu/img/BR0KDvRYMz2wMx5y.jpg</v>
      </c>
      <c r="V223" s="79" t="str">
        <f>HYPERLINK("https://pbs.twimg.com/ext_tw_video_thumb/1569314489102630913/pu/img/BR0KDvRYMz2wMx5y.jpg")</f>
        <v>https://pbs.twimg.com/ext_tw_video_thumb/1569314489102630913/pu/img/BR0KDvRYMz2wMx5y.jpg</v>
      </c>
      <c r="W223" s="78">
        <v>44816.67450231482</v>
      </c>
      <c r="X223" s="84">
        <v>44816</v>
      </c>
      <c r="Y223" s="81" t="s">
        <v>1046</v>
      </c>
      <c r="Z223" s="79" t="str">
        <f>HYPERLINK("https://twitter.com/cagataycirit12/status/1569357992784453634")</f>
        <v>https://twitter.com/cagataycirit12/status/1569357992784453634</v>
      </c>
      <c r="AA223" s="76"/>
      <c r="AB223" s="76"/>
      <c r="AC223" s="81" t="s">
        <v>1377</v>
      </c>
      <c r="AD223" s="76"/>
      <c r="AE223" s="76" t="b">
        <v>0</v>
      </c>
      <c r="AF223" s="76">
        <v>0</v>
      </c>
      <c r="AG223" s="81" t="s">
        <v>1674</v>
      </c>
      <c r="AH223" s="76" t="b">
        <v>0</v>
      </c>
      <c r="AI223" s="76" t="s">
        <v>1771</v>
      </c>
      <c r="AJ223" s="76"/>
      <c r="AK223" s="81" t="s">
        <v>1674</v>
      </c>
      <c r="AL223" s="76" t="b">
        <v>0</v>
      </c>
      <c r="AM223" s="76">
        <v>2</v>
      </c>
      <c r="AN223" s="81" t="s">
        <v>1453</v>
      </c>
      <c r="AO223" s="81" t="s">
        <v>1809</v>
      </c>
      <c r="AP223" s="76" t="b">
        <v>0</v>
      </c>
      <c r="AQ223" s="81" t="s">
        <v>1453</v>
      </c>
      <c r="AR223" s="76" t="s">
        <v>219</v>
      </c>
      <c r="AS223" s="76">
        <v>0</v>
      </c>
      <c r="AT223" s="76">
        <v>0</v>
      </c>
      <c r="AU223" s="76"/>
      <c r="AV223" s="76"/>
      <c r="AW223" s="76"/>
      <c r="AX223" s="76"/>
      <c r="AY223" s="76"/>
      <c r="AZ223" s="76"/>
      <c r="BA223" s="76"/>
      <c r="BB223" s="76"/>
      <c r="BC223">
        <v>1</v>
      </c>
      <c r="BD223" s="75" t="str">
        <f>REPLACE(INDEX(GroupVertices[Group],MATCH(Edges[[#This Row],[Vertex 1]],GroupVertices[Vertex],0)),1,1,"")</f>
        <v>3</v>
      </c>
      <c r="BE223" s="75" t="str">
        <f>REPLACE(INDEX(GroupVertices[Group],MATCH(Edges[[#This Row],[Vertex 2]],GroupVertices[Vertex],0)),1,1,"")</f>
        <v>3</v>
      </c>
      <c r="BF223" s="45"/>
      <c r="BG223" s="46"/>
      <c r="BH223" s="45"/>
      <c r="BI223" s="46"/>
      <c r="BJ223" s="45"/>
      <c r="BK223" s="46"/>
      <c r="BL223" s="45"/>
      <c r="BM223" s="46"/>
      <c r="BN223" s="45"/>
    </row>
    <row r="224" spans="1:66" ht="15">
      <c r="A224" s="61" t="s">
        <v>375</v>
      </c>
      <c r="B224" s="61" t="s">
        <v>414</v>
      </c>
      <c r="C224" s="62" t="s">
        <v>4691</v>
      </c>
      <c r="D224" s="63">
        <v>5.833333333333333</v>
      </c>
      <c r="E224" s="62"/>
      <c r="F224" s="65">
        <v>44.166666666666664</v>
      </c>
      <c r="G224" s="62"/>
      <c r="H224" s="66"/>
      <c r="I224" s="67"/>
      <c r="J224" s="67"/>
      <c r="K224" s="31" t="s">
        <v>65</v>
      </c>
      <c r="L224" s="68">
        <v>224</v>
      </c>
      <c r="M224" s="68"/>
      <c r="N224" s="69"/>
      <c r="O224" s="76" t="s">
        <v>586</v>
      </c>
      <c r="P224" s="78">
        <v>44816.67450231482</v>
      </c>
      <c r="Q224" s="76" t="s">
        <v>686</v>
      </c>
      <c r="R224" s="76"/>
      <c r="S224" s="76"/>
      <c r="T224" s="81" t="s">
        <v>842</v>
      </c>
      <c r="U224" s="79" t="str">
        <f>HYPERLINK("https://pbs.twimg.com/ext_tw_video_thumb/1569314489102630913/pu/img/BR0KDvRYMz2wMx5y.jpg")</f>
        <v>https://pbs.twimg.com/ext_tw_video_thumb/1569314489102630913/pu/img/BR0KDvRYMz2wMx5y.jpg</v>
      </c>
      <c r="V224" s="79" t="str">
        <f>HYPERLINK("https://pbs.twimg.com/ext_tw_video_thumb/1569314489102630913/pu/img/BR0KDvRYMz2wMx5y.jpg")</f>
        <v>https://pbs.twimg.com/ext_tw_video_thumb/1569314489102630913/pu/img/BR0KDvRYMz2wMx5y.jpg</v>
      </c>
      <c r="W224" s="78">
        <v>44816.67450231482</v>
      </c>
      <c r="X224" s="84">
        <v>44816</v>
      </c>
      <c r="Y224" s="81" t="s">
        <v>1046</v>
      </c>
      <c r="Z224" s="79" t="str">
        <f>HYPERLINK("https://twitter.com/cagataycirit12/status/1569357992784453634")</f>
        <v>https://twitter.com/cagataycirit12/status/1569357992784453634</v>
      </c>
      <c r="AA224" s="76"/>
      <c r="AB224" s="76"/>
      <c r="AC224" s="81" t="s">
        <v>1377</v>
      </c>
      <c r="AD224" s="76"/>
      <c r="AE224" s="76" t="b">
        <v>0</v>
      </c>
      <c r="AF224" s="76">
        <v>0</v>
      </c>
      <c r="AG224" s="81" t="s">
        <v>1674</v>
      </c>
      <c r="AH224" s="76" t="b">
        <v>0</v>
      </c>
      <c r="AI224" s="76" t="s">
        <v>1771</v>
      </c>
      <c r="AJ224" s="76"/>
      <c r="AK224" s="81" t="s">
        <v>1674</v>
      </c>
      <c r="AL224" s="76" t="b">
        <v>0</v>
      </c>
      <c r="AM224" s="76">
        <v>2</v>
      </c>
      <c r="AN224" s="81" t="s">
        <v>1453</v>
      </c>
      <c r="AO224" s="81" t="s">
        <v>1809</v>
      </c>
      <c r="AP224" s="76" t="b">
        <v>0</v>
      </c>
      <c r="AQ224" s="81" t="s">
        <v>1453</v>
      </c>
      <c r="AR224" s="76" t="s">
        <v>219</v>
      </c>
      <c r="AS224" s="76">
        <v>0</v>
      </c>
      <c r="AT224" s="76">
        <v>0</v>
      </c>
      <c r="AU224" s="76"/>
      <c r="AV224" s="76"/>
      <c r="AW224" s="76"/>
      <c r="AX224" s="76"/>
      <c r="AY224" s="76"/>
      <c r="AZ224" s="76"/>
      <c r="BA224" s="76"/>
      <c r="BB224" s="76"/>
      <c r="BC224">
        <v>3</v>
      </c>
      <c r="BD224" s="75" t="str">
        <f>REPLACE(INDEX(GroupVertices[Group],MATCH(Edges[[#This Row],[Vertex 1]],GroupVertices[Vertex],0)),1,1,"")</f>
        <v>3</v>
      </c>
      <c r="BE224" s="75" t="str">
        <f>REPLACE(INDEX(GroupVertices[Group],MATCH(Edges[[#This Row],[Vertex 2]],GroupVertices[Vertex],0)),1,1,"")</f>
        <v>3</v>
      </c>
      <c r="BF224" s="45">
        <v>0</v>
      </c>
      <c r="BG224" s="46">
        <v>0</v>
      </c>
      <c r="BH224" s="45">
        <v>0</v>
      </c>
      <c r="BI224" s="46">
        <v>0</v>
      </c>
      <c r="BJ224" s="45">
        <v>0</v>
      </c>
      <c r="BK224" s="46">
        <v>0</v>
      </c>
      <c r="BL224" s="45">
        <v>9</v>
      </c>
      <c r="BM224" s="46">
        <v>100</v>
      </c>
      <c r="BN224" s="45">
        <v>9</v>
      </c>
    </row>
    <row r="225" spans="1:66" ht="15">
      <c r="A225" s="61" t="s">
        <v>375</v>
      </c>
      <c r="B225" s="61" t="s">
        <v>414</v>
      </c>
      <c r="C225" s="62" t="s">
        <v>4691</v>
      </c>
      <c r="D225" s="63">
        <v>5.833333333333333</v>
      </c>
      <c r="E225" s="62"/>
      <c r="F225" s="65">
        <v>44.166666666666664</v>
      </c>
      <c r="G225" s="62"/>
      <c r="H225" s="66"/>
      <c r="I225" s="67"/>
      <c r="J225" s="67"/>
      <c r="K225" s="31" t="s">
        <v>65</v>
      </c>
      <c r="L225" s="68">
        <v>225</v>
      </c>
      <c r="M225" s="68"/>
      <c r="N225" s="69"/>
      <c r="O225" s="76" t="s">
        <v>586</v>
      </c>
      <c r="P225" s="78">
        <v>44817.567453703705</v>
      </c>
      <c r="Q225" s="76" t="s">
        <v>687</v>
      </c>
      <c r="R225" s="76"/>
      <c r="S225" s="76"/>
      <c r="T225" s="81" t="s">
        <v>843</v>
      </c>
      <c r="U225" s="79" t="str">
        <f>HYPERLINK("https://pbs.twimg.com/media/FciVAscX0AA7C40.jpg")</f>
        <v>https://pbs.twimg.com/media/FciVAscX0AA7C40.jpg</v>
      </c>
      <c r="V225" s="79" t="str">
        <f>HYPERLINK("https://pbs.twimg.com/media/FciVAscX0AA7C40.jpg")</f>
        <v>https://pbs.twimg.com/media/FciVAscX0AA7C40.jpg</v>
      </c>
      <c r="W225" s="78">
        <v>44817.567453703705</v>
      </c>
      <c r="X225" s="84">
        <v>44817</v>
      </c>
      <c r="Y225" s="81" t="s">
        <v>1047</v>
      </c>
      <c r="Z225" s="79" t="str">
        <f>HYPERLINK("https://twitter.com/cagataycirit12/status/1569681587293532160")</f>
        <v>https://twitter.com/cagataycirit12/status/1569681587293532160</v>
      </c>
      <c r="AA225" s="76"/>
      <c r="AB225" s="76"/>
      <c r="AC225" s="81" t="s">
        <v>1378</v>
      </c>
      <c r="AD225" s="76"/>
      <c r="AE225" s="76" t="b">
        <v>0</v>
      </c>
      <c r="AF225" s="76">
        <v>0</v>
      </c>
      <c r="AG225" s="81" t="s">
        <v>1674</v>
      </c>
      <c r="AH225" s="76" t="b">
        <v>0</v>
      </c>
      <c r="AI225" s="76" t="s">
        <v>1771</v>
      </c>
      <c r="AJ225" s="76"/>
      <c r="AK225" s="81" t="s">
        <v>1674</v>
      </c>
      <c r="AL225" s="76" t="b">
        <v>0</v>
      </c>
      <c r="AM225" s="76">
        <v>2</v>
      </c>
      <c r="AN225" s="81" t="s">
        <v>1454</v>
      </c>
      <c r="AO225" s="81" t="s">
        <v>1809</v>
      </c>
      <c r="AP225" s="76" t="b">
        <v>0</v>
      </c>
      <c r="AQ225" s="81" t="s">
        <v>1454</v>
      </c>
      <c r="AR225" s="76" t="s">
        <v>219</v>
      </c>
      <c r="AS225" s="76">
        <v>0</v>
      </c>
      <c r="AT225" s="76">
        <v>0</v>
      </c>
      <c r="AU225" s="76"/>
      <c r="AV225" s="76"/>
      <c r="AW225" s="76"/>
      <c r="AX225" s="76"/>
      <c r="AY225" s="76"/>
      <c r="AZ225" s="76"/>
      <c r="BA225" s="76"/>
      <c r="BB225" s="76"/>
      <c r="BC225">
        <v>3</v>
      </c>
      <c r="BD225" s="75" t="str">
        <f>REPLACE(INDEX(GroupVertices[Group],MATCH(Edges[[#This Row],[Vertex 1]],GroupVertices[Vertex],0)),1,1,"")</f>
        <v>3</v>
      </c>
      <c r="BE225" s="75" t="str">
        <f>REPLACE(INDEX(GroupVertices[Group],MATCH(Edges[[#This Row],[Vertex 2]],GroupVertices[Vertex],0)),1,1,"")</f>
        <v>3</v>
      </c>
      <c r="BF225" s="45">
        <v>0</v>
      </c>
      <c r="BG225" s="46">
        <v>0</v>
      </c>
      <c r="BH225" s="45">
        <v>0</v>
      </c>
      <c r="BI225" s="46">
        <v>0</v>
      </c>
      <c r="BJ225" s="45">
        <v>0</v>
      </c>
      <c r="BK225" s="46">
        <v>0</v>
      </c>
      <c r="BL225" s="45">
        <v>13</v>
      </c>
      <c r="BM225" s="46">
        <v>100</v>
      </c>
      <c r="BN225" s="45">
        <v>13</v>
      </c>
    </row>
    <row r="226" spans="1:66" ht="15">
      <c r="A226" s="61" t="s">
        <v>375</v>
      </c>
      <c r="B226" s="61" t="s">
        <v>414</v>
      </c>
      <c r="C226" s="62" t="s">
        <v>4691</v>
      </c>
      <c r="D226" s="63">
        <v>5.833333333333333</v>
      </c>
      <c r="E226" s="62"/>
      <c r="F226" s="65">
        <v>44.166666666666664</v>
      </c>
      <c r="G226" s="62"/>
      <c r="H226" s="66"/>
      <c r="I226" s="67"/>
      <c r="J226" s="67"/>
      <c r="K226" s="31" t="s">
        <v>65</v>
      </c>
      <c r="L226" s="68">
        <v>226</v>
      </c>
      <c r="M226" s="68"/>
      <c r="N226" s="69"/>
      <c r="O226" s="76" t="s">
        <v>586</v>
      </c>
      <c r="P226" s="78">
        <v>44817.568194444444</v>
      </c>
      <c r="Q226" s="76" t="s">
        <v>632</v>
      </c>
      <c r="R226" s="76"/>
      <c r="S226" s="76"/>
      <c r="T226" s="81" t="s">
        <v>819</v>
      </c>
      <c r="U226" s="76"/>
      <c r="V226" s="79" t="str">
        <f>HYPERLINK("https://pbs.twimg.com/profile_images/1553404646944817153/xU0pQxtX_normal.jpg")</f>
        <v>https://pbs.twimg.com/profile_images/1553404646944817153/xU0pQxtX_normal.jpg</v>
      </c>
      <c r="W226" s="78">
        <v>44817.568194444444</v>
      </c>
      <c r="X226" s="84">
        <v>44817</v>
      </c>
      <c r="Y226" s="81" t="s">
        <v>1048</v>
      </c>
      <c r="Z226" s="79" t="str">
        <f>HYPERLINK("https://twitter.com/cagataycirit12/status/1569681857138098176")</f>
        <v>https://twitter.com/cagataycirit12/status/1569681857138098176</v>
      </c>
      <c r="AA226" s="76"/>
      <c r="AB226" s="76"/>
      <c r="AC226" s="81" t="s">
        <v>1379</v>
      </c>
      <c r="AD226" s="76"/>
      <c r="AE226" s="76" t="b">
        <v>0</v>
      </c>
      <c r="AF226" s="76">
        <v>0</v>
      </c>
      <c r="AG226" s="81" t="s">
        <v>1674</v>
      </c>
      <c r="AH226" s="76" t="b">
        <v>0</v>
      </c>
      <c r="AI226" s="76" t="s">
        <v>1771</v>
      </c>
      <c r="AJ226" s="76"/>
      <c r="AK226" s="81" t="s">
        <v>1674</v>
      </c>
      <c r="AL226" s="76" t="b">
        <v>0</v>
      </c>
      <c r="AM226" s="76">
        <v>4</v>
      </c>
      <c r="AN226" s="81" t="s">
        <v>1450</v>
      </c>
      <c r="AO226" s="81" t="s">
        <v>1809</v>
      </c>
      <c r="AP226" s="76" t="b">
        <v>0</v>
      </c>
      <c r="AQ226" s="81" t="s">
        <v>1450</v>
      </c>
      <c r="AR226" s="76" t="s">
        <v>219</v>
      </c>
      <c r="AS226" s="76">
        <v>0</v>
      </c>
      <c r="AT226" s="76">
        <v>0</v>
      </c>
      <c r="AU226" s="76"/>
      <c r="AV226" s="76"/>
      <c r="AW226" s="76"/>
      <c r="AX226" s="76"/>
      <c r="AY226" s="76"/>
      <c r="AZ226" s="76"/>
      <c r="BA226" s="76"/>
      <c r="BB226" s="76"/>
      <c r="BC226">
        <v>3</v>
      </c>
      <c r="BD226" s="75" t="str">
        <f>REPLACE(INDEX(GroupVertices[Group],MATCH(Edges[[#This Row],[Vertex 1]],GroupVertices[Vertex],0)),1,1,"")</f>
        <v>3</v>
      </c>
      <c r="BE226" s="75" t="str">
        <f>REPLACE(INDEX(GroupVertices[Group],MATCH(Edges[[#This Row],[Vertex 2]],GroupVertices[Vertex],0)),1,1,"")</f>
        <v>3</v>
      </c>
      <c r="BF226" s="45">
        <v>0</v>
      </c>
      <c r="BG226" s="46">
        <v>0</v>
      </c>
      <c r="BH226" s="45">
        <v>0</v>
      </c>
      <c r="BI226" s="46">
        <v>0</v>
      </c>
      <c r="BJ226" s="45">
        <v>0</v>
      </c>
      <c r="BK226" s="46">
        <v>0</v>
      </c>
      <c r="BL226" s="45">
        <v>5</v>
      </c>
      <c r="BM226" s="46">
        <v>100</v>
      </c>
      <c r="BN226" s="45">
        <v>5</v>
      </c>
    </row>
    <row r="227" spans="1:66" ht="15">
      <c r="A227" s="61" t="s">
        <v>376</v>
      </c>
      <c r="B227" s="61" t="s">
        <v>525</v>
      </c>
      <c r="C227" s="62" t="s">
        <v>4688</v>
      </c>
      <c r="D227" s="63">
        <v>5</v>
      </c>
      <c r="E227" s="62"/>
      <c r="F227" s="65">
        <v>50</v>
      </c>
      <c r="G227" s="62"/>
      <c r="H227" s="66"/>
      <c r="I227" s="67"/>
      <c r="J227" s="67"/>
      <c r="K227" s="31" t="s">
        <v>65</v>
      </c>
      <c r="L227" s="68">
        <v>227</v>
      </c>
      <c r="M227" s="68"/>
      <c r="N227" s="69"/>
      <c r="O227" s="76" t="s">
        <v>587</v>
      </c>
      <c r="P227" s="78">
        <v>44817.77755787037</v>
      </c>
      <c r="Q227" s="76" t="s">
        <v>688</v>
      </c>
      <c r="R227" s="76"/>
      <c r="S227" s="76"/>
      <c r="T227" s="81" t="s">
        <v>844</v>
      </c>
      <c r="U227" s="76"/>
      <c r="V227" s="79" t="str">
        <f>HYPERLINK("https://pbs.twimg.com/profile_images/1331662336021712902/_l8YgACQ_normal.jpg")</f>
        <v>https://pbs.twimg.com/profile_images/1331662336021712902/_l8YgACQ_normal.jpg</v>
      </c>
      <c r="W227" s="78">
        <v>44817.77755787037</v>
      </c>
      <c r="X227" s="84">
        <v>44817</v>
      </c>
      <c r="Y227" s="81" t="s">
        <v>1049</v>
      </c>
      <c r="Z227" s="79" t="str">
        <f>HYPERLINK("https://twitter.com/l_spagg/status/1569757726041047041")</f>
        <v>https://twitter.com/l_spagg/status/1569757726041047041</v>
      </c>
      <c r="AA227" s="76"/>
      <c r="AB227" s="76"/>
      <c r="AC227" s="81" t="s">
        <v>1380</v>
      </c>
      <c r="AD227" s="81" t="s">
        <v>1615</v>
      </c>
      <c r="AE227" s="76" t="b">
        <v>0</v>
      </c>
      <c r="AF227" s="76">
        <v>0</v>
      </c>
      <c r="AG227" s="81" t="s">
        <v>1726</v>
      </c>
      <c r="AH227" s="76" t="b">
        <v>0</v>
      </c>
      <c r="AI227" s="76" t="s">
        <v>1770</v>
      </c>
      <c r="AJ227" s="76"/>
      <c r="AK227" s="81" t="s">
        <v>1674</v>
      </c>
      <c r="AL227" s="76" t="b">
        <v>0</v>
      </c>
      <c r="AM227" s="76">
        <v>0</v>
      </c>
      <c r="AN227" s="81" t="s">
        <v>1674</v>
      </c>
      <c r="AO227" s="81" t="s">
        <v>1808</v>
      </c>
      <c r="AP227" s="76" t="b">
        <v>0</v>
      </c>
      <c r="AQ227" s="81" t="s">
        <v>1615</v>
      </c>
      <c r="AR227" s="76" t="s">
        <v>219</v>
      </c>
      <c r="AS227" s="76">
        <v>0</v>
      </c>
      <c r="AT227" s="76">
        <v>0</v>
      </c>
      <c r="AU227" s="76"/>
      <c r="AV227" s="76"/>
      <c r="AW227" s="76"/>
      <c r="AX227" s="76"/>
      <c r="AY227" s="76"/>
      <c r="AZ227" s="76"/>
      <c r="BA227" s="76"/>
      <c r="BB227" s="76"/>
      <c r="BC227">
        <v>1</v>
      </c>
      <c r="BD227" s="75" t="str">
        <f>REPLACE(INDEX(GroupVertices[Group],MATCH(Edges[[#This Row],[Vertex 1]],GroupVertices[Vertex],0)),1,1,"")</f>
        <v>44</v>
      </c>
      <c r="BE227" s="75" t="str">
        <f>REPLACE(INDEX(GroupVertices[Group],MATCH(Edges[[#This Row],[Vertex 2]],GroupVertices[Vertex],0)),1,1,"")</f>
        <v>44</v>
      </c>
      <c r="BF227" s="45">
        <v>0</v>
      </c>
      <c r="BG227" s="46">
        <v>0</v>
      </c>
      <c r="BH227" s="45">
        <v>0</v>
      </c>
      <c r="BI227" s="46">
        <v>0</v>
      </c>
      <c r="BJ227" s="45">
        <v>0</v>
      </c>
      <c r="BK227" s="46">
        <v>0</v>
      </c>
      <c r="BL227" s="45">
        <v>7</v>
      </c>
      <c r="BM227" s="46">
        <v>100</v>
      </c>
      <c r="BN227" s="45">
        <v>7</v>
      </c>
    </row>
    <row r="228" spans="1:66" ht="15">
      <c r="A228" s="61" t="s">
        <v>377</v>
      </c>
      <c r="B228" s="61" t="s">
        <v>526</v>
      </c>
      <c r="C228" s="62" t="s">
        <v>4688</v>
      </c>
      <c r="D228" s="63">
        <v>5</v>
      </c>
      <c r="E228" s="62"/>
      <c r="F228" s="65">
        <v>50</v>
      </c>
      <c r="G228" s="62"/>
      <c r="H228" s="66"/>
      <c r="I228" s="67"/>
      <c r="J228" s="67"/>
      <c r="K228" s="31" t="s">
        <v>65</v>
      </c>
      <c r="L228" s="68">
        <v>228</v>
      </c>
      <c r="M228" s="68"/>
      <c r="N228" s="69"/>
      <c r="O228" s="76" t="s">
        <v>585</v>
      </c>
      <c r="P228" s="78">
        <v>44817.82939814815</v>
      </c>
      <c r="Q228" s="76" t="s">
        <v>689</v>
      </c>
      <c r="R228" s="76"/>
      <c r="S228" s="76"/>
      <c r="T228" s="81" t="s">
        <v>795</v>
      </c>
      <c r="U228" s="76"/>
      <c r="V228" s="79" t="str">
        <f>HYPERLINK("https://pbs.twimg.com/profile_images/1496971217269628933/cZngJsP8_normal.jpg")</f>
        <v>https://pbs.twimg.com/profile_images/1496971217269628933/cZngJsP8_normal.jpg</v>
      </c>
      <c r="W228" s="78">
        <v>44817.82939814815</v>
      </c>
      <c r="X228" s="84">
        <v>44817</v>
      </c>
      <c r="Y228" s="81" t="s">
        <v>1050</v>
      </c>
      <c r="Z228" s="79" t="str">
        <f>HYPERLINK("https://twitter.com/varangianarmy/status/1569776513716989953")</f>
        <v>https://twitter.com/varangianarmy/status/1569776513716989953</v>
      </c>
      <c r="AA228" s="76"/>
      <c r="AB228" s="76"/>
      <c r="AC228" s="81" t="s">
        <v>1381</v>
      </c>
      <c r="AD228" s="76"/>
      <c r="AE228" s="76" t="b">
        <v>0</v>
      </c>
      <c r="AF228" s="76">
        <v>0</v>
      </c>
      <c r="AG228" s="81" t="s">
        <v>1674</v>
      </c>
      <c r="AH228" s="76" t="b">
        <v>0</v>
      </c>
      <c r="AI228" s="76" t="s">
        <v>1772</v>
      </c>
      <c r="AJ228" s="76"/>
      <c r="AK228" s="81" t="s">
        <v>1674</v>
      </c>
      <c r="AL228" s="76" t="b">
        <v>0</v>
      </c>
      <c r="AM228" s="76">
        <v>3</v>
      </c>
      <c r="AN228" s="81" t="s">
        <v>1383</v>
      </c>
      <c r="AO228" s="81" t="s">
        <v>1808</v>
      </c>
      <c r="AP228" s="76" t="b">
        <v>0</v>
      </c>
      <c r="AQ228" s="81" t="s">
        <v>1383</v>
      </c>
      <c r="AR228" s="76" t="s">
        <v>219</v>
      </c>
      <c r="AS228" s="76">
        <v>0</v>
      </c>
      <c r="AT228" s="76">
        <v>0</v>
      </c>
      <c r="AU228" s="76"/>
      <c r="AV228" s="76"/>
      <c r="AW228" s="76"/>
      <c r="AX228" s="76"/>
      <c r="AY228" s="76"/>
      <c r="AZ228" s="76"/>
      <c r="BA228" s="76"/>
      <c r="BB228" s="76"/>
      <c r="BC228">
        <v>1</v>
      </c>
      <c r="BD228" s="75" t="str">
        <f>REPLACE(INDEX(GroupVertices[Group],MATCH(Edges[[#This Row],[Vertex 1]],GroupVertices[Vertex],0)),1,1,"")</f>
        <v>13</v>
      </c>
      <c r="BE228" s="75" t="str">
        <f>REPLACE(INDEX(GroupVertices[Group],MATCH(Edges[[#This Row],[Vertex 2]],GroupVertices[Vertex],0)),1,1,"")</f>
        <v>13</v>
      </c>
      <c r="BF228" s="45"/>
      <c r="BG228" s="46"/>
      <c r="BH228" s="45"/>
      <c r="BI228" s="46"/>
      <c r="BJ228" s="45"/>
      <c r="BK228" s="46"/>
      <c r="BL228" s="45"/>
      <c r="BM228" s="46"/>
      <c r="BN228" s="45"/>
    </row>
    <row r="229" spans="1:66" ht="15">
      <c r="A229" s="61" t="s">
        <v>377</v>
      </c>
      <c r="B229" s="61" t="s">
        <v>379</v>
      </c>
      <c r="C229" s="62" t="s">
        <v>4688</v>
      </c>
      <c r="D229" s="63">
        <v>5</v>
      </c>
      <c r="E229" s="62"/>
      <c r="F229" s="65">
        <v>50</v>
      </c>
      <c r="G229" s="62"/>
      <c r="H229" s="66"/>
      <c r="I229" s="67"/>
      <c r="J229" s="67"/>
      <c r="K229" s="31" t="s">
        <v>65</v>
      </c>
      <c r="L229" s="68">
        <v>229</v>
      </c>
      <c r="M229" s="68"/>
      <c r="N229" s="69"/>
      <c r="O229" s="76" t="s">
        <v>586</v>
      </c>
      <c r="P229" s="78">
        <v>44817.82939814815</v>
      </c>
      <c r="Q229" s="76" t="s">
        <v>689</v>
      </c>
      <c r="R229" s="76"/>
      <c r="S229" s="76"/>
      <c r="T229" s="81" t="s">
        <v>795</v>
      </c>
      <c r="U229" s="76"/>
      <c r="V229" s="79" t="str">
        <f>HYPERLINK("https://pbs.twimg.com/profile_images/1496971217269628933/cZngJsP8_normal.jpg")</f>
        <v>https://pbs.twimg.com/profile_images/1496971217269628933/cZngJsP8_normal.jpg</v>
      </c>
      <c r="W229" s="78">
        <v>44817.82939814815</v>
      </c>
      <c r="X229" s="84">
        <v>44817</v>
      </c>
      <c r="Y229" s="81" t="s">
        <v>1050</v>
      </c>
      <c r="Z229" s="79" t="str">
        <f>HYPERLINK("https://twitter.com/varangianarmy/status/1569776513716989953")</f>
        <v>https://twitter.com/varangianarmy/status/1569776513716989953</v>
      </c>
      <c r="AA229" s="76"/>
      <c r="AB229" s="76"/>
      <c r="AC229" s="81" t="s">
        <v>1381</v>
      </c>
      <c r="AD229" s="76"/>
      <c r="AE229" s="76" t="b">
        <v>0</v>
      </c>
      <c r="AF229" s="76">
        <v>0</v>
      </c>
      <c r="AG229" s="81" t="s">
        <v>1674</v>
      </c>
      <c r="AH229" s="76" t="b">
        <v>0</v>
      </c>
      <c r="AI229" s="76" t="s">
        <v>1772</v>
      </c>
      <c r="AJ229" s="76"/>
      <c r="AK229" s="81" t="s">
        <v>1674</v>
      </c>
      <c r="AL229" s="76" t="b">
        <v>0</v>
      </c>
      <c r="AM229" s="76">
        <v>3</v>
      </c>
      <c r="AN229" s="81" t="s">
        <v>1383</v>
      </c>
      <c r="AO229" s="81" t="s">
        <v>1808</v>
      </c>
      <c r="AP229" s="76" t="b">
        <v>0</v>
      </c>
      <c r="AQ229" s="81" t="s">
        <v>1383</v>
      </c>
      <c r="AR229" s="76" t="s">
        <v>219</v>
      </c>
      <c r="AS229" s="76">
        <v>0</v>
      </c>
      <c r="AT229" s="76">
        <v>0</v>
      </c>
      <c r="AU229" s="76"/>
      <c r="AV229" s="76"/>
      <c r="AW229" s="76"/>
      <c r="AX229" s="76"/>
      <c r="AY229" s="76"/>
      <c r="AZ229" s="76"/>
      <c r="BA229" s="76"/>
      <c r="BB229" s="76"/>
      <c r="BC229">
        <v>1</v>
      </c>
      <c r="BD229" s="75" t="str">
        <f>REPLACE(INDEX(GroupVertices[Group],MATCH(Edges[[#This Row],[Vertex 1]],GroupVertices[Vertex],0)),1,1,"")</f>
        <v>13</v>
      </c>
      <c r="BE229" s="75" t="str">
        <f>REPLACE(INDEX(GroupVertices[Group],MATCH(Edges[[#This Row],[Vertex 2]],GroupVertices[Vertex],0)),1,1,"")</f>
        <v>13</v>
      </c>
      <c r="BF229" s="45"/>
      <c r="BG229" s="46"/>
      <c r="BH229" s="45"/>
      <c r="BI229" s="46"/>
      <c r="BJ229" s="45"/>
      <c r="BK229" s="46"/>
      <c r="BL229" s="45"/>
      <c r="BM229" s="46"/>
      <c r="BN229" s="45"/>
    </row>
    <row r="230" spans="1:66" ht="15">
      <c r="A230" s="61" t="s">
        <v>377</v>
      </c>
      <c r="B230" s="61" t="s">
        <v>378</v>
      </c>
      <c r="C230" s="62" t="s">
        <v>4688</v>
      </c>
      <c r="D230" s="63">
        <v>5</v>
      </c>
      <c r="E230" s="62"/>
      <c r="F230" s="65">
        <v>50</v>
      </c>
      <c r="G230" s="62"/>
      <c r="H230" s="66"/>
      <c r="I230" s="67"/>
      <c r="J230" s="67"/>
      <c r="K230" s="31" t="s">
        <v>65</v>
      </c>
      <c r="L230" s="68">
        <v>230</v>
      </c>
      <c r="M230" s="68"/>
      <c r="N230" s="69"/>
      <c r="O230" s="76" t="s">
        <v>587</v>
      </c>
      <c r="P230" s="78">
        <v>44817.82939814815</v>
      </c>
      <c r="Q230" s="76" t="s">
        <v>689</v>
      </c>
      <c r="R230" s="76"/>
      <c r="S230" s="76"/>
      <c r="T230" s="81" t="s">
        <v>795</v>
      </c>
      <c r="U230" s="76"/>
      <c r="V230" s="79" t="str">
        <f>HYPERLINK("https://pbs.twimg.com/profile_images/1496971217269628933/cZngJsP8_normal.jpg")</f>
        <v>https://pbs.twimg.com/profile_images/1496971217269628933/cZngJsP8_normal.jpg</v>
      </c>
      <c r="W230" s="78">
        <v>44817.82939814815</v>
      </c>
      <c r="X230" s="84">
        <v>44817</v>
      </c>
      <c r="Y230" s="81" t="s">
        <v>1050</v>
      </c>
      <c r="Z230" s="79" t="str">
        <f>HYPERLINK("https://twitter.com/varangianarmy/status/1569776513716989953")</f>
        <v>https://twitter.com/varangianarmy/status/1569776513716989953</v>
      </c>
      <c r="AA230" s="76"/>
      <c r="AB230" s="76"/>
      <c r="AC230" s="81" t="s">
        <v>1381</v>
      </c>
      <c r="AD230" s="76"/>
      <c r="AE230" s="76" t="b">
        <v>0</v>
      </c>
      <c r="AF230" s="76">
        <v>0</v>
      </c>
      <c r="AG230" s="81" t="s">
        <v>1674</v>
      </c>
      <c r="AH230" s="76" t="b">
        <v>0</v>
      </c>
      <c r="AI230" s="76" t="s">
        <v>1772</v>
      </c>
      <c r="AJ230" s="76"/>
      <c r="AK230" s="81" t="s">
        <v>1674</v>
      </c>
      <c r="AL230" s="76" t="b">
        <v>0</v>
      </c>
      <c r="AM230" s="76">
        <v>3</v>
      </c>
      <c r="AN230" s="81" t="s">
        <v>1383</v>
      </c>
      <c r="AO230" s="81" t="s">
        <v>1808</v>
      </c>
      <c r="AP230" s="76" t="b">
        <v>0</v>
      </c>
      <c r="AQ230" s="81" t="s">
        <v>1383</v>
      </c>
      <c r="AR230" s="76" t="s">
        <v>219</v>
      </c>
      <c r="AS230" s="76">
        <v>0</v>
      </c>
      <c r="AT230" s="76">
        <v>0</v>
      </c>
      <c r="AU230" s="76"/>
      <c r="AV230" s="76"/>
      <c r="AW230" s="76"/>
      <c r="AX230" s="76"/>
      <c r="AY230" s="76"/>
      <c r="AZ230" s="76"/>
      <c r="BA230" s="76"/>
      <c r="BB230" s="76"/>
      <c r="BC230">
        <v>1</v>
      </c>
      <c r="BD230" s="75" t="str">
        <f>REPLACE(INDEX(GroupVertices[Group],MATCH(Edges[[#This Row],[Vertex 1]],GroupVertices[Vertex],0)),1,1,"")</f>
        <v>13</v>
      </c>
      <c r="BE230" s="75" t="str">
        <f>REPLACE(INDEX(GroupVertices[Group],MATCH(Edges[[#This Row],[Vertex 2]],GroupVertices[Vertex],0)),1,1,"")</f>
        <v>13</v>
      </c>
      <c r="BF230" s="45">
        <v>1</v>
      </c>
      <c r="BG230" s="46">
        <v>4.166666666666667</v>
      </c>
      <c r="BH230" s="45">
        <v>0</v>
      </c>
      <c r="BI230" s="46">
        <v>0</v>
      </c>
      <c r="BJ230" s="45">
        <v>0</v>
      </c>
      <c r="BK230" s="46">
        <v>0</v>
      </c>
      <c r="BL230" s="45">
        <v>23</v>
      </c>
      <c r="BM230" s="46">
        <v>95.83333333333333</v>
      </c>
      <c r="BN230" s="45">
        <v>24</v>
      </c>
    </row>
    <row r="231" spans="1:66" ht="15">
      <c r="A231" s="61" t="s">
        <v>378</v>
      </c>
      <c r="B231" s="61" t="s">
        <v>526</v>
      </c>
      <c r="C231" s="62" t="s">
        <v>4688</v>
      </c>
      <c r="D231" s="63">
        <v>5</v>
      </c>
      <c r="E231" s="62"/>
      <c r="F231" s="65">
        <v>50</v>
      </c>
      <c r="G231" s="62"/>
      <c r="H231" s="66"/>
      <c r="I231" s="67"/>
      <c r="J231" s="67"/>
      <c r="K231" s="31" t="s">
        <v>65</v>
      </c>
      <c r="L231" s="68">
        <v>231</v>
      </c>
      <c r="M231" s="68"/>
      <c r="N231" s="69"/>
      <c r="O231" s="76" t="s">
        <v>585</v>
      </c>
      <c r="P231" s="78">
        <v>44817.82482638889</v>
      </c>
      <c r="Q231" s="76" t="s">
        <v>689</v>
      </c>
      <c r="R231" s="76"/>
      <c r="S231" s="76"/>
      <c r="T231" s="81" t="s">
        <v>795</v>
      </c>
      <c r="U231" s="76"/>
      <c r="V231" s="79" t="str">
        <f>HYPERLINK("https://pbs.twimg.com/profile_images/1563828211217309696/-cq0Deqc_normal.jpg")</f>
        <v>https://pbs.twimg.com/profile_images/1563828211217309696/-cq0Deqc_normal.jpg</v>
      </c>
      <c r="W231" s="78">
        <v>44817.82482638889</v>
      </c>
      <c r="X231" s="84">
        <v>44817</v>
      </c>
      <c r="Y231" s="81" t="s">
        <v>1051</v>
      </c>
      <c r="Z231" s="79" t="str">
        <f>HYPERLINK("https://twitter.com/heyhelloirene/status/1569774858166214661")</f>
        <v>https://twitter.com/heyhelloirene/status/1569774858166214661</v>
      </c>
      <c r="AA231" s="76"/>
      <c r="AB231" s="76"/>
      <c r="AC231" s="81" t="s">
        <v>1382</v>
      </c>
      <c r="AD231" s="76"/>
      <c r="AE231" s="76" t="b">
        <v>0</v>
      </c>
      <c r="AF231" s="76">
        <v>0</v>
      </c>
      <c r="AG231" s="81" t="s">
        <v>1674</v>
      </c>
      <c r="AH231" s="76" t="b">
        <v>0</v>
      </c>
      <c r="AI231" s="76" t="s">
        <v>1772</v>
      </c>
      <c r="AJ231" s="76"/>
      <c r="AK231" s="81" t="s">
        <v>1674</v>
      </c>
      <c r="AL231" s="76" t="b">
        <v>0</v>
      </c>
      <c r="AM231" s="76">
        <v>3</v>
      </c>
      <c r="AN231" s="81" t="s">
        <v>1383</v>
      </c>
      <c r="AO231" s="81" t="s">
        <v>1809</v>
      </c>
      <c r="AP231" s="76" t="b">
        <v>0</v>
      </c>
      <c r="AQ231" s="81" t="s">
        <v>1383</v>
      </c>
      <c r="AR231" s="76" t="s">
        <v>219</v>
      </c>
      <c r="AS231" s="76">
        <v>0</v>
      </c>
      <c r="AT231" s="76">
        <v>0</v>
      </c>
      <c r="AU231" s="76"/>
      <c r="AV231" s="76"/>
      <c r="AW231" s="76"/>
      <c r="AX231" s="76"/>
      <c r="AY231" s="76"/>
      <c r="AZ231" s="76"/>
      <c r="BA231" s="76"/>
      <c r="BB231" s="76"/>
      <c r="BC231">
        <v>1</v>
      </c>
      <c r="BD231" s="75" t="str">
        <f>REPLACE(INDEX(GroupVertices[Group],MATCH(Edges[[#This Row],[Vertex 1]],GroupVertices[Vertex],0)),1,1,"")</f>
        <v>13</v>
      </c>
      <c r="BE231" s="75" t="str">
        <f>REPLACE(INDEX(GroupVertices[Group],MATCH(Edges[[#This Row],[Vertex 2]],GroupVertices[Vertex],0)),1,1,"")</f>
        <v>13</v>
      </c>
      <c r="BF231" s="45"/>
      <c r="BG231" s="46"/>
      <c r="BH231" s="45"/>
      <c r="BI231" s="46"/>
      <c r="BJ231" s="45"/>
      <c r="BK231" s="46"/>
      <c r="BL231" s="45"/>
      <c r="BM231" s="46"/>
      <c r="BN231" s="45"/>
    </row>
    <row r="232" spans="1:66" ht="15">
      <c r="A232" s="61" t="s">
        <v>379</v>
      </c>
      <c r="B232" s="61" t="s">
        <v>526</v>
      </c>
      <c r="C232" s="62" t="s">
        <v>4688</v>
      </c>
      <c r="D232" s="63">
        <v>5</v>
      </c>
      <c r="E232" s="62"/>
      <c r="F232" s="65">
        <v>50</v>
      </c>
      <c r="G232" s="62"/>
      <c r="H232" s="66"/>
      <c r="I232" s="67"/>
      <c r="J232" s="67"/>
      <c r="K232" s="31" t="s">
        <v>65</v>
      </c>
      <c r="L232" s="68">
        <v>232</v>
      </c>
      <c r="M232" s="68"/>
      <c r="N232" s="69"/>
      <c r="O232" s="76" t="s">
        <v>588</v>
      </c>
      <c r="P232" s="78">
        <v>44817.82295138889</v>
      </c>
      <c r="Q232" s="76" t="s">
        <v>689</v>
      </c>
      <c r="R232" s="76"/>
      <c r="S232" s="76"/>
      <c r="T232" s="81" t="s">
        <v>795</v>
      </c>
      <c r="U232" s="76"/>
      <c r="V232" s="79" t="str">
        <f>HYPERLINK("https://pbs.twimg.com/profile_images/1504562358076772352/JsJgUY8e_normal.jpg")</f>
        <v>https://pbs.twimg.com/profile_images/1504562358076772352/JsJgUY8e_normal.jpg</v>
      </c>
      <c r="W232" s="78">
        <v>44817.82295138889</v>
      </c>
      <c r="X232" s="84">
        <v>44817</v>
      </c>
      <c r="Y232" s="81" t="s">
        <v>1052</v>
      </c>
      <c r="Z232" s="79" t="str">
        <f>HYPERLINK("https://twitter.com/vasilsimeonovbg/status/1569774176348811264")</f>
        <v>https://twitter.com/vasilsimeonovbg/status/1569774176348811264</v>
      </c>
      <c r="AA232" s="76"/>
      <c r="AB232" s="76"/>
      <c r="AC232" s="81" t="s">
        <v>1383</v>
      </c>
      <c r="AD232" s="81" t="s">
        <v>1616</v>
      </c>
      <c r="AE232" s="76" t="b">
        <v>0</v>
      </c>
      <c r="AF232" s="76">
        <v>17</v>
      </c>
      <c r="AG232" s="81" t="s">
        <v>1727</v>
      </c>
      <c r="AH232" s="76" t="b">
        <v>0</v>
      </c>
      <c r="AI232" s="76" t="s">
        <v>1772</v>
      </c>
      <c r="AJ232" s="76"/>
      <c r="AK232" s="81" t="s">
        <v>1674</v>
      </c>
      <c r="AL232" s="76" t="b">
        <v>0</v>
      </c>
      <c r="AM232" s="76">
        <v>3</v>
      </c>
      <c r="AN232" s="81" t="s">
        <v>1674</v>
      </c>
      <c r="AO232" s="81" t="s">
        <v>1807</v>
      </c>
      <c r="AP232" s="76" t="b">
        <v>0</v>
      </c>
      <c r="AQ232" s="81" t="s">
        <v>1616</v>
      </c>
      <c r="AR232" s="76" t="s">
        <v>219</v>
      </c>
      <c r="AS232" s="76">
        <v>0</v>
      </c>
      <c r="AT232" s="76">
        <v>0</v>
      </c>
      <c r="AU232" s="76"/>
      <c r="AV232" s="76"/>
      <c r="AW232" s="76"/>
      <c r="AX232" s="76"/>
      <c r="AY232" s="76"/>
      <c r="AZ232" s="76"/>
      <c r="BA232" s="76"/>
      <c r="BB232" s="76"/>
      <c r="BC232">
        <v>1</v>
      </c>
      <c r="BD232" s="75" t="str">
        <f>REPLACE(INDEX(GroupVertices[Group],MATCH(Edges[[#This Row],[Vertex 1]],GroupVertices[Vertex],0)),1,1,"")</f>
        <v>13</v>
      </c>
      <c r="BE232" s="75" t="str">
        <f>REPLACE(INDEX(GroupVertices[Group],MATCH(Edges[[#This Row],[Vertex 2]],GroupVertices[Vertex],0)),1,1,"")</f>
        <v>13</v>
      </c>
      <c r="BF232" s="45"/>
      <c r="BG232" s="46"/>
      <c r="BH232" s="45"/>
      <c r="BI232" s="46"/>
      <c r="BJ232" s="45"/>
      <c r="BK232" s="46"/>
      <c r="BL232" s="45"/>
      <c r="BM232" s="46"/>
      <c r="BN232" s="45"/>
    </row>
    <row r="233" spans="1:66" ht="15">
      <c r="A233" s="61" t="s">
        <v>380</v>
      </c>
      <c r="B233" s="61" t="s">
        <v>526</v>
      </c>
      <c r="C233" s="62" t="s">
        <v>4688</v>
      </c>
      <c r="D233" s="63">
        <v>5</v>
      </c>
      <c r="E233" s="62"/>
      <c r="F233" s="65">
        <v>50</v>
      </c>
      <c r="G233" s="62"/>
      <c r="H233" s="66"/>
      <c r="I233" s="67"/>
      <c r="J233" s="67"/>
      <c r="K233" s="31" t="s">
        <v>65</v>
      </c>
      <c r="L233" s="68">
        <v>233</v>
      </c>
      <c r="M233" s="68"/>
      <c r="N233" s="69"/>
      <c r="O233" s="76" t="s">
        <v>585</v>
      </c>
      <c r="P233" s="78">
        <v>44817.862708333334</v>
      </c>
      <c r="Q233" s="76" t="s">
        <v>689</v>
      </c>
      <c r="R233" s="76"/>
      <c r="S233" s="76"/>
      <c r="T233" s="81" t="s">
        <v>795</v>
      </c>
      <c r="U233" s="76"/>
      <c r="V233" s="79" t="str">
        <f>HYPERLINK("https://pbs.twimg.com/profile_images/985194897639661568/XbOJcyqq_normal.jpg")</f>
        <v>https://pbs.twimg.com/profile_images/985194897639661568/XbOJcyqq_normal.jpg</v>
      </c>
      <c r="W233" s="78">
        <v>44817.862708333334</v>
      </c>
      <c r="X233" s="84">
        <v>44817</v>
      </c>
      <c r="Y233" s="81" t="s">
        <v>1053</v>
      </c>
      <c r="Z233" s="79" t="str">
        <f>HYPERLINK("https://twitter.com/almsdoc95/status/1569788584286195712")</f>
        <v>https://twitter.com/almsdoc95/status/1569788584286195712</v>
      </c>
      <c r="AA233" s="76"/>
      <c r="AB233" s="76"/>
      <c r="AC233" s="81" t="s">
        <v>1384</v>
      </c>
      <c r="AD233" s="76"/>
      <c r="AE233" s="76" t="b">
        <v>0</v>
      </c>
      <c r="AF233" s="76">
        <v>0</v>
      </c>
      <c r="AG233" s="81" t="s">
        <v>1674</v>
      </c>
      <c r="AH233" s="76" t="b">
        <v>0</v>
      </c>
      <c r="AI233" s="76" t="s">
        <v>1772</v>
      </c>
      <c r="AJ233" s="76"/>
      <c r="AK233" s="81" t="s">
        <v>1674</v>
      </c>
      <c r="AL233" s="76" t="b">
        <v>0</v>
      </c>
      <c r="AM233" s="76">
        <v>3</v>
      </c>
      <c r="AN233" s="81" t="s">
        <v>1383</v>
      </c>
      <c r="AO233" s="81" t="s">
        <v>1807</v>
      </c>
      <c r="AP233" s="76" t="b">
        <v>0</v>
      </c>
      <c r="AQ233" s="81" t="s">
        <v>1383</v>
      </c>
      <c r="AR233" s="76" t="s">
        <v>219</v>
      </c>
      <c r="AS233" s="76">
        <v>0</v>
      </c>
      <c r="AT233" s="76">
        <v>0</v>
      </c>
      <c r="AU233" s="76"/>
      <c r="AV233" s="76"/>
      <c r="AW233" s="76"/>
      <c r="AX233" s="76"/>
      <c r="AY233" s="76"/>
      <c r="AZ233" s="76"/>
      <c r="BA233" s="76"/>
      <c r="BB233" s="76"/>
      <c r="BC233">
        <v>1</v>
      </c>
      <c r="BD233" s="75" t="str">
        <f>REPLACE(INDEX(GroupVertices[Group],MATCH(Edges[[#This Row],[Vertex 1]],GroupVertices[Vertex],0)),1,1,"")</f>
        <v>13</v>
      </c>
      <c r="BE233" s="75" t="str">
        <f>REPLACE(INDEX(GroupVertices[Group],MATCH(Edges[[#This Row],[Vertex 2]],GroupVertices[Vertex],0)),1,1,"")</f>
        <v>13</v>
      </c>
      <c r="BF233" s="45"/>
      <c r="BG233" s="46"/>
      <c r="BH233" s="45"/>
      <c r="BI233" s="46"/>
      <c r="BJ233" s="45"/>
      <c r="BK233" s="46"/>
      <c r="BL233" s="45"/>
      <c r="BM233" s="46"/>
      <c r="BN233" s="45"/>
    </row>
    <row r="234" spans="1:66" ht="15">
      <c r="A234" s="61" t="s">
        <v>378</v>
      </c>
      <c r="B234" s="61" t="s">
        <v>379</v>
      </c>
      <c r="C234" s="62" t="s">
        <v>4688</v>
      </c>
      <c r="D234" s="63">
        <v>5</v>
      </c>
      <c r="E234" s="62"/>
      <c r="F234" s="65">
        <v>50</v>
      </c>
      <c r="G234" s="62"/>
      <c r="H234" s="66"/>
      <c r="I234" s="67"/>
      <c r="J234" s="67"/>
      <c r="K234" s="31" t="s">
        <v>66</v>
      </c>
      <c r="L234" s="68">
        <v>234</v>
      </c>
      <c r="M234" s="68"/>
      <c r="N234" s="69"/>
      <c r="O234" s="76" t="s">
        <v>586</v>
      </c>
      <c r="P234" s="78">
        <v>44817.82482638889</v>
      </c>
      <c r="Q234" s="76" t="s">
        <v>689</v>
      </c>
      <c r="R234" s="76"/>
      <c r="S234" s="76"/>
      <c r="T234" s="81" t="s">
        <v>795</v>
      </c>
      <c r="U234" s="76"/>
      <c r="V234" s="79" t="str">
        <f>HYPERLINK("https://pbs.twimg.com/profile_images/1563828211217309696/-cq0Deqc_normal.jpg")</f>
        <v>https://pbs.twimg.com/profile_images/1563828211217309696/-cq0Deqc_normal.jpg</v>
      </c>
      <c r="W234" s="78">
        <v>44817.82482638889</v>
      </c>
      <c r="X234" s="84">
        <v>44817</v>
      </c>
      <c r="Y234" s="81" t="s">
        <v>1051</v>
      </c>
      <c r="Z234" s="79" t="str">
        <f>HYPERLINK("https://twitter.com/heyhelloirene/status/1569774858166214661")</f>
        <v>https://twitter.com/heyhelloirene/status/1569774858166214661</v>
      </c>
      <c r="AA234" s="76"/>
      <c r="AB234" s="76"/>
      <c r="AC234" s="81" t="s">
        <v>1382</v>
      </c>
      <c r="AD234" s="76"/>
      <c r="AE234" s="76" t="b">
        <v>0</v>
      </c>
      <c r="AF234" s="76">
        <v>0</v>
      </c>
      <c r="AG234" s="81" t="s">
        <v>1674</v>
      </c>
      <c r="AH234" s="76" t="b">
        <v>0</v>
      </c>
      <c r="AI234" s="76" t="s">
        <v>1772</v>
      </c>
      <c r="AJ234" s="76"/>
      <c r="AK234" s="81" t="s">
        <v>1674</v>
      </c>
      <c r="AL234" s="76" t="b">
        <v>0</v>
      </c>
      <c r="AM234" s="76">
        <v>3</v>
      </c>
      <c r="AN234" s="81" t="s">
        <v>1383</v>
      </c>
      <c r="AO234" s="81" t="s">
        <v>1809</v>
      </c>
      <c r="AP234" s="76" t="b">
        <v>0</v>
      </c>
      <c r="AQ234" s="81" t="s">
        <v>1383</v>
      </c>
      <c r="AR234" s="76" t="s">
        <v>219</v>
      </c>
      <c r="AS234" s="76">
        <v>0</v>
      </c>
      <c r="AT234" s="76">
        <v>0</v>
      </c>
      <c r="AU234" s="76"/>
      <c r="AV234" s="76"/>
      <c r="AW234" s="76"/>
      <c r="AX234" s="76"/>
      <c r="AY234" s="76"/>
      <c r="AZ234" s="76"/>
      <c r="BA234" s="76"/>
      <c r="BB234" s="76"/>
      <c r="BC234">
        <v>1</v>
      </c>
      <c r="BD234" s="75" t="str">
        <f>REPLACE(INDEX(GroupVertices[Group],MATCH(Edges[[#This Row],[Vertex 1]],GroupVertices[Vertex],0)),1,1,"")</f>
        <v>13</v>
      </c>
      <c r="BE234" s="75" t="str">
        <f>REPLACE(INDEX(GroupVertices[Group],MATCH(Edges[[#This Row],[Vertex 2]],GroupVertices[Vertex],0)),1,1,"")</f>
        <v>13</v>
      </c>
      <c r="BF234" s="45">
        <v>1</v>
      </c>
      <c r="BG234" s="46">
        <v>4.166666666666667</v>
      </c>
      <c r="BH234" s="45">
        <v>0</v>
      </c>
      <c r="BI234" s="46">
        <v>0</v>
      </c>
      <c r="BJ234" s="45">
        <v>0</v>
      </c>
      <c r="BK234" s="46">
        <v>0</v>
      </c>
      <c r="BL234" s="45">
        <v>23</v>
      </c>
      <c r="BM234" s="46">
        <v>95.83333333333333</v>
      </c>
      <c r="BN234" s="45">
        <v>24</v>
      </c>
    </row>
    <row r="235" spans="1:66" ht="15">
      <c r="A235" s="61" t="s">
        <v>379</v>
      </c>
      <c r="B235" s="61" t="s">
        <v>379</v>
      </c>
      <c r="C235" s="62" t="s">
        <v>4691</v>
      </c>
      <c r="D235" s="63">
        <v>5.833333333333333</v>
      </c>
      <c r="E235" s="62"/>
      <c r="F235" s="65">
        <v>44.166666666666664</v>
      </c>
      <c r="G235" s="62"/>
      <c r="H235" s="66"/>
      <c r="I235" s="67"/>
      <c r="J235" s="67"/>
      <c r="K235" s="31" t="s">
        <v>65</v>
      </c>
      <c r="L235" s="68">
        <v>235</v>
      </c>
      <c r="M235" s="68"/>
      <c r="N235" s="69"/>
      <c r="O235" s="76" t="s">
        <v>219</v>
      </c>
      <c r="P235" s="78">
        <v>44812.26993055556</v>
      </c>
      <c r="Q235" s="76" t="s">
        <v>690</v>
      </c>
      <c r="R235" s="76"/>
      <c r="S235" s="76"/>
      <c r="T235" s="81" t="s">
        <v>845</v>
      </c>
      <c r="U235" s="76"/>
      <c r="V235" s="79" t="str">
        <f>HYPERLINK("https://pbs.twimg.com/profile_images/1504562358076772352/JsJgUY8e_normal.jpg")</f>
        <v>https://pbs.twimg.com/profile_images/1504562358076772352/JsJgUY8e_normal.jpg</v>
      </c>
      <c r="W235" s="78">
        <v>44812.26993055556</v>
      </c>
      <c r="X235" s="84">
        <v>44812</v>
      </c>
      <c r="Y235" s="81" t="s">
        <v>1054</v>
      </c>
      <c r="Z235" s="79" t="str">
        <f>HYPERLINK("https://twitter.com/vasilsimeonovbg/status/1567761830788972547")</f>
        <v>https://twitter.com/vasilsimeonovbg/status/1567761830788972547</v>
      </c>
      <c r="AA235" s="76"/>
      <c r="AB235" s="76"/>
      <c r="AC235" s="81" t="s">
        <v>1385</v>
      </c>
      <c r="AD235" s="81" t="s">
        <v>1617</v>
      </c>
      <c r="AE235" s="76" t="b">
        <v>0</v>
      </c>
      <c r="AF235" s="76">
        <v>0</v>
      </c>
      <c r="AG235" s="81" t="s">
        <v>1728</v>
      </c>
      <c r="AH235" s="76" t="b">
        <v>0</v>
      </c>
      <c r="AI235" s="76" t="s">
        <v>1772</v>
      </c>
      <c r="AJ235" s="76"/>
      <c r="AK235" s="81" t="s">
        <v>1674</v>
      </c>
      <c r="AL235" s="76" t="b">
        <v>0</v>
      </c>
      <c r="AM235" s="76">
        <v>0</v>
      </c>
      <c r="AN235" s="81" t="s">
        <v>1674</v>
      </c>
      <c r="AO235" s="81" t="s">
        <v>1807</v>
      </c>
      <c r="AP235" s="76" t="b">
        <v>0</v>
      </c>
      <c r="AQ235" s="81" t="s">
        <v>1617</v>
      </c>
      <c r="AR235" s="76" t="s">
        <v>219</v>
      </c>
      <c r="AS235" s="76">
        <v>0</v>
      </c>
      <c r="AT235" s="76">
        <v>0</v>
      </c>
      <c r="AU235" s="76"/>
      <c r="AV235" s="76"/>
      <c r="AW235" s="76"/>
      <c r="AX235" s="76"/>
      <c r="AY235" s="76"/>
      <c r="AZ235" s="76"/>
      <c r="BA235" s="76"/>
      <c r="BB235" s="76"/>
      <c r="BC235">
        <v>3</v>
      </c>
      <c r="BD235" s="75" t="str">
        <f>REPLACE(INDEX(GroupVertices[Group],MATCH(Edges[[#This Row],[Vertex 1]],GroupVertices[Vertex],0)),1,1,"")</f>
        <v>13</v>
      </c>
      <c r="BE235" s="75" t="str">
        <f>REPLACE(INDEX(GroupVertices[Group],MATCH(Edges[[#This Row],[Vertex 2]],GroupVertices[Vertex],0)),1,1,"")</f>
        <v>13</v>
      </c>
      <c r="BF235" s="45">
        <v>3</v>
      </c>
      <c r="BG235" s="46">
        <v>12</v>
      </c>
      <c r="BH235" s="45">
        <v>2</v>
      </c>
      <c r="BI235" s="46">
        <v>8</v>
      </c>
      <c r="BJ235" s="45">
        <v>0</v>
      </c>
      <c r="BK235" s="46">
        <v>0</v>
      </c>
      <c r="BL235" s="45">
        <v>20</v>
      </c>
      <c r="BM235" s="46">
        <v>80</v>
      </c>
      <c r="BN235" s="45">
        <v>25</v>
      </c>
    </row>
    <row r="236" spans="1:66" ht="15">
      <c r="A236" s="61" t="s">
        <v>379</v>
      </c>
      <c r="B236" s="61" t="s">
        <v>379</v>
      </c>
      <c r="C236" s="62" t="s">
        <v>4691</v>
      </c>
      <c r="D236" s="63">
        <v>5.833333333333333</v>
      </c>
      <c r="E236" s="62"/>
      <c r="F236" s="65">
        <v>44.166666666666664</v>
      </c>
      <c r="G236" s="62"/>
      <c r="H236" s="66"/>
      <c r="I236" s="67"/>
      <c r="J236" s="67"/>
      <c r="K236" s="31" t="s">
        <v>65</v>
      </c>
      <c r="L236" s="68">
        <v>236</v>
      </c>
      <c r="M236" s="68"/>
      <c r="N236" s="69"/>
      <c r="O236" s="76" t="s">
        <v>219</v>
      </c>
      <c r="P236" s="78">
        <v>44814.96319444444</v>
      </c>
      <c r="Q236" s="76" t="s">
        <v>634</v>
      </c>
      <c r="R236" s="79" t="str">
        <f>HYPERLINK("https://twitter.com/StepanGronk/status/1568043302032928768")</f>
        <v>https://twitter.com/StepanGronk/status/1568043302032928768</v>
      </c>
      <c r="S236" s="76" t="s">
        <v>783</v>
      </c>
      <c r="T236" s="81" t="s">
        <v>821</v>
      </c>
      <c r="U236" s="76"/>
      <c r="V236" s="79" t="str">
        <f>HYPERLINK("https://pbs.twimg.com/profile_images/1504562358076772352/JsJgUY8e_normal.jpg")</f>
        <v>https://pbs.twimg.com/profile_images/1504562358076772352/JsJgUY8e_normal.jpg</v>
      </c>
      <c r="W236" s="78">
        <v>44814.96319444444</v>
      </c>
      <c r="X236" s="84">
        <v>44814</v>
      </c>
      <c r="Y236" s="81" t="s">
        <v>1055</v>
      </c>
      <c r="Z236" s="79" t="str">
        <f>HYPERLINK("https://twitter.com/vasilsimeonovbg/status/1568737834621599746")</f>
        <v>https://twitter.com/vasilsimeonovbg/status/1568737834621599746</v>
      </c>
      <c r="AA236" s="76"/>
      <c r="AB236" s="76"/>
      <c r="AC236" s="81" t="s">
        <v>1386</v>
      </c>
      <c r="AD236" s="76"/>
      <c r="AE236" s="76" t="b">
        <v>0</v>
      </c>
      <c r="AF236" s="76">
        <v>7</v>
      </c>
      <c r="AG236" s="81" t="s">
        <v>1674</v>
      </c>
      <c r="AH236" s="76" t="b">
        <v>1</v>
      </c>
      <c r="AI236" s="76" t="s">
        <v>1772</v>
      </c>
      <c r="AJ236" s="76"/>
      <c r="AK236" s="81" t="s">
        <v>1794</v>
      </c>
      <c r="AL236" s="76" t="b">
        <v>0</v>
      </c>
      <c r="AM236" s="76">
        <v>2</v>
      </c>
      <c r="AN236" s="81" t="s">
        <v>1674</v>
      </c>
      <c r="AO236" s="81" t="s">
        <v>1807</v>
      </c>
      <c r="AP236" s="76" t="b">
        <v>0</v>
      </c>
      <c r="AQ236" s="81" t="s">
        <v>1386</v>
      </c>
      <c r="AR236" s="76" t="s">
        <v>219</v>
      </c>
      <c r="AS236" s="76">
        <v>0</v>
      </c>
      <c r="AT236" s="76">
        <v>0</v>
      </c>
      <c r="AU236" s="76"/>
      <c r="AV236" s="76"/>
      <c r="AW236" s="76"/>
      <c r="AX236" s="76"/>
      <c r="AY236" s="76"/>
      <c r="AZ236" s="76"/>
      <c r="BA236" s="76"/>
      <c r="BB236" s="76"/>
      <c r="BC236">
        <v>3</v>
      </c>
      <c r="BD236" s="75" t="str">
        <f>REPLACE(INDEX(GroupVertices[Group],MATCH(Edges[[#This Row],[Vertex 1]],GroupVertices[Vertex],0)),1,1,"")</f>
        <v>13</v>
      </c>
      <c r="BE236" s="75" t="str">
        <f>REPLACE(INDEX(GroupVertices[Group],MATCH(Edges[[#This Row],[Vertex 2]],GroupVertices[Vertex],0)),1,1,"")</f>
        <v>13</v>
      </c>
      <c r="BF236" s="45">
        <v>0</v>
      </c>
      <c r="BG236" s="46">
        <v>0</v>
      </c>
      <c r="BH236" s="45">
        <v>1</v>
      </c>
      <c r="BI236" s="46">
        <v>6.25</v>
      </c>
      <c r="BJ236" s="45">
        <v>0</v>
      </c>
      <c r="BK236" s="46">
        <v>0</v>
      </c>
      <c r="BL236" s="45">
        <v>15</v>
      </c>
      <c r="BM236" s="46">
        <v>93.75</v>
      </c>
      <c r="BN236" s="45">
        <v>16</v>
      </c>
    </row>
    <row r="237" spans="1:66" ht="15">
      <c r="A237" s="61" t="s">
        <v>379</v>
      </c>
      <c r="B237" s="61" t="s">
        <v>378</v>
      </c>
      <c r="C237" s="62" t="s">
        <v>4688</v>
      </c>
      <c r="D237" s="63">
        <v>5</v>
      </c>
      <c r="E237" s="62"/>
      <c r="F237" s="65">
        <v>50</v>
      </c>
      <c r="G237" s="62"/>
      <c r="H237" s="66"/>
      <c r="I237" s="67"/>
      <c r="J237" s="67"/>
      <c r="K237" s="31" t="s">
        <v>66</v>
      </c>
      <c r="L237" s="68">
        <v>237</v>
      </c>
      <c r="M237" s="68"/>
      <c r="N237" s="69"/>
      <c r="O237" s="76" t="s">
        <v>587</v>
      </c>
      <c r="P237" s="78">
        <v>44817.82295138889</v>
      </c>
      <c r="Q237" s="76" t="s">
        <v>689</v>
      </c>
      <c r="R237" s="76"/>
      <c r="S237" s="76"/>
      <c r="T237" s="81" t="s">
        <v>795</v>
      </c>
      <c r="U237" s="76"/>
      <c r="V237" s="79" t="str">
        <f>HYPERLINK("https://pbs.twimg.com/profile_images/1504562358076772352/JsJgUY8e_normal.jpg")</f>
        <v>https://pbs.twimg.com/profile_images/1504562358076772352/JsJgUY8e_normal.jpg</v>
      </c>
      <c r="W237" s="78">
        <v>44817.82295138889</v>
      </c>
      <c r="X237" s="84">
        <v>44817</v>
      </c>
      <c r="Y237" s="81" t="s">
        <v>1052</v>
      </c>
      <c r="Z237" s="79" t="str">
        <f>HYPERLINK("https://twitter.com/vasilsimeonovbg/status/1569774176348811264")</f>
        <v>https://twitter.com/vasilsimeonovbg/status/1569774176348811264</v>
      </c>
      <c r="AA237" s="76"/>
      <c r="AB237" s="76"/>
      <c r="AC237" s="81" t="s">
        <v>1383</v>
      </c>
      <c r="AD237" s="81" t="s">
        <v>1616</v>
      </c>
      <c r="AE237" s="76" t="b">
        <v>0</v>
      </c>
      <c r="AF237" s="76">
        <v>17</v>
      </c>
      <c r="AG237" s="81" t="s">
        <v>1727</v>
      </c>
      <c r="AH237" s="76" t="b">
        <v>0</v>
      </c>
      <c r="AI237" s="76" t="s">
        <v>1772</v>
      </c>
      <c r="AJ237" s="76"/>
      <c r="AK237" s="81" t="s">
        <v>1674</v>
      </c>
      <c r="AL237" s="76" t="b">
        <v>0</v>
      </c>
      <c r="AM237" s="76">
        <v>3</v>
      </c>
      <c r="AN237" s="81" t="s">
        <v>1674</v>
      </c>
      <c r="AO237" s="81" t="s">
        <v>1807</v>
      </c>
      <c r="AP237" s="76" t="b">
        <v>0</v>
      </c>
      <c r="AQ237" s="81" t="s">
        <v>1616</v>
      </c>
      <c r="AR237" s="76" t="s">
        <v>219</v>
      </c>
      <c r="AS237" s="76">
        <v>0</v>
      </c>
      <c r="AT237" s="76">
        <v>0</v>
      </c>
      <c r="AU237" s="76"/>
      <c r="AV237" s="76"/>
      <c r="AW237" s="76"/>
      <c r="AX237" s="76"/>
      <c r="AY237" s="76"/>
      <c r="AZ237" s="76"/>
      <c r="BA237" s="76"/>
      <c r="BB237" s="76"/>
      <c r="BC237">
        <v>1</v>
      </c>
      <c r="BD237" s="75" t="str">
        <f>REPLACE(INDEX(GroupVertices[Group],MATCH(Edges[[#This Row],[Vertex 1]],GroupVertices[Vertex],0)),1,1,"")</f>
        <v>13</v>
      </c>
      <c r="BE237" s="75" t="str">
        <f>REPLACE(INDEX(GroupVertices[Group],MATCH(Edges[[#This Row],[Vertex 2]],GroupVertices[Vertex],0)),1,1,"")</f>
        <v>13</v>
      </c>
      <c r="BF237" s="45">
        <v>1</v>
      </c>
      <c r="BG237" s="46">
        <v>4.166666666666667</v>
      </c>
      <c r="BH237" s="45">
        <v>0</v>
      </c>
      <c r="BI237" s="46">
        <v>0</v>
      </c>
      <c r="BJ237" s="45">
        <v>0</v>
      </c>
      <c r="BK237" s="46">
        <v>0</v>
      </c>
      <c r="BL237" s="45">
        <v>23</v>
      </c>
      <c r="BM237" s="46">
        <v>95.83333333333333</v>
      </c>
      <c r="BN237" s="45">
        <v>24</v>
      </c>
    </row>
    <row r="238" spans="1:66" ht="15">
      <c r="A238" s="61" t="s">
        <v>379</v>
      </c>
      <c r="B238" s="61" t="s">
        <v>379</v>
      </c>
      <c r="C238" s="62" t="s">
        <v>4691</v>
      </c>
      <c r="D238" s="63">
        <v>5.833333333333333</v>
      </c>
      <c r="E238" s="62"/>
      <c r="F238" s="65">
        <v>44.166666666666664</v>
      </c>
      <c r="G238" s="62"/>
      <c r="H238" s="66"/>
      <c r="I238" s="67"/>
      <c r="J238" s="67"/>
      <c r="K238" s="31" t="s">
        <v>65</v>
      </c>
      <c r="L238" s="68">
        <v>238</v>
      </c>
      <c r="M238" s="68"/>
      <c r="N238" s="69"/>
      <c r="O238" s="76" t="s">
        <v>219</v>
      </c>
      <c r="P238" s="78">
        <v>44817.82582175926</v>
      </c>
      <c r="Q238" s="76" t="s">
        <v>691</v>
      </c>
      <c r="R238" s="76"/>
      <c r="S238" s="76"/>
      <c r="T238" s="81" t="s">
        <v>795</v>
      </c>
      <c r="U238" s="76"/>
      <c r="V238" s="79" t="str">
        <f>HYPERLINK("https://pbs.twimg.com/profile_images/1504562358076772352/JsJgUY8e_normal.jpg")</f>
        <v>https://pbs.twimg.com/profile_images/1504562358076772352/JsJgUY8e_normal.jpg</v>
      </c>
      <c r="W238" s="78">
        <v>44817.82582175926</v>
      </c>
      <c r="X238" s="84">
        <v>44817</v>
      </c>
      <c r="Y238" s="81" t="s">
        <v>1056</v>
      </c>
      <c r="Z238" s="79" t="str">
        <f>HYPERLINK("https://twitter.com/vasilsimeonovbg/status/1569775217261613063")</f>
        <v>https://twitter.com/vasilsimeonovbg/status/1569775217261613063</v>
      </c>
      <c r="AA238" s="76"/>
      <c r="AB238" s="76"/>
      <c r="AC238" s="81" t="s">
        <v>1387</v>
      </c>
      <c r="AD238" s="76"/>
      <c r="AE238" s="76" t="b">
        <v>0</v>
      </c>
      <c r="AF238" s="76">
        <v>1</v>
      </c>
      <c r="AG238" s="81" t="s">
        <v>1674</v>
      </c>
      <c r="AH238" s="76" t="b">
        <v>0</v>
      </c>
      <c r="AI238" s="76" t="s">
        <v>1772</v>
      </c>
      <c r="AJ238" s="76"/>
      <c r="AK238" s="81" t="s">
        <v>1674</v>
      </c>
      <c r="AL238" s="76" t="b">
        <v>0</v>
      </c>
      <c r="AM238" s="76">
        <v>0</v>
      </c>
      <c r="AN238" s="81" t="s">
        <v>1674</v>
      </c>
      <c r="AO238" s="81" t="s">
        <v>1807</v>
      </c>
      <c r="AP238" s="76" t="b">
        <v>0</v>
      </c>
      <c r="AQ238" s="81" t="s">
        <v>1387</v>
      </c>
      <c r="AR238" s="76" t="s">
        <v>219</v>
      </c>
      <c r="AS238" s="76">
        <v>0</v>
      </c>
      <c r="AT238" s="76">
        <v>0</v>
      </c>
      <c r="AU238" s="76"/>
      <c r="AV238" s="76"/>
      <c r="AW238" s="76"/>
      <c r="AX238" s="76"/>
      <c r="AY238" s="76"/>
      <c r="AZ238" s="76"/>
      <c r="BA238" s="76"/>
      <c r="BB238" s="76"/>
      <c r="BC238">
        <v>3</v>
      </c>
      <c r="BD238" s="75" t="str">
        <f>REPLACE(INDEX(GroupVertices[Group],MATCH(Edges[[#This Row],[Vertex 1]],GroupVertices[Vertex],0)),1,1,"")</f>
        <v>13</v>
      </c>
      <c r="BE238" s="75" t="str">
        <f>REPLACE(INDEX(GroupVertices[Group],MATCH(Edges[[#This Row],[Vertex 2]],GroupVertices[Vertex],0)),1,1,"")</f>
        <v>13</v>
      </c>
      <c r="BF238" s="45">
        <v>1</v>
      </c>
      <c r="BG238" s="46">
        <v>4</v>
      </c>
      <c r="BH238" s="45">
        <v>0</v>
      </c>
      <c r="BI238" s="46">
        <v>0</v>
      </c>
      <c r="BJ238" s="45">
        <v>0</v>
      </c>
      <c r="BK238" s="46">
        <v>0</v>
      </c>
      <c r="BL238" s="45">
        <v>24</v>
      </c>
      <c r="BM238" s="46">
        <v>96</v>
      </c>
      <c r="BN238" s="45">
        <v>25</v>
      </c>
    </row>
    <row r="239" spans="1:66" ht="15">
      <c r="A239" s="61" t="s">
        <v>380</v>
      </c>
      <c r="B239" s="61" t="s">
        <v>379</v>
      </c>
      <c r="C239" s="62" t="s">
        <v>4688</v>
      </c>
      <c r="D239" s="63">
        <v>5</v>
      </c>
      <c r="E239" s="62"/>
      <c r="F239" s="65">
        <v>50</v>
      </c>
      <c r="G239" s="62"/>
      <c r="H239" s="66"/>
      <c r="I239" s="67"/>
      <c r="J239" s="67"/>
      <c r="K239" s="31" t="s">
        <v>65</v>
      </c>
      <c r="L239" s="68">
        <v>239</v>
      </c>
      <c r="M239" s="68"/>
      <c r="N239" s="69"/>
      <c r="O239" s="76" t="s">
        <v>586</v>
      </c>
      <c r="P239" s="78">
        <v>44817.862708333334</v>
      </c>
      <c r="Q239" s="76" t="s">
        <v>689</v>
      </c>
      <c r="R239" s="76"/>
      <c r="S239" s="76"/>
      <c r="T239" s="81" t="s">
        <v>795</v>
      </c>
      <c r="U239" s="76"/>
      <c r="V239" s="79" t="str">
        <f>HYPERLINK("https://pbs.twimg.com/profile_images/985194897639661568/XbOJcyqq_normal.jpg")</f>
        <v>https://pbs.twimg.com/profile_images/985194897639661568/XbOJcyqq_normal.jpg</v>
      </c>
      <c r="W239" s="78">
        <v>44817.862708333334</v>
      </c>
      <c r="X239" s="84">
        <v>44817</v>
      </c>
      <c r="Y239" s="81" t="s">
        <v>1053</v>
      </c>
      <c r="Z239" s="79" t="str">
        <f>HYPERLINK("https://twitter.com/almsdoc95/status/1569788584286195712")</f>
        <v>https://twitter.com/almsdoc95/status/1569788584286195712</v>
      </c>
      <c r="AA239" s="76"/>
      <c r="AB239" s="76"/>
      <c r="AC239" s="81" t="s">
        <v>1384</v>
      </c>
      <c r="AD239" s="76"/>
      <c r="AE239" s="76" t="b">
        <v>0</v>
      </c>
      <c r="AF239" s="76">
        <v>0</v>
      </c>
      <c r="AG239" s="81" t="s">
        <v>1674</v>
      </c>
      <c r="AH239" s="76" t="b">
        <v>0</v>
      </c>
      <c r="AI239" s="76" t="s">
        <v>1772</v>
      </c>
      <c r="AJ239" s="76"/>
      <c r="AK239" s="81" t="s">
        <v>1674</v>
      </c>
      <c r="AL239" s="76" t="b">
        <v>0</v>
      </c>
      <c r="AM239" s="76">
        <v>3</v>
      </c>
      <c r="AN239" s="81" t="s">
        <v>1383</v>
      </c>
      <c r="AO239" s="81" t="s">
        <v>1807</v>
      </c>
      <c r="AP239" s="76" t="b">
        <v>0</v>
      </c>
      <c r="AQ239" s="81" t="s">
        <v>1383</v>
      </c>
      <c r="AR239" s="76" t="s">
        <v>219</v>
      </c>
      <c r="AS239" s="76">
        <v>0</v>
      </c>
      <c r="AT239" s="76">
        <v>0</v>
      </c>
      <c r="AU239" s="76"/>
      <c r="AV239" s="76"/>
      <c r="AW239" s="76"/>
      <c r="AX239" s="76"/>
      <c r="AY239" s="76"/>
      <c r="AZ239" s="76"/>
      <c r="BA239" s="76"/>
      <c r="BB239" s="76"/>
      <c r="BC239">
        <v>1</v>
      </c>
      <c r="BD239" s="75" t="str">
        <f>REPLACE(INDEX(GroupVertices[Group],MATCH(Edges[[#This Row],[Vertex 1]],GroupVertices[Vertex],0)),1,1,"")</f>
        <v>13</v>
      </c>
      <c r="BE239" s="75" t="str">
        <f>REPLACE(INDEX(GroupVertices[Group],MATCH(Edges[[#This Row],[Vertex 2]],GroupVertices[Vertex],0)),1,1,"")</f>
        <v>13</v>
      </c>
      <c r="BF239" s="45"/>
      <c r="BG239" s="46"/>
      <c r="BH239" s="45"/>
      <c r="BI239" s="46"/>
      <c r="BJ239" s="45"/>
      <c r="BK239" s="46"/>
      <c r="BL239" s="45"/>
      <c r="BM239" s="46"/>
      <c r="BN239" s="45"/>
    </row>
    <row r="240" spans="1:66" ht="15">
      <c r="A240" s="61" t="s">
        <v>380</v>
      </c>
      <c r="B240" s="61" t="s">
        <v>378</v>
      </c>
      <c r="C240" s="62" t="s">
        <v>4688</v>
      </c>
      <c r="D240" s="63">
        <v>5</v>
      </c>
      <c r="E240" s="62"/>
      <c r="F240" s="65">
        <v>50</v>
      </c>
      <c r="G240" s="62"/>
      <c r="H240" s="66"/>
      <c r="I240" s="67"/>
      <c r="J240" s="67"/>
      <c r="K240" s="31" t="s">
        <v>65</v>
      </c>
      <c r="L240" s="68">
        <v>240</v>
      </c>
      <c r="M240" s="68"/>
      <c r="N240" s="69"/>
      <c r="O240" s="76" t="s">
        <v>587</v>
      </c>
      <c r="P240" s="78">
        <v>44817.862708333334</v>
      </c>
      <c r="Q240" s="76" t="s">
        <v>689</v>
      </c>
      <c r="R240" s="76"/>
      <c r="S240" s="76"/>
      <c r="T240" s="81" t="s">
        <v>795</v>
      </c>
      <c r="U240" s="76"/>
      <c r="V240" s="79" t="str">
        <f>HYPERLINK("https://pbs.twimg.com/profile_images/985194897639661568/XbOJcyqq_normal.jpg")</f>
        <v>https://pbs.twimg.com/profile_images/985194897639661568/XbOJcyqq_normal.jpg</v>
      </c>
      <c r="W240" s="78">
        <v>44817.862708333334</v>
      </c>
      <c r="X240" s="84">
        <v>44817</v>
      </c>
      <c r="Y240" s="81" t="s">
        <v>1053</v>
      </c>
      <c r="Z240" s="79" t="str">
        <f>HYPERLINK("https://twitter.com/almsdoc95/status/1569788584286195712")</f>
        <v>https://twitter.com/almsdoc95/status/1569788584286195712</v>
      </c>
      <c r="AA240" s="76"/>
      <c r="AB240" s="76"/>
      <c r="AC240" s="81" t="s">
        <v>1384</v>
      </c>
      <c r="AD240" s="76"/>
      <c r="AE240" s="76" t="b">
        <v>0</v>
      </c>
      <c r="AF240" s="76">
        <v>0</v>
      </c>
      <c r="AG240" s="81" t="s">
        <v>1674</v>
      </c>
      <c r="AH240" s="76" t="b">
        <v>0</v>
      </c>
      <c r="AI240" s="76" t="s">
        <v>1772</v>
      </c>
      <c r="AJ240" s="76"/>
      <c r="AK240" s="81" t="s">
        <v>1674</v>
      </c>
      <c r="AL240" s="76" t="b">
        <v>0</v>
      </c>
      <c r="AM240" s="76">
        <v>3</v>
      </c>
      <c r="AN240" s="81" t="s">
        <v>1383</v>
      </c>
      <c r="AO240" s="81" t="s">
        <v>1807</v>
      </c>
      <c r="AP240" s="76" t="b">
        <v>0</v>
      </c>
      <c r="AQ240" s="81" t="s">
        <v>1383</v>
      </c>
      <c r="AR240" s="76" t="s">
        <v>219</v>
      </c>
      <c r="AS240" s="76">
        <v>0</v>
      </c>
      <c r="AT240" s="76">
        <v>0</v>
      </c>
      <c r="AU240" s="76"/>
      <c r="AV240" s="76"/>
      <c r="AW240" s="76"/>
      <c r="AX240" s="76"/>
      <c r="AY240" s="76"/>
      <c r="AZ240" s="76"/>
      <c r="BA240" s="76"/>
      <c r="BB240" s="76"/>
      <c r="BC240">
        <v>1</v>
      </c>
      <c r="BD240" s="75" t="str">
        <f>REPLACE(INDEX(GroupVertices[Group],MATCH(Edges[[#This Row],[Vertex 1]],GroupVertices[Vertex],0)),1,1,"")</f>
        <v>13</v>
      </c>
      <c r="BE240" s="75" t="str">
        <f>REPLACE(INDEX(GroupVertices[Group],MATCH(Edges[[#This Row],[Vertex 2]],GroupVertices[Vertex],0)),1,1,"")</f>
        <v>13</v>
      </c>
      <c r="BF240" s="45">
        <v>1</v>
      </c>
      <c r="BG240" s="46">
        <v>4.166666666666667</v>
      </c>
      <c r="BH240" s="45">
        <v>0</v>
      </c>
      <c r="BI240" s="46">
        <v>0</v>
      </c>
      <c r="BJ240" s="45">
        <v>0</v>
      </c>
      <c r="BK240" s="46">
        <v>0</v>
      </c>
      <c r="BL240" s="45">
        <v>23</v>
      </c>
      <c r="BM240" s="46">
        <v>95.83333333333333</v>
      </c>
      <c r="BN240" s="45">
        <v>24</v>
      </c>
    </row>
    <row r="241" spans="1:66" ht="15">
      <c r="A241" s="61" t="s">
        <v>381</v>
      </c>
      <c r="B241" s="61" t="s">
        <v>381</v>
      </c>
      <c r="C241" s="62" t="s">
        <v>4688</v>
      </c>
      <c r="D241" s="63">
        <v>5</v>
      </c>
      <c r="E241" s="62"/>
      <c r="F241" s="65">
        <v>50</v>
      </c>
      <c r="G241" s="62"/>
      <c r="H241" s="66"/>
      <c r="I241" s="67"/>
      <c r="J241" s="67"/>
      <c r="K241" s="31" t="s">
        <v>65</v>
      </c>
      <c r="L241" s="68">
        <v>241</v>
      </c>
      <c r="M241" s="68"/>
      <c r="N241" s="69"/>
      <c r="O241" s="76" t="s">
        <v>219</v>
      </c>
      <c r="P241" s="78">
        <v>44817.991527777776</v>
      </c>
      <c r="Q241" s="76" t="s">
        <v>692</v>
      </c>
      <c r="R241" s="76"/>
      <c r="S241" s="76"/>
      <c r="T241" s="81" t="s">
        <v>795</v>
      </c>
      <c r="U241" s="76"/>
      <c r="V241" s="79" t="str">
        <f>HYPERLINK("https://pbs.twimg.com/profile_images/1519035947031175171/2o2GXDME_normal.jpg")</f>
        <v>https://pbs.twimg.com/profile_images/1519035947031175171/2o2GXDME_normal.jpg</v>
      </c>
      <c r="W241" s="78">
        <v>44817.991527777776</v>
      </c>
      <c r="X241" s="84">
        <v>44817</v>
      </c>
      <c r="Y241" s="81" t="s">
        <v>1057</v>
      </c>
      <c r="Z241" s="79" t="str">
        <f>HYPERLINK("https://twitter.com/patriotavenezo/status/1569835268374396931")</f>
        <v>https://twitter.com/patriotavenezo/status/1569835268374396931</v>
      </c>
      <c r="AA241" s="76"/>
      <c r="AB241" s="76"/>
      <c r="AC241" s="81" t="s">
        <v>1388</v>
      </c>
      <c r="AD241" s="76"/>
      <c r="AE241" s="76" t="b">
        <v>0</v>
      </c>
      <c r="AF241" s="76">
        <v>0</v>
      </c>
      <c r="AG241" s="81" t="s">
        <v>1674</v>
      </c>
      <c r="AH241" s="76" t="b">
        <v>0</v>
      </c>
      <c r="AI241" s="76" t="s">
        <v>1773</v>
      </c>
      <c r="AJ241" s="76"/>
      <c r="AK241" s="81" t="s">
        <v>1674</v>
      </c>
      <c r="AL241" s="76" t="b">
        <v>0</v>
      </c>
      <c r="AM241" s="76">
        <v>0</v>
      </c>
      <c r="AN241" s="81" t="s">
        <v>1674</v>
      </c>
      <c r="AO241" s="81" t="s">
        <v>1807</v>
      </c>
      <c r="AP241" s="76" t="b">
        <v>0</v>
      </c>
      <c r="AQ241" s="81" t="s">
        <v>1388</v>
      </c>
      <c r="AR241" s="76" t="s">
        <v>219</v>
      </c>
      <c r="AS241" s="76">
        <v>0</v>
      </c>
      <c r="AT241" s="76">
        <v>0</v>
      </c>
      <c r="AU241" s="76"/>
      <c r="AV241" s="76"/>
      <c r="AW241" s="76"/>
      <c r="AX241" s="76"/>
      <c r="AY241" s="76"/>
      <c r="AZ241" s="76"/>
      <c r="BA241" s="76"/>
      <c r="BB241" s="76"/>
      <c r="BC241">
        <v>1</v>
      </c>
      <c r="BD241" s="75" t="str">
        <f>REPLACE(INDEX(GroupVertices[Group],MATCH(Edges[[#This Row],[Vertex 1]],GroupVertices[Vertex],0)),1,1,"")</f>
        <v>2</v>
      </c>
      <c r="BE241" s="75" t="str">
        <f>REPLACE(INDEX(GroupVertices[Group],MATCH(Edges[[#This Row],[Vertex 2]],GroupVertices[Vertex],0)),1,1,"")</f>
        <v>2</v>
      </c>
      <c r="BF241" s="45">
        <v>0</v>
      </c>
      <c r="BG241" s="46">
        <v>0</v>
      </c>
      <c r="BH241" s="45">
        <v>0</v>
      </c>
      <c r="BI241" s="46">
        <v>0</v>
      </c>
      <c r="BJ241" s="45">
        <v>0</v>
      </c>
      <c r="BK241" s="46">
        <v>0</v>
      </c>
      <c r="BL241" s="45">
        <v>1</v>
      </c>
      <c r="BM241" s="46">
        <v>100</v>
      </c>
      <c r="BN241" s="45">
        <v>1</v>
      </c>
    </row>
    <row r="242" spans="1:66" ht="15">
      <c r="A242" s="61" t="s">
        <v>382</v>
      </c>
      <c r="B242" s="61" t="s">
        <v>478</v>
      </c>
      <c r="C242" s="62" t="s">
        <v>4688</v>
      </c>
      <c r="D242" s="63">
        <v>5</v>
      </c>
      <c r="E242" s="62"/>
      <c r="F242" s="65">
        <v>50</v>
      </c>
      <c r="G242" s="62"/>
      <c r="H242" s="66"/>
      <c r="I242" s="67"/>
      <c r="J242" s="67"/>
      <c r="K242" s="31" t="s">
        <v>65</v>
      </c>
      <c r="L242" s="68">
        <v>242</v>
      </c>
      <c r="M242" s="68"/>
      <c r="N242" s="69"/>
      <c r="O242" s="76" t="s">
        <v>588</v>
      </c>
      <c r="P242" s="78">
        <v>44818.264131944445</v>
      </c>
      <c r="Q242" s="76" t="s">
        <v>693</v>
      </c>
      <c r="R242" s="79" t="str">
        <f>HYPERLINK("https://twitter.com/DanielsonKassa1/status/1569891516281245697")</f>
        <v>https://twitter.com/DanielsonKassa1/status/1569891516281245697</v>
      </c>
      <c r="S242" s="76" t="s">
        <v>783</v>
      </c>
      <c r="T242" s="81" t="s">
        <v>846</v>
      </c>
      <c r="U242" s="76"/>
      <c r="V242" s="79" t="str">
        <f>HYPERLINK("https://pbs.twimg.com/profile_images/1569983204995616768/o89y1TXV_normal.jpg")</f>
        <v>https://pbs.twimg.com/profile_images/1569983204995616768/o89y1TXV_normal.jpg</v>
      </c>
      <c r="W242" s="78">
        <v>44818.264131944445</v>
      </c>
      <c r="X242" s="84">
        <v>44818</v>
      </c>
      <c r="Y242" s="81" t="s">
        <v>1058</v>
      </c>
      <c r="Z242" s="79" t="str">
        <f>HYPERLINK("https://twitter.com/yeshewalul1/status/1569934056367833088")</f>
        <v>https://twitter.com/yeshewalul1/status/1569934056367833088</v>
      </c>
      <c r="AA242" s="76"/>
      <c r="AB242" s="76"/>
      <c r="AC242" s="81" t="s">
        <v>1389</v>
      </c>
      <c r="AD242" s="76"/>
      <c r="AE242" s="76" t="b">
        <v>0</v>
      </c>
      <c r="AF242" s="76">
        <v>1</v>
      </c>
      <c r="AG242" s="81" t="s">
        <v>1674</v>
      </c>
      <c r="AH242" s="76" t="b">
        <v>1</v>
      </c>
      <c r="AI242" s="76" t="s">
        <v>1773</v>
      </c>
      <c r="AJ242" s="76"/>
      <c r="AK242" s="81" t="s">
        <v>1800</v>
      </c>
      <c r="AL242" s="76" t="b">
        <v>0</v>
      </c>
      <c r="AM242" s="76">
        <v>0</v>
      </c>
      <c r="AN242" s="81" t="s">
        <v>1674</v>
      </c>
      <c r="AO242" s="81" t="s">
        <v>1808</v>
      </c>
      <c r="AP242" s="76" t="b">
        <v>0</v>
      </c>
      <c r="AQ242" s="81" t="s">
        <v>1389</v>
      </c>
      <c r="AR242" s="76" t="s">
        <v>219</v>
      </c>
      <c r="AS242" s="76">
        <v>0</v>
      </c>
      <c r="AT242" s="76">
        <v>0</v>
      </c>
      <c r="AU242" s="76"/>
      <c r="AV242" s="76"/>
      <c r="AW242" s="76"/>
      <c r="AX242" s="76"/>
      <c r="AY242" s="76"/>
      <c r="AZ242" s="76"/>
      <c r="BA242" s="76"/>
      <c r="BB242" s="76"/>
      <c r="BC242">
        <v>1</v>
      </c>
      <c r="BD242" s="75" t="str">
        <f>REPLACE(INDEX(GroupVertices[Group],MATCH(Edges[[#This Row],[Vertex 1]],GroupVertices[Vertex],0)),1,1,"")</f>
        <v>1</v>
      </c>
      <c r="BE242" s="75" t="str">
        <f>REPLACE(INDEX(GroupVertices[Group],MATCH(Edges[[#This Row],[Vertex 2]],GroupVertices[Vertex],0)),1,1,"")</f>
        <v>25</v>
      </c>
      <c r="BF242" s="45"/>
      <c r="BG242" s="46"/>
      <c r="BH242" s="45"/>
      <c r="BI242" s="46"/>
      <c r="BJ242" s="45"/>
      <c r="BK242" s="46"/>
      <c r="BL242" s="45"/>
      <c r="BM242" s="46"/>
      <c r="BN242" s="45"/>
    </row>
    <row r="243" spans="1:66" ht="15">
      <c r="A243" s="61" t="s">
        <v>382</v>
      </c>
      <c r="B243" s="61" t="s">
        <v>527</v>
      </c>
      <c r="C243" s="62" t="s">
        <v>4688</v>
      </c>
      <c r="D243" s="63">
        <v>5</v>
      </c>
      <c r="E243" s="62"/>
      <c r="F243" s="65">
        <v>50</v>
      </c>
      <c r="G243" s="62"/>
      <c r="H243" s="66"/>
      <c r="I243" s="67"/>
      <c r="J243" s="67"/>
      <c r="K243" s="31" t="s">
        <v>65</v>
      </c>
      <c r="L243" s="68">
        <v>243</v>
      </c>
      <c r="M243" s="68"/>
      <c r="N243" s="69"/>
      <c r="O243" s="76" t="s">
        <v>588</v>
      </c>
      <c r="P243" s="78">
        <v>44818.264131944445</v>
      </c>
      <c r="Q243" s="76" t="s">
        <v>693</v>
      </c>
      <c r="R243" s="79" t="str">
        <f>HYPERLINK("https://twitter.com/DanielsonKassa1/status/1569891516281245697")</f>
        <v>https://twitter.com/DanielsonKassa1/status/1569891516281245697</v>
      </c>
      <c r="S243" s="76" t="s">
        <v>783</v>
      </c>
      <c r="T243" s="81" t="s">
        <v>846</v>
      </c>
      <c r="U243" s="76"/>
      <c r="V243" s="79" t="str">
        <f>HYPERLINK("https://pbs.twimg.com/profile_images/1569983204995616768/o89y1TXV_normal.jpg")</f>
        <v>https://pbs.twimg.com/profile_images/1569983204995616768/o89y1TXV_normal.jpg</v>
      </c>
      <c r="W243" s="78">
        <v>44818.264131944445</v>
      </c>
      <c r="X243" s="84">
        <v>44818</v>
      </c>
      <c r="Y243" s="81" t="s">
        <v>1058</v>
      </c>
      <c r="Z243" s="79" t="str">
        <f>HYPERLINK("https://twitter.com/yeshewalul1/status/1569934056367833088")</f>
        <v>https://twitter.com/yeshewalul1/status/1569934056367833088</v>
      </c>
      <c r="AA243" s="76"/>
      <c r="AB243" s="76"/>
      <c r="AC243" s="81" t="s">
        <v>1389</v>
      </c>
      <c r="AD243" s="76"/>
      <c r="AE243" s="76" t="b">
        <v>0</v>
      </c>
      <c r="AF243" s="76">
        <v>1</v>
      </c>
      <c r="AG243" s="81" t="s">
        <v>1674</v>
      </c>
      <c r="AH243" s="76" t="b">
        <v>1</v>
      </c>
      <c r="AI243" s="76" t="s">
        <v>1773</v>
      </c>
      <c r="AJ243" s="76"/>
      <c r="AK243" s="81" t="s">
        <v>1800</v>
      </c>
      <c r="AL243" s="76" t="b">
        <v>0</v>
      </c>
      <c r="AM243" s="76">
        <v>0</v>
      </c>
      <c r="AN243" s="81" t="s">
        <v>1674</v>
      </c>
      <c r="AO243" s="81" t="s">
        <v>1808</v>
      </c>
      <c r="AP243" s="76" t="b">
        <v>0</v>
      </c>
      <c r="AQ243" s="81" t="s">
        <v>1389</v>
      </c>
      <c r="AR243" s="76" t="s">
        <v>219</v>
      </c>
      <c r="AS243" s="76">
        <v>0</v>
      </c>
      <c r="AT243" s="76">
        <v>0</v>
      </c>
      <c r="AU243" s="76"/>
      <c r="AV243" s="76"/>
      <c r="AW243" s="76"/>
      <c r="AX243" s="76"/>
      <c r="AY243" s="76"/>
      <c r="AZ243" s="76"/>
      <c r="BA243" s="76"/>
      <c r="BB243" s="76"/>
      <c r="BC243">
        <v>1</v>
      </c>
      <c r="BD243" s="75" t="str">
        <f>REPLACE(INDEX(GroupVertices[Group],MATCH(Edges[[#This Row],[Vertex 1]],GroupVertices[Vertex],0)),1,1,"")</f>
        <v>1</v>
      </c>
      <c r="BE243" s="75" t="str">
        <f>REPLACE(INDEX(GroupVertices[Group],MATCH(Edges[[#This Row],[Vertex 2]],GroupVertices[Vertex],0)),1,1,"")</f>
        <v>1</v>
      </c>
      <c r="BF243" s="45"/>
      <c r="BG243" s="46"/>
      <c r="BH243" s="45"/>
      <c r="BI243" s="46"/>
      <c r="BJ243" s="45"/>
      <c r="BK243" s="46"/>
      <c r="BL243" s="45"/>
      <c r="BM243" s="46"/>
      <c r="BN243" s="45"/>
    </row>
    <row r="244" spans="1:66" ht="15">
      <c r="A244" s="61" t="s">
        <v>382</v>
      </c>
      <c r="B244" s="61" t="s">
        <v>528</v>
      </c>
      <c r="C244" s="62" t="s">
        <v>4688</v>
      </c>
      <c r="D244" s="63">
        <v>5</v>
      </c>
      <c r="E244" s="62"/>
      <c r="F244" s="65">
        <v>50</v>
      </c>
      <c r="G244" s="62"/>
      <c r="H244" s="66"/>
      <c r="I244" s="67"/>
      <c r="J244" s="67"/>
      <c r="K244" s="31" t="s">
        <v>65</v>
      </c>
      <c r="L244" s="68">
        <v>244</v>
      </c>
      <c r="M244" s="68"/>
      <c r="N244" s="69"/>
      <c r="O244" s="76" t="s">
        <v>588</v>
      </c>
      <c r="P244" s="78">
        <v>44818.264131944445</v>
      </c>
      <c r="Q244" s="76" t="s">
        <v>693</v>
      </c>
      <c r="R244" s="79" t="str">
        <f>HYPERLINK("https://twitter.com/DanielsonKassa1/status/1569891516281245697")</f>
        <v>https://twitter.com/DanielsonKassa1/status/1569891516281245697</v>
      </c>
      <c r="S244" s="76" t="s">
        <v>783</v>
      </c>
      <c r="T244" s="81" t="s">
        <v>846</v>
      </c>
      <c r="U244" s="76"/>
      <c r="V244" s="79" t="str">
        <f>HYPERLINK("https://pbs.twimg.com/profile_images/1569983204995616768/o89y1TXV_normal.jpg")</f>
        <v>https://pbs.twimg.com/profile_images/1569983204995616768/o89y1TXV_normal.jpg</v>
      </c>
      <c r="W244" s="78">
        <v>44818.264131944445</v>
      </c>
      <c r="X244" s="84">
        <v>44818</v>
      </c>
      <c r="Y244" s="81" t="s">
        <v>1058</v>
      </c>
      <c r="Z244" s="79" t="str">
        <f>HYPERLINK("https://twitter.com/yeshewalul1/status/1569934056367833088")</f>
        <v>https://twitter.com/yeshewalul1/status/1569934056367833088</v>
      </c>
      <c r="AA244" s="76"/>
      <c r="AB244" s="76"/>
      <c r="AC244" s="81" t="s">
        <v>1389</v>
      </c>
      <c r="AD244" s="76"/>
      <c r="AE244" s="76" t="b">
        <v>0</v>
      </c>
      <c r="AF244" s="76">
        <v>1</v>
      </c>
      <c r="AG244" s="81" t="s">
        <v>1674</v>
      </c>
      <c r="AH244" s="76" t="b">
        <v>1</v>
      </c>
      <c r="AI244" s="76" t="s">
        <v>1773</v>
      </c>
      <c r="AJ244" s="76"/>
      <c r="AK244" s="81" t="s">
        <v>1800</v>
      </c>
      <c r="AL244" s="76" t="b">
        <v>0</v>
      </c>
      <c r="AM244" s="76">
        <v>0</v>
      </c>
      <c r="AN244" s="81" t="s">
        <v>1674</v>
      </c>
      <c r="AO244" s="81" t="s">
        <v>1808</v>
      </c>
      <c r="AP244" s="76" t="b">
        <v>0</v>
      </c>
      <c r="AQ244" s="81" t="s">
        <v>1389</v>
      </c>
      <c r="AR244" s="76" t="s">
        <v>219</v>
      </c>
      <c r="AS244" s="76">
        <v>0</v>
      </c>
      <c r="AT244" s="76">
        <v>0</v>
      </c>
      <c r="AU244" s="76"/>
      <c r="AV244" s="76"/>
      <c r="AW244" s="76"/>
      <c r="AX244" s="76"/>
      <c r="AY244" s="76"/>
      <c r="AZ244" s="76"/>
      <c r="BA244" s="76"/>
      <c r="BB244" s="76"/>
      <c r="BC244">
        <v>1</v>
      </c>
      <c r="BD244" s="75" t="str">
        <f>REPLACE(INDEX(GroupVertices[Group],MATCH(Edges[[#This Row],[Vertex 1]],GroupVertices[Vertex],0)),1,1,"")</f>
        <v>1</v>
      </c>
      <c r="BE244" s="75" t="str">
        <f>REPLACE(INDEX(GroupVertices[Group],MATCH(Edges[[#This Row],[Vertex 2]],GroupVertices[Vertex],0)),1,1,"")</f>
        <v>1</v>
      </c>
      <c r="BF244" s="45"/>
      <c r="BG244" s="46"/>
      <c r="BH244" s="45"/>
      <c r="BI244" s="46"/>
      <c r="BJ244" s="45"/>
      <c r="BK244" s="46"/>
      <c r="BL244" s="45"/>
      <c r="BM244" s="46"/>
      <c r="BN244" s="45"/>
    </row>
    <row r="245" spans="1:66" ht="15">
      <c r="A245" s="61" t="s">
        <v>382</v>
      </c>
      <c r="B245" s="61" t="s">
        <v>529</v>
      </c>
      <c r="C245" s="62" t="s">
        <v>4688</v>
      </c>
      <c r="D245" s="63">
        <v>5</v>
      </c>
      <c r="E245" s="62"/>
      <c r="F245" s="65">
        <v>50</v>
      </c>
      <c r="G245" s="62"/>
      <c r="H245" s="66"/>
      <c r="I245" s="67"/>
      <c r="J245" s="67"/>
      <c r="K245" s="31" t="s">
        <v>65</v>
      </c>
      <c r="L245" s="68">
        <v>245</v>
      </c>
      <c r="M245" s="68"/>
      <c r="N245" s="69"/>
      <c r="O245" s="76" t="s">
        <v>588</v>
      </c>
      <c r="P245" s="78">
        <v>44818.264131944445</v>
      </c>
      <c r="Q245" s="76" t="s">
        <v>693</v>
      </c>
      <c r="R245" s="79" t="str">
        <f>HYPERLINK("https://twitter.com/DanielsonKassa1/status/1569891516281245697")</f>
        <v>https://twitter.com/DanielsonKassa1/status/1569891516281245697</v>
      </c>
      <c r="S245" s="76" t="s">
        <v>783</v>
      </c>
      <c r="T245" s="81" t="s">
        <v>846</v>
      </c>
      <c r="U245" s="76"/>
      <c r="V245" s="79" t="str">
        <f>HYPERLINK("https://pbs.twimg.com/profile_images/1569983204995616768/o89y1TXV_normal.jpg")</f>
        <v>https://pbs.twimg.com/profile_images/1569983204995616768/o89y1TXV_normal.jpg</v>
      </c>
      <c r="W245" s="78">
        <v>44818.264131944445</v>
      </c>
      <c r="X245" s="84">
        <v>44818</v>
      </c>
      <c r="Y245" s="81" t="s">
        <v>1058</v>
      </c>
      <c r="Z245" s="79" t="str">
        <f>HYPERLINK("https://twitter.com/yeshewalul1/status/1569934056367833088")</f>
        <v>https://twitter.com/yeshewalul1/status/1569934056367833088</v>
      </c>
      <c r="AA245" s="76"/>
      <c r="AB245" s="76"/>
      <c r="AC245" s="81" t="s">
        <v>1389</v>
      </c>
      <c r="AD245" s="76"/>
      <c r="AE245" s="76" t="b">
        <v>0</v>
      </c>
      <c r="AF245" s="76">
        <v>1</v>
      </c>
      <c r="AG245" s="81" t="s">
        <v>1674</v>
      </c>
      <c r="AH245" s="76" t="b">
        <v>1</v>
      </c>
      <c r="AI245" s="76" t="s">
        <v>1773</v>
      </c>
      <c r="AJ245" s="76"/>
      <c r="AK245" s="81" t="s">
        <v>1800</v>
      </c>
      <c r="AL245" s="76" t="b">
        <v>0</v>
      </c>
      <c r="AM245" s="76">
        <v>0</v>
      </c>
      <c r="AN245" s="81" t="s">
        <v>1674</v>
      </c>
      <c r="AO245" s="81" t="s">
        <v>1808</v>
      </c>
      <c r="AP245" s="76" t="b">
        <v>0</v>
      </c>
      <c r="AQ245" s="81" t="s">
        <v>1389</v>
      </c>
      <c r="AR245" s="76" t="s">
        <v>219</v>
      </c>
      <c r="AS245" s="76">
        <v>0</v>
      </c>
      <c r="AT245" s="76">
        <v>0</v>
      </c>
      <c r="AU245" s="76"/>
      <c r="AV245" s="76"/>
      <c r="AW245" s="76"/>
      <c r="AX245" s="76"/>
      <c r="AY245" s="76"/>
      <c r="AZ245" s="76"/>
      <c r="BA245" s="76"/>
      <c r="BB245" s="76"/>
      <c r="BC245">
        <v>1</v>
      </c>
      <c r="BD245" s="75" t="str">
        <f>REPLACE(INDEX(GroupVertices[Group],MATCH(Edges[[#This Row],[Vertex 1]],GroupVertices[Vertex],0)),1,1,"")</f>
        <v>1</v>
      </c>
      <c r="BE245" s="75" t="str">
        <f>REPLACE(INDEX(GroupVertices[Group],MATCH(Edges[[#This Row],[Vertex 2]],GroupVertices[Vertex],0)),1,1,"")</f>
        <v>1</v>
      </c>
      <c r="BF245" s="45"/>
      <c r="BG245" s="46"/>
      <c r="BH245" s="45"/>
      <c r="BI245" s="46"/>
      <c r="BJ245" s="45"/>
      <c r="BK245" s="46"/>
      <c r="BL245" s="45"/>
      <c r="BM245" s="46"/>
      <c r="BN245" s="45"/>
    </row>
    <row r="246" spans="1:66" ht="15">
      <c r="A246" s="61" t="s">
        <v>382</v>
      </c>
      <c r="B246" s="61" t="s">
        <v>530</v>
      </c>
      <c r="C246" s="62" t="s">
        <v>4688</v>
      </c>
      <c r="D246" s="63">
        <v>5</v>
      </c>
      <c r="E246" s="62"/>
      <c r="F246" s="65">
        <v>50</v>
      </c>
      <c r="G246" s="62"/>
      <c r="H246" s="66"/>
      <c r="I246" s="67"/>
      <c r="J246" s="67"/>
      <c r="K246" s="31" t="s">
        <v>65</v>
      </c>
      <c r="L246" s="68">
        <v>246</v>
      </c>
      <c r="M246" s="68"/>
      <c r="N246" s="69"/>
      <c r="O246" s="76" t="s">
        <v>588</v>
      </c>
      <c r="P246" s="78">
        <v>44818.264131944445</v>
      </c>
      <c r="Q246" s="76" t="s">
        <v>693</v>
      </c>
      <c r="R246" s="79" t="str">
        <f>HYPERLINK("https://twitter.com/DanielsonKassa1/status/1569891516281245697")</f>
        <v>https://twitter.com/DanielsonKassa1/status/1569891516281245697</v>
      </c>
      <c r="S246" s="76" t="s">
        <v>783</v>
      </c>
      <c r="T246" s="81" t="s">
        <v>846</v>
      </c>
      <c r="U246" s="76"/>
      <c r="V246" s="79" t="str">
        <f>HYPERLINK("https://pbs.twimg.com/profile_images/1569983204995616768/o89y1TXV_normal.jpg")</f>
        <v>https://pbs.twimg.com/profile_images/1569983204995616768/o89y1TXV_normal.jpg</v>
      </c>
      <c r="W246" s="78">
        <v>44818.264131944445</v>
      </c>
      <c r="X246" s="84">
        <v>44818</v>
      </c>
      <c r="Y246" s="81" t="s">
        <v>1058</v>
      </c>
      <c r="Z246" s="79" t="str">
        <f>HYPERLINK("https://twitter.com/yeshewalul1/status/1569934056367833088")</f>
        <v>https://twitter.com/yeshewalul1/status/1569934056367833088</v>
      </c>
      <c r="AA246" s="76"/>
      <c r="AB246" s="76"/>
      <c r="AC246" s="81" t="s">
        <v>1389</v>
      </c>
      <c r="AD246" s="76"/>
      <c r="AE246" s="76" t="b">
        <v>0</v>
      </c>
      <c r="AF246" s="76">
        <v>1</v>
      </c>
      <c r="AG246" s="81" t="s">
        <v>1674</v>
      </c>
      <c r="AH246" s="76" t="b">
        <v>1</v>
      </c>
      <c r="AI246" s="76" t="s">
        <v>1773</v>
      </c>
      <c r="AJ246" s="76"/>
      <c r="AK246" s="81" t="s">
        <v>1800</v>
      </c>
      <c r="AL246" s="76" t="b">
        <v>0</v>
      </c>
      <c r="AM246" s="76">
        <v>0</v>
      </c>
      <c r="AN246" s="81" t="s">
        <v>1674</v>
      </c>
      <c r="AO246" s="81" t="s">
        <v>1808</v>
      </c>
      <c r="AP246" s="76" t="b">
        <v>0</v>
      </c>
      <c r="AQ246" s="81" t="s">
        <v>1389</v>
      </c>
      <c r="AR246" s="76" t="s">
        <v>219</v>
      </c>
      <c r="AS246" s="76">
        <v>0</v>
      </c>
      <c r="AT246" s="76">
        <v>0</v>
      </c>
      <c r="AU246" s="76"/>
      <c r="AV246" s="76"/>
      <c r="AW246" s="76"/>
      <c r="AX246" s="76"/>
      <c r="AY246" s="76"/>
      <c r="AZ246" s="76"/>
      <c r="BA246" s="76"/>
      <c r="BB246" s="76"/>
      <c r="BC246">
        <v>1</v>
      </c>
      <c r="BD246" s="75" t="str">
        <f>REPLACE(INDEX(GroupVertices[Group],MATCH(Edges[[#This Row],[Vertex 1]],GroupVertices[Vertex],0)),1,1,"")</f>
        <v>1</v>
      </c>
      <c r="BE246" s="75" t="str">
        <f>REPLACE(INDEX(GroupVertices[Group],MATCH(Edges[[#This Row],[Vertex 2]],GroupVertices[Vertex],0)),1,1,"")</f>
        <v>1</v>
      </c>
      <c r="BF246" s="45"/>
      <c r="BG246" s="46"/>
      <c r="BH246" s="45"/>
      <c r="BI246" s="46"/>
      <c r="BJ246" s="45"/>
      <c r="BK246" s="46"/>
      <c r="BL246" s="45"/>
      <c r="BM246" s="46"/>
      <c r="BN246" s="45"/>
    </row>
    <row r="247" spans="1:66" ht="15">
      <c r="A247" s="61" t="s">
        <v>382</v>
      </c>
      <c r="B247" s="61" t="s">
        <v>531</v>
      </c>
      <c r="C247" s="62" t="s">
        <v>4688</v>
      </c>
      <c r="D247" s="63">
        <v>5</v>
      </c>
      <c r="E247" s="62"/>
      <c r="F247" s="65">
        <v>50</v>
      </c>
      <c r="G247" s="62"/>
      <c r="H247" s="66"/>
      <c r="I247" s="67"/>
      <c r="J247" s="67"/>
      <c r="K247" s="31" t="s">
        <v>65</v>
      </c>
      <c r="L247" s="68">
        <v>247</v>
      </c>
      <c r="M247" s="68"/>
      <c r="N247" s="69"/>
      <c r="O247" s="76" t="s">
        <v>588</v>
      </c>
      <c r="P247" s="78">
        <v>44818.264131944445</v>
      </c>
      <c r="Q247" s="76" t="s">
        <v>693</v>
      </c>
      <c r="R247" s="79" t="str">
        <f>HYPERLINK("https://twitter.com/DanielsonKassa1/status/1569891516281245697")</f>
        <v>https://twitter.com/DanielsonKassa1/status/1569891516281245697</v>
      </c>
      <c r="S247" s="76" t="s">
        <v>783</v>
      </c>
      <c r="T247" s="81" t="s">
        <v>846</v>
      </c>
      <c r="U247" s="76"/>
      <c r="V247" s="79" t="str">
        <f>HYPERLINK("https://pbs.twimg.com/profile_images/1569983204995616768/o89y1TXV_normal.jpg")</f>
        <v>https://pbs.twimg.com/profile_images/1569983204995616768/o89y1TXV_normal.jpg</v>
      </c>
      <c r="W247" s="78">
        <v>44818.264131944445</v>
      </c>
      <c r="X247" s="84">
        <v>44818</v>
      </c>
      <c r="Y247" s="81" t="s">
        <v>1058</v>
      </c>
      <c r="Z247" s="79" t="str">
        <f>HYPERLINK("https://twitter.com/yeshewalul1/status/1569934056367833088")</f>
        <v>https://twitter.com/yeshewalul1/status/1569934056367833088</v>
      </c>
      <c r="AA247" s="76"/>
      <c r="AB247" s="76"/>
      <c r="AC247" s="81" t="s">
        <v>1389</v>
      </c>
      <c r="AD247" s="76"/>
      <c r="AE247" s="76" t="b">
        <v>0</v>
      </c>
      <c r="AF247" s="76">
        <v>1</v>
      </c>
      <c r="AG247" s="81" t="s">
        <v>1674</v>
      </c>
      <c r="AH247" s="76" t="b">
        <v>1</v>
      </c>
      <c r="AI247" s="76" t="s">
        <v>1773</v>
      </c>
      <c r="AJ247" s="76"/>
      <c r="AK247" s="81" t="s">
        <v>1800</v>
      </c>
      <c r="AL247" s="76" t="b">
        <v>0</v>
      </c>
      <c r="AM247" s="76">
        <v>0</v>
      </c>
      <c r="AN247" s="81" t="s">
        <v>1674</v>
      </c>
      <c r="AO247" s="81" t="s">
        <v>1808</v>
      </c>
      <c r="AP247" s="76" t="b">
        <v>0</v>
      </c>
      <c r="AQ247" s="81" t="s">
        <v>1389</v>
      </c>
      <c r="AR247" s="76" t="s">
        <v>219</v>
      </c>
      <c r="AS247" s="76">
        <v>0</v>
      </c>
      <c r="AT247" s="76">
        <v>0</v>
      </c>
      <c r="AU247" s="76"/>
      <c r="AV247" s="76"/>
      <c r="AW247" s="76"/>
      <c r="AX247" s="76"/>
      <c r="AY247" s="76"/>
      <c r="AZ247" s="76"/>
      <c r="BA247" s="76"/>
      <c r="BB247" s="76"/>
      <c r="BC247">
        <v>1</v>
      </c>
      <c r="BD247" s="75" t="str">
        <f>REPLACE(INDEX(GroupVertices[Group],MATCH(Edges[[#This Row],[Vertex 1]],GroupVertices[Vertex],0)),1,1,"")</f>
        <v>1</v>
      </c>
      <c r="BE247" s="75" t="str">
        <f>REPLACE(INDEX(GroupVertices[Group],MATCH(Edges[[#This Row],[Vertex 2]],GroupVertices[Vertex],0)),1,1,"")</f>
        <v>1</v>
      </c>
      <c r="BF247" s="45"/>
      <c r="BG247" s="46"/>
      <c r="BH247" s="45"/>
      <c r="BI247" s="46"/>
      <c r="BJ247" s="45"/>
      <c r="BK247" s="46"/>
      <c r="BL247" s="45"/>
      <c r="BM247" s="46"/>
      <c r="BN247" s="45"/>
    </row>
    <row r="248" spans="1:66" ht="15">
      <c r="A248" s="61" t="s">
        <v>382</v>
      </c>
      <c r="B248" s="61" t="s">
        <v>532</v>
      </c>
      <c r="C248" s="62" t="s">
        <v>4688</v>
      </c>
      <c r="D248" s="63">
        <v>5</v>
      </c>
      <c r="E248" s="62"/>
      <c r="F248" s="65">
        <v>50</v>
      </c>
      <c r="G248" s="62"/>
      <c r="H248" s="66"/>
      <c r="I248" s="67"/>
      <c r="J248" s="67"/>
      <c r="K248" s="31" t="s">
        <v>65</v>
      </c>
      <c r="L248" s="68">
        <v>248</v>
      </c>
      <c r="M248" s="68"/>
      <c r="N248" s="69"/>
      <c r="O248" s="76" t="s">
        <v>588</v>
      </c>
      <c r="P248" s="78">
        <v>44818.264131944445</v>
      </c>
      <c r="Q248" s="76" t="s">
        <v>693</v>
      </c>
      <c r="R248" s="79" t="str">
        <f>HYPERLINK("https://twitter.com/DanielsonKassa1/status/1569891516281245697")</f>
        <v>https://twitter.com/DanielsonKassa1/status/1569891516281245697</v>
      </c>
      <c r="S248" s="76" t="s">
        <v>783</v>
      </c>
      <c r="T248" s="81" t="s">
        <v>846</v>
      </c>
      <c r="U248" s="76"/>
      <c r="V248" s="79" t="str">
        <f>HYPERLINK("https://pbs.twimg.com/profile_images/1569983204995616768/o89y1TXV_normal.jpg")</f>
        <v>https://pbs.twimg.com/profile_images/1569983204995616768/o89y1TXV_normal.jpg</v>
      </c>
      <c r="W248" s="78">
        <v>44818.264131944445</v>
      </c>
      <c r="X248" s="84">
        <v>44818</v>
      </c>
      <c r="Y248" s="81" t="s">
        <v>1058</v>
      </c>
      <c r="Z248" s="79" t="str">
        <f>HYPERLINK("https://twitter.com/yeshewalul1/status/1569934056367833088")</f>
        <v>https://twitter.com/yeshewalul1/status/1569934056367833088</v>
      </c>
      <c r="AA248" s="76"/>
      <c r="AB248" s="76"/>
      <c r="AC248" s="81" t="s">
        <v>1389</v>
      </c>
      <c r="AD248" s="76"/>
      <c r="AE248" s="76" t="b">
        <v>0</v>
      </c>
      <c r="AF248" s="76">
        <v>1</v>
      </c>
      <c r="AG248" s="81" t="s">
        <v>1674</v>
      </c>
      <c r="AH248" s="76" t="b">
        <v>1</v>
      </c>
      <c r="AI248" s="76" t="s">
        <v>1773</v>
      </c>
      <c r="AJ248" s="76"/>
      <c r="AK248" s="81" t="s">
        <v>1800</v>
      </c>
      <c r="AL248" s="76" t="b">
        <v>0</v>
      </c>
      <c r="AM248" s="76">
        <v>0</v>
      </c>
      <c r="AN248" s="81" t="s">
        <v>1674</v>
      </c>
      <c r="AO248" s="81" t="s">
        <v>1808</v>
      </c>
      <c r="AP248" s="76" t="b">
        <v>0</v>
      </c>
      <c r="AQ248" s="81" t="s">
        <v>1389</v>
      </c>
      <c r="AR248" s="76" t="s">
        <v>219</v>
      </c>
      <c r="AS248" s="76">
        <v>0</v>
      </c>
      <c r="AT248" s="76">
        <v>0</v>
      </c>
      <c r="AU248" s="76"/>
      <c r="AV248" s="76"/>
      <c r="AW248" s="76"/>
      <c r="AX248" s="76"/>
      <c r="AY248" s="76"/>
      <c r="AZ248" s="76"/>
      <c r="BA248" s="76"/>
      <c r="BB248" s="76"/>
      <c r="BC248">
        <v>1</v>
      </c>
      <c r="BD248" s="75" t="str">
        <f>REPLACE(INDEX(GroupVertices[Group],MATCH(Edges[[#This Row],[Vertex 1]],GroupVertices[Vertex],0)),1,1,"")</f>
        <v>1</v>
      </c>
      <c r="BE248" s="75" t="str">
        <f>REPLACE(INDEX(GroupVertices[Group],MATCH(Edges[[#This Row],[Vertex 2]],GroupVertices[Vertex],0)),1,1,"")</f>
        <v>1</v>
      </c>
      <c r="BF248" s="45">
        <v>1</v>
      </c>
      <c r="BG248" s="46">
        <v>5.2631578947368425</v>
      </c>
      <c r="BH248" s="45">
        <v>0</v>
      </c>
      <c r="BI248" s="46">
        <v>0</v>
      </c>
      <c r="BJ248" s="45">
        <v>0</v>
      </c>
      <c r="BK248" s="46">
        <v>0</v>
      </c>
      <c r="BL248" s="45">
        <v>18</v>
      </c>
      <c r="BM248" s="46">
        <v>94.73684210526316</v>
      </c>
      <c r="BN248" s="45">
        <v>19</v>
      </c>
    </row>
    <row r="249" spans="1:66" ht="15">
      <c r="A249" s="61" t="s">
        <v>382</v>
      </c>
      <c r="B249" s="61" t="s">
        <v>496</v>
      </c>
      <c r="C249" s="62" t="s">
        <v>4688</v>
      </c>
      <c r="D249" s="63">
        <v>5</v>
      </c>
      <c r="E249" s="62"/>
      <c r="F249" s="65">
        <v>50</v>
      </c>
      <c r="G249" s="62"/>
      <c r="H249" s="66"/>
      <c r="I249" s="67"/>
      <c r="J249" s="67"/>
      <c r="K249" s="31" t="s">
        <v>65</v>
      </c>
      <c r="L249" s="68">
        <v>249</v>
      </c>
      <c r="M249" s="68"/>
      <c r="N249" s="69"/>
      <c r="O249" s="76" t="s">
        <v>588</v>
      </c>
      <c r="P249" s="78">
        <v>44818.264131944445</v>
      </c>
      <c r="Q249" s="76" t="s">
        <v>693</v>
      </c>
      <c r="R249" s="79" t="str">
        <f>HYPERLINK("https://twitter.com/DanielsonKassa1/status/1569891516281245697")</f>
        <v>https://twitter.com/DanielsonKassa1/status/1569891516281245697</v>
      </c>
      <c r="S249" s="76" t="s">
        <v>783</v>
      </c>
      <c r="T249" s="81" t="s">
        <v>846</v>
      </c>
      <c r="U249" s="76"/>
      <c r="V249" s="79" t="str">
        <f>HYPERLINK("https://pbs.twimg.com/profile_images/1569983204995616768/o89y1TXV_normal.jpg")</f>
        <v>https://pbs.twimg.com/profile_images/1569983204995616768/o89y1TXV_normal.jpg</v>
      </c>
      <c r="W249" s="78">
        <v>44818.264131944445</v>
      </c>
      <c r="X249" s="84">
        <v>44818</v>
      </c>
      <c r="Y249" s="81" t="s">
        <v>1058</v>
      </c>
      <c r="Z249" s="79" t="str">
        <f>HYPERLINK("https://twitter.com/yeshewalul1/status/1569934056367833088")</f>
        <v>https://twitter.com/yeshewalul1/status/1569934056367833088</v>
      </c>
      <c r="AA249" s="76"/>
      <c r="AB249" s="76"/>
      <c r="AC249" s="81" t="s">
        <v>1389</v>
      </c>
      <c r="AD249" s="76"/>
      <c r="AE249" s="76" t="b">
        <v>0</v>
      </c>
      <c r="AF249" s="76">
        <v>1</v>
      </c>
      <c r="AG249" s="81" t="s">
        <v>1674</v>
      </c>
      <c r="AH249" s="76" t="b">
        <v>1</v>
      </c>
      <c r="AI249" s="76" t="s">
        <v>1773</v>
      </c>
      <c r="AJ249" s="76"/>
      <c r="AK249" s="81" t="s">
        <v>1800</v>
      </c>
      <c r="AL249" s="76" t="b">
        <v>0</v>
      </c>
      <c r="AM249" s="76">
        <v>0</v>
      </c>
      <c r="AN249" s="81" t="s">
        <v>1674</v>
      </c>
      <c r="AO249" s="81" t="s">
        <v>1808</v>
      </c>
      <c r="AP249" s="76" t="b">
        <v>0</v>
      </c>
      <c r="AQ249" s="81" t="s">
        <v>1389</v>
      </c>
      <c r="AR249" s="76" t="s">
        <v>219</v>
      </c>
      <c r="AS249" s="76">
        <v>0</v>
      </c>
      <c r="AT249" s="76">
        <v>0</v>
      </c>
      <c r="AU249" s="76"/>
      <c r="AV249" s="76"/>
      <c r="AW249" s="76"/>
      <c r="AX249" s="76"/>
      <c r="AY249" s="76"/>
      <c r="AZ249" s="76"/>
      <c r="BA249" s="76"/>
      <c r="BB249" s="76"/>
      <c r="BC249">
        <v>1</v>
      </c>
      <c r="BD249" s="75" t="str">
        <f>REPLACE(INDEX(GroupVertices[Group],MATCH(Edges[[#This Row],[Vertex 1]],GroupVertices[Vertex],0)),1,1,"")</f>
        <v>1</v>
      </c>
      <c r="BE249" s="75" t="str">
        <f>REPLACE(INDEX(GroupVertices[Group],MATCH(Edges[[#This Row],[Vertex 2]],GroupVertices[Vertex],0)),1,1,"")</f>
        <v>1</v>
      </c>
      <c r="BF249" s="45"/>
      <c r="BG249" s="46"/>
      <c r="BH249" s="45"/>
      <c r="BI249" s="46"/>
      <c r="BJ249" s="45"/>
      <c r="BK249" s="46"/>
      <c r="BL249" s="45"/>
      <c r="BM249" s="46"/>
      <c r="BN249" s="45"/>
    </row>
    <row r="250" spans="1:66" ht="15">
      <c r="A250" s="61" t="s">
        <v>382</v>
      </c>
      <c r="B250" s="61" t="s">
        <v>447</v>
      </c>
      <c r="C250" s="62" t="s">
        <v>4688</v>
      </c>
      <c r="D250" s="63">
        <v>5</v>
      </c>
      <c r="E250" s="62"/>
      <c r="F250" s="65">
        <v>50</v>
      </c>
      <c r="G250" s="62"/>
      <c r="H250" s="66"/>
      <c r="I250" s="67"/>
      <c r="J250" s="67"/>
      <c r="K250" s="31" t="s">
        <v>65</v>
      </c>
      <c r="L250" s="68">
        <v>250</v>
      </c>
      <c r="M250" s="68"/>
      <c r="N250" s="69"/>
      <c r="O250" s="76" t="s">
        <v>588</v>
      </c>
      <c r="P250" s="78">
        <v>44818.264131944445</v>
      </c>
      <c r="Q250" s="76" t="s">
        <v>693</v>
      </c>
      <c r="R250" s="79" t="str">
        <f>HYPERLINK("https://twitter.com/DanielsonKassa1/status/1569891516281245697")</f>
        <v>https://twitter.com/DanielsonKassa1/status/1569891516281245697</v>
      </c>
      <c r="S250" s="76" t="s">
        <v>783</v>
      </c>
      <c r="T250" s="81" t="s">
        <v>846</v>
      </c>
      <c r="U250" s="76"/>
      <c r="V250" s="79" t="str">
        <f>HYPERLINK("https://pbs.twimg.com/profile_images/1569983204995616768/o89y1TXV_normal.jpg")</f>
        <v>https://pbs.twimg.com/profile_images/1569983204995616768/o89y1TXV_normal.jpg</v>
      </c>
      <c r="W250" s="78">
        <v>44818.264131944445</v>
      </c>
      <c r="X250" s="84">
        <v>44818</v>
      </c>
      <c r="Y250" s="81" t="s">
        <v>1058</v>
      </c>
      <c r="Z250" s="79" t="str">
        <f>HYPERLINK("https://twitter.com/yeshewalul1/status/1569934056367833088")</f>
        <v>https://twitter.com/yeshewalul1/status/1569934056367833088</v>
      </c>
      <c r="AA250" s="76"/>
      <c r="AB250" s="76"/>
      <c r="AC250" s="81" t="s">
        <v>1389</v>
      </c>
      <c r="AD250" s="76"/>
      <c r="AE250" s="76" t="b">
        <v>0</v>
      </c>
      <c r="AF250" s="76">
        <v>1</v>
      </c>
      <c r="AG250" s="81" t="s">
        <v>1674</v>
      </c>
      <c r="AH250" s="76" t="b">
        <v>1</v>
      </c>
      <c r="AI250" s="76" t="s">
        <v>1773</v>
      </c>
      <c r="AJ250" s="76"/>
      <c r="AK250" s="81" t="s">
        <v>1800</v>
      </c>
      <c r="AL250" s="76" t="b">
        <v>0</v>
      </c>
      <c r="AM250" s="76">
        <v>0</v>
      </c>
      <c r="AN250" s="81" t="s">
        <v>1674</v>
      </c>
      <c r="AO250" s="81" t="s">
        <v>1808</v>
      </c>
      <c r="AP250" s="76" t="b">
        <v>0</v>
      </c>
      <c r="AQ250" s="81" t="s">
        <v>1389</v>
      </c>
      <c r="AR250" s="76" t="s">
        <v>219</v>
      </c>
      <c r="AS250" s="76">
        <v>0</v>
      </c>
      <c r="AT250" s="76">
        <v>0</v>
      </c>
      <c r="AU250" s="76"/>
      <c r="AV250" s="76"/>
      <c r="AW250" s="76"/>
      <c r="AX250" s="76"/>
      <c r="AY250" s="76"/>
      <c r="AZ250" s="76"/>
      <c r="BA250" s="76"/>
      <c r="BB250" s="76"/>
      <c r="BC250">
        <v>1</v>
      </c>
      <c r="BD250" s="75" t="str">
        <f>REPLACE(INDEX(GroupVertices[Group],MATCH(Edges[[#This Row],[Vertex 1]],GroupVertices[Vertex],0)),1,1,"")</f>
        <v>1</v>
      </c>
      <c r="BE250" s="75" t="str">
        <f>REPLACE(INDEX(GroupVertices[Group],MATCH(Edges[[#This Row],[Vertex 2]],GroupVertices[Vertex],0)),1,1,"")</f>
        <v>1</v>
      </c>
      <c r="BF250" s="45"/>
      <c r="BG250" s="46"/>
      <c r="BH250" s="45"/>
      <c r="BI250" s="46"/>
      <c r="BJ250" s="45"/>
      <c r="BK250" s="46"/>
      <c r="BL250" s="45"/>
      <c r="BM250" s="46"/>
      <c r="BN250" s="45"/>
    </row>
    <row r="251" spans="1:66" ht="15">
      <c r="A251" s="61" t="s">
        <v>383</v>
      </c>
      <c r="B251" s="61" t="s">
        <v>533</v>
      </c>
      <c r="C251" s="62" t="s">
        <v>4688</v>
      </c>
      <c r="D251" s="63">
        <v>5</v>
      </c>
      <c r="E251" s="62"/>
      <c r="F251" s="65">
        <v>50</v>
      </c>
      <c r="G251" s="62"/>
      <c r="H251" s="66"/>
      <c r="I251" s="67"/>
      <c r="J251" s="67"/>
      <c r="K251" s="31" t="s">
        <v>65</v>
      </c>
      <c r="L251" s="68">
        <v>251</v>
      </c>
      <c r="M251" s="68"/>
      <c r="N251" s="69"/>
      <c r="O251" s="76" t="s">
        <v>588</v>
      </c>
      <c r="P251" s="78">
        <v>44818.2644212963</v>
      </c>
      <c r="Q251" s="76" t="s">
        <v>694</v>
      </c>
      <c r="R251" s="76"/>
      <c r="S251" s="76"/>
      <c r="T251" s="81" t="s">
        <v>847</v>
      </c>
      <c r="U251" s="76"/>
      <c r="V251" s="79" t="str">
        <f>HYPERLINK("https://pbs.twimg.com/profile_images/1485107047813488640/cc0vZhhU_normal.jpg")</f>
        <v>https://pbs.twimg.com/profile_images/1485107047813488640/cc0vZhhU_normal.jpg</v>
      </c>
      <c r="W251" s="78">
        <v>44818.2644212963</v>
      </c>
      <c r="X251" s="84">
        <v>44818</v>
      </c>
      <c r="Y251" s="81" t="s">
        <v>1059</v>
      </c>
      <c r="Z251" s="79" t="str">
        <f>HYPERLINK("https://twitter.com/milospavic_/status/1569934159501737984")</f>
        <v>https://twitter.com/milospavic_/status/1569934159501737984</v>
      </c>
      <c r="AA251" s="76"/>
      <c r="AB251" s="76"/>
      <c r="AC251" s="81" t="s">
        <v>1390</v>
      </c>
      <c r="AD251" s="81" t="s">
        <v>1618</v>
      </c>
      <c r="AE251" s="76" t="b">
        <v>0</v>
      </c>
      <c r="AF251" s="76">
        <v>0</v>
      </c>
      <c r="AG251" s="81" t="s">
        <v>1702</v>
      </c>
      <c r="AH251" s="76" t="b">
        <v>0</v>
      </c>
      <c r="AI251" s="76" t="s">
        <v>1772</v>
      </c>
      <c r="AJ251" s="76"/>
      <c r="AK251" s="81" t="s">
        <v>1674</v>
      </c>
      <c r="AL251" s="76" t="b">
        <v>0</v>
      </c>
      <c r="AM251" s="76">
        <v>0</v>
      </c>
      <c r="AN251" s="81" t="s">
        <v>1674</v>
      </c>
      <c r="AO251" s="81" t="s">
        <v>1809</v>
      </c>
      <c r="AP251" s="76" t="b">
        <v>0</v>
      </c>
      <c r="AQ251" s="81" t="s">
        <v>1618</v>
      </c>
      <c r="AR251" s="76" t="s">
        <v>219</v>
      </c>
      <c r="AS251" s="76">
        <v>0</v>
      </c>
      <c r="AT251" s="76">
        <v>0</v>
      </c>
      <c r="AU251" s="76"/>
      <c r="AV251" s="76"/>
      <c r="AW251" s="76"/>
      <c r="AX251" s="76"/>
      <c r="AY251" s="76"/>
      <c r="AZ251" s="76"/>
      <c r="BA251" s="76"/>
      <c r="BB251" s="76"/>
      <c r="BC251">
        <v>1</v>
      </c>
      <c r="BD251" s="75" t="str">
        <f>REPLACE(INDEX(GroupVertices[Group],MATCH(Edges[[#This Row],[Vertex 1]],GroupVertices[Vertex],0)),1,1,"")</f>
        <v>1</v>
      </c>
      <c r="BE251" s="75" t="str">
        <f>REPLACE(INDEX(GroupVertices[Group],MATCH(Edges[[#This Row],[Vertex 2]],GroupVertices[Vertex],0)),1,1,"")</f>
        <v>1</v>
      </c>
      <c r="BF251" s="45">
        <v>0</v>
      </c>
      <c r="BG251" s="46">
        <v>0</v>
      </c>
      <c r="BH251" s="45">
        <v>0</v>
      </c>
      <c r="BI251" s="46">
        <v>0</v>
      </c>
      <c r="BJ251" s="45">
        <v>0</v>
      </c>
      <c r="BK251" s="46">
        <v>0</v>
      </c>
      <c r="BL251" s="45">
        <v>21</v>
      </c>
      <c r="BM251" s="46">
        <v>100</v>
      </c>
      <c r="BN251" s="45">
        <v>21</v>
      </c>
    </row>
    <row r="252" spans="1:66" ht="15">
      <c r="A252" s="61" t="s">
        <v>383</v>
      </c>
      <c r="B252" s="61" t="s">
        <v>447</v>
      </c>
      <c r="C252" s="62" t="s">
        <v>4688</v>
      </c>
      <c r="D252" s="63">
        <v>5</v>
      </c>
      <c r="E252" s="62"/>
      <c r="F252" s="65">
        <v>50</v>
      </c>
      <c r="G252" s="62"/>
      <c r="H252" s="66"/>
      <c r="I252" s="67"/>
      <c r="J252" s="67"/>
      <c r="K252" s="31" t="s">
        <v>65</v>
      </c>
      <c r="L252" s="68">
        <v>252</v>
      </c>
      <c r="M252" s="68"/>
      <c r="N252" s="69"/>
      <c r="O252" s="76" t="s">
        <v>587</v>
      </c>
      <c r="P252" s="78">
        <v>44818.2644212963</v>
      </c>
      <c r="Q252" s="76" t="s">
        <v>694</v>
      </c>
      <c r="R252" s="76"/>
      <c r="S252" s="76"/>
      <c r="T252" s="81" t="s">
        <v>847</v>
      </c>
      <c r="U252" s="76"/>
      <c r="V252" s="79" t="str">
        <f>HYPERLINK("https://pbs.twimg.com/profile_images/1485107047813488640/cc0vZhhU_normal.jpg")</f>
        <v>https://pbs.twimg.com/profile_images/1485107047813488640/cc0vZhhU_normal.jpg</v>
      </c>
      <c r="W252" s="78">
        <v>44818.2644212963</v>
      </c>
      <c r="X252" s="84">
        <v>44818</v>
      </c>
      <c r="Y252" s="81" t="s">
        <v>1059</v>
      </c>
      <c r="Z252" s="79" t="str">
        <f>HYPERLINK("https://twitter.com/milospavic_/status/1569934159501737984")</f>
        <v>https://twitter.com/milospavic_/status/1569934159501737984</v>
      </c>
      <c r="AA252" s="76"/>
      <c r="AB252" s="76"/>
      <c r="AC252" s="81" t="s">
        <v>1390</v>
      </c>
      <c r="AD252" s="81" t="s">
        <v>1618</v>
      </c>
      <c r="AE252" s="76" t="b">
        <v>0</v>
      </c>
      <c r="AF252" s="76">
        <v>0</v>
      </c>
      <c r="AG252" s="81" t="s">
        <v>1702</v>
      </c>
      <c r="AH252" s="76" t="b">
        <v>0</v>
      </c>
      <c r="AI252" s="76" t="s">
        <v>1772</v>
      </c>
      <c r="AJ252" s="76"/>
      <c r="AK252" s="81" t="s">
        <v>1674</v>
      </c>
      <c r="AL252" s="76" t="b">
        <v>0</v>
      </c>
      <c r="AM252" s="76">
        <v>0</v>
      </c>
      <c r="AN252" s="81" t="s">
        <v>1674</v>
      </c>
      <c r="AO252" s="81" t="s">
        <v>1809</v>
      </c>
      <c r="AP252" s="76" t="b">
        <v>0</v>
      </c>
      <c r="AQ252" s="81" t="s">
        <v>1618</v>
      </c>
      <c r="AR252" s="76" t="s">
        <v>219</v>
      </c>
      <c r="AS252" s="76">
        <v>0</v>
      </c>
      <c r="AT252" s="76">
        <v>0</v>
      </c>
      <c r="AU252" s="76"/>
      <c r="AV252" s="76"/>
      <c r="AW252" s="76"/>
      <c r="AX252" s="76"/>
      <c r="AY252" s="76"/>
      <c r="AZ252" s="76"/>
      <c r="BA252" s="76"/>
      <c r="BB252" s="76"/>
      <c r="BC252">
        <v>1</v>
      </c>
      <c r="BD252" s="75" t="str">
        <f>REPLACE(INDEX(GroupVertices[Group],MATCH(Edges[[#This Row],[Vertex 1]],GroupVertices[Vertex],0)),1,1,"")</f>
        <v>1</v>
      </c>
      <c r="BE252" s="75" t="str">
        <f>REPLACE(INDEX(GroupVertices[Group],MATCH(Edges[[#This Row],[Vertex 2]],GroupVertices[Vertex],0)),1,1,"")</f>
        <v>1</v>
      </c>
      <c r="BF252" s="45"/>
      <c r="BG252" s="46"/>
      <c r="BH252" s="45"/>
      <c r="BI252" s="46"/>
      <c r="BJ252" s="45"/>
      <c r="BK252" s="46"/>
      <c r="BL252" s="45"/>
      <c r="BM252" s="46"/>
      <c r="BN252" s="45"/>
    </row>
    <row r="253" spans="1:66" ht="15">
      <c r="A253" s="61" t="s">
        <v>384</v>
      </c>
      <c r="B253" s="61" t="s">
        <v>384</v>
      </c>
      <c r="C253" s="62" t="s">
        <v>4688</v>
      </c>
      <c r="D253" s="63">
        <v>5</v>
      </c>
      <c r="E253" s="62"/>
      <c r="F253" s="65">
        <v>50</v>
      </c>
      <c r="G253" s="62"/>
      <c r="H253" s="66"/>
      <c r="I253" s="67"/>
      <c r="J253" s="67"/>
      <c r="K253" s="31" t="s">
        <v>65</v>
      </c>
      <c r="L253" s="68">
        <v>253</v>
      </c>
      <c r="M253" s="68"/>
      <c r="N253" s="69"/>
      <c r="O253" s="76" t="s">
        <v>219</v>
      </c>
      <c r="P253" s="78">
        <v>44818.3393287037</v>
      </c>
      <c r="Q253" s="76" t="s">
        <v>695</v>
      </c>
      <c r="R253" s="76"/>
      <c r="S253" s="76"/>
      <c r="T253" s="81" t="s">
        <v>795</v>
      </c>
      <c r="U253" s="76"/>
      <c r="V253" s="79" t="str">
        <f>HYPERLINK("https://pbs.twimg.com/profile_images/1568213967159312384/fJAbJ1Md_normal.png")</f>
        <v>https://pbs.twimg.com/profile_images/1568213967159312384/fJAbJ1Md_normal.png</v>
      </c>
      <c r="W253" s="78">
        <v>44818.3393287037</v>
      </c>
      <c r="X253" s="84">
        <v>44818</v>
      </c>
      <c r="Y253" s="81" t="s">
        <v>1060</v>
      </c>
      <c r="Z253" s="79" t="str">
        <f>HYPERLINK("https://twitter.com/ukrainewartest/status/1569961305632546817")</f>
        <v>https://twitter.com/ukrainewartest/status/1569961305632546817</v>
      </c>
      <c r="AA253" s="76"/>
      <c r="AB253" s="76"/>
      <c r="AC253" s="81" t="s">
        <v>1391</v>
      </c>
      <c r="AD253" s="76"/>
      <c r="AE253" s="76" t="b">
        <v>0</v>
      </c>
      <c r="AF253" s="76">
        <v>0</v>
      </c>
      <c r="AG253" s="81" t="s">
        <v>1674</v>
      </c>
      <c r="AH253" s="76" t="b">
        <v>0</v>
      </c>
      <c r="AI253" s="76" t="s">
        <v>1772</v>
      </c>
      <c r="AJ253" s="76"/>
      <c r="AK253" s="81" t="s">
        <v>1674</v>
      </c>
      <c r="AL253" s="76" t="b">
        <v>0</v>
      </c>
      <c r="AM253" s="76">
        <v>0</v>
      </c>
      <c r="AN253" s="81" t="s">
        <v>1674</v>
      </c>
      <c r="AO253" s="81" t="s">
        <v>1808</v>
      </c>
      <c r="AP253" s="76" t="b">
        <v>0</v>
      </c>
      <c r="AQ253" s="81" t="s">
        <v>1391</v>
      </c>
      <c r="AR253" s="76" t="s">
        <v>219</v>
      </c>
      <c r="AS253" s="76">
        <v>0</v>
      </c>
      <c r="AT253" s="76">
        <v>0</v>
      </c>
      <c r="AU253" s="76"/>
      <c r="AV253" s="76"/>
      <c r="AW253" s="76"/>
      <c r="AX253" s="76"/>
      <c r="AY253" s="76"/>
      <c r="AZ253" s="76"/>
      <c r="BA253" s="76"/>
      <c r="BB253" s="76"/>
      <c r="BC253">
        <v>1</v>
      </c>
      <c r="BD253" s="75" t="str">
        <f>REPLACE(INDEX(GroupVertices[Group],MATCH(Edges[[#This Row],[Vertex 1]],GroupVertices[Vertex],0)),1,1,"")</f>
        <v>2</v>
      </c>
      <c r="BE253" s="75" t="str">
        <f>REPLACE(INDEX(GroupVertices[Group],MATCH(Edges[[#This Row],[Vertex 2]],GroupVertices[Vertex],0)),1,1,"")</f>
        <v>2</v>
      </c>
      <c r="BF253" s="45">
        <v>0</v>
      </c>
      <c r="BG253" s="46">
        <v>0</v>
      </c>
      <c r="BH253" s="45">
        <v>1</v>
      </c>
      <c r="BI253" s="46">
        <v>16.666666666666668</v>
      </c>
      <c r="BJ253" s="45">
        <v>0</v>
      </c>
      <c r="BK253" s="46">
        <v>0</v>
      </c>
      <c r="BL253" s="45">
        <v>5</v>
      </c>
      <c r="BM253" s="46">
        <v>83.33333333333333</v>
      </c>
      <c r="BN253" s="45">
        <v>6</v>
      </c>
    </row>
    <row r="254" spans="1:66" ht="15">
      <c r="A254" s="61" t="s">
        <v>385</v>
      </c>
      <c r="B254" s="61" t="s">
        <v>534</v>
      </c>
      <c r="C254" s="62" t="s">
        <v>4688</v>
      </c>
      <c r="D254" s="63">
        <v>5</v>
      </c>
      <c r="E254" s="62"/>
      <c r="F254" s="65">
        <v>50</v>
      </c>
      <c r="G254" s="62"/>
      <c r="H254" s="66"/>
      <c r="I254" s="67"/>
      <c r="J254" s="67"/>
      <c r="K254" s="31" t="s">
        <v>65</v>
      </c>
      <c r="L254" s="68">
        <v>254</v>
      </c>
      <c r="M254" s="68"/>
      <c r="N254" s="69"/>
      <c r="O254" s="76" t="s">
        <v>587</v>
      </c>
      <c r="P254" s="78">
        <v>44816.77174768518</v>
      </c>
      <c r="Q254" s="76" t="s">
        <v>696</v>
      </c>
      <c r="R254" s="76"/>
      <c r="S254" s="76"/>
      <c r="T254" s="81" t="s">
        <v>795</v>
      </c>
      <c r="U254" s="76"/>
      <c r="V254" s="79" t="str">
        <f>HYPERLINK("https://pbs.twimg.com/profile_images/1187725201892696064/sP8FJ7CB_normal.jpg")</f>
        <v>https://pbs.twimg.com/profile_images/1187725201892696064/sP8FJ7CB_normal.jpg</v>
      </c>
      <c r="W254" s="78">
        <v>44816.77174768518</v>
      </c>
      <c r="X254" s="84">
        <v>44816</v>
      </c>
      <c r="Y254" s="81" t="s">
        <v>1061</v>
      </c>
      <c r="Z254" s="79" t="str">
        <f>HYPERLINK("https://twitter.com/arbontemps/status/1569393234069037060")</f>
        <v>https://twitter.com/arbontemps/status/1569393234069037060</v>
      </c>
      <c r="AA254" s="76"/>
      <c r="AB254" s="76"/>
      <c r="AC254" s="81" t="s">
        <v>1392</v>
      </c>
      <c r="AD254" s="81" t="s">
        <v>1619</v>
      </c>
      <c r="AE254" s="76" t="b">
        <v>0</v>
      </c>
      <c r="AF254" s="76">
        <v>0</v>
      </c>
      <c r="AG254" s="81" t="s">
        <v>1729</v>
      </c>
      <c r="AH254" s="76" t="b">
        <v>0</v>
      </c>
      <c r="AI254" s="76" t="s">
        <v>1772</v>
      </c>
      <c r="AJ254" s="76"/>
      <c r="AK254" s="81" t="s">
        <v>1674</v>
      </c>
      <c r="AL254" s="76" t="b">
        <v>0</v>
      </c>
      <c r="AM254" s="76">
        <v>0</v>
      </c>
      <c r="AN254" s="81" t="s">
        <v>1674</v>
      </c>
      <c r="AO254" s="81" t="s">
        <v>1808</v>
      </c>
      <c r="AP254" s="76" t="b">
        <v>0</v>
      </c>
      <c r="AQ254" s="81" t="s">
        <v>1619</v>
      </c>
      <c r="AR254" s="76" t="s">
        <v>219</v>
      </c>
      <c r="AS254" s="76">
        <v>0</v>
      </c>
      <c r="AT254" s="76">
        <v>0</v>
      </c>
      <c r="AU254" s="76"/>
      <c r="AV254" s="76"/>
      <c r="AW254" s="76"/>
      <c r="AX254" s="76"/>
      <c r="AY254" s="76"/>
      <c r="AZ254" s="76"/>
      <c r="BA254" s="76"/>
      <c r="BB254" s="76"/>
      <c r="BC254">
        <v>1</v>
      </c>
      <c r="BD254" s="75" t="str">
        <f>REPLACE(INDEX(GroupVertices[Group],MATCH(Edges[[#This Row],[Vertex 1]],GroupVertices[Vertex],0)),1,1,"")</f>
        <v>24</v>
      </c>
      <c r="BE254" s="75" t="str">
        <f>REPLACE(INDEX(GroupVertices[Group],MATCH(Edges[[#This Row],[Vertex 2]],GroupVertices[Vertex],0)),1,1,"")</f>
        <v>24</v>
      </c>
      <c r="BF254" s="45">
        <v>1</v>
      </c>
      <c r="BG254" s="46">
        <v>6.25</v>
      </c>
      <c r="BH254" s="45">
        <v>1</v>
      </c>
      <c r="BI254" s="46">
        <v>6.25</v>
      </c>
      <c r="BJ254" s="45">
        <v>0</v>
      </c>
      <c r="BK254" s="46">
        <v>0</v>
      </c>
      <c r="BL254" s="45">
        <v>14</v>
      </c>
      <c r="BM254" s="46">
        <v>87.5</v>
      </c>
      <c r="BN254" s="45">
        <v>16</v>
      </c>
    </row>
    <row r="255" spans="1:66" ht="15">
      <c r="A255" s="61" t="s">
        <v>385</v>
      </c>
      <c r="B255" s="61" t="s">
        <v>535</v>
      </c>
      <c r="C255" s="62" t="s">
        <v>4688</v>
      </c>
      <c r="D255" s="63">
        <v>5</v>
      </c>
      <c r="E255" s="62"/>
      <c r="F255" s="65">
        <v>50</v>
      </c>
      <c r="G255" s="62"/>
      <c r="H255" s="66"/>
      <c r="I255" s="67"/>
      <c r="J255" s="67"/>
      <c r="K255" s="31" t="s">
        <v>65</v>
      </c>
      <c r="L255" s="68">
        <v>255</v>
      </c>
      <c r="M255" s="68"/>
      <c r="N255" s="69"/>
      <c r="O255" s="76" t="s">
        <v>587</v>
      </c>
      <c r="P255" s="78">
        <v>44817.28251157407</v>
      </c>
      <c r="Q255" s="76" t="s">
        <v>697</v>
      </c>
      <c r="R255" s="76"/>
      <c r="S255" s="76"/>
      <c r="T255" s="81" t="s">
        <v>795</v>
      </c>
      <c r="U255" s="76"/>
      <c r="V255" s="79" t="str">
        <f>HYPERLINK("https://pbs.twimg.com/profile_images/1187725201892696064/sP8FJ7CB_normal.jpg")</f>
        <v>https://pbs.twimg.com/profile_images/1187725201892696064/sP8FJ7CB_normal.jpg</v>
      </c>
      <c r="W255" s="78">
        <v>44817.28251157407</v>
      </c>
      <c r="X255" s="84">
        <v>44817</v>
      </c>
      <c r="Y255" s="81" t="s">
        <v>1062</v>
      </c>
      <c r="Z255" s="79" t="str">
        <f>HYPERLINK("https://twitter.com/arbontemps/status/1569578329849610242")</f>
        <v>https://twitter.com/arbontemps/status/1569578329849610242</v>
      </c>
      <c r="AA255" s="76"/>
      <c r="AB255" s="76"/>
      <c r="AC255" s="81" t="s">
        <v>1393</v>
      </c>
      <c r="AD255" s="81" t="s">
        <v>1620</v>
      </c>
      <c r="AE255" s="76" t="b">
        <v>0</v>
      </c>
      <c r="AF255" s="76">
        <v>1</v>
      </c>
      <c r="AG255" s="81" t="s">
        <v>1730</v>
      </c>
      <c r="AH255" s="76" t="b">
        <v>0</v>
      </c>
      <c r="AI255" s="76" t="s">
        <v>1773</v>
      </c>
      <c r="AJ255" s="76"/>
      <c r="AK255" s="81" t="s">
        <v>1674</v>
      </c>
      <c r="AL255" s="76" t="b">
        <v>0</v>
      </c>
      <c r="AM255" s="76">
        <v>0</v>
      </c>
      <c r="AN255" s="81" t="s">
        <v>1674</v>
      </c>
      <c r="AO255" s="81" t="s">
        <v>1808</v>
      </c>
      <c r="AP255" s="76" t="b">
        <v>0</v>
      </c>
      <c r="AQ255" s="81" t="s">
        <v>1620</v>
      </c>
      <c r="AR255" s="76" t="s">
        <v>219</v>
      </c>
      <c r="AS255" s="76">
        <v>0</v>
      </c>
      <c r="AT255" s="76">
        <v>0</v>
      </c>
      <c r="AU255" s="76"/>
      <c r="AV255" s="76"/>
      <c r="AW255" s="76"/>
      <c r="AX255" s="76"/>
      <c r="AY255" s="76"/>
      <c r="AZ255" s="76"/>
      <c r="BA255" s="76"/>
      <c r="BB255" s="76"/>
      <c r="BC255">
        <v>1</v>
      </c>
      <c r="BD255" s="75" t="str">
        <f>REPLACE(INDEX(GroupVertices[Group],MATCH(Edges[[#This Row],[Vertex 1]],GroupVertices[Vertex],0)),1,1,"")</f>
        <v>24</v>
      </c>
      <c r="BE255" s="75" t="str">
        <f>REPLACE(INDEX(GroupVertices[Group],MATCH(Edges[[#This Row],[Vertex 2]],GroupVertices[Vertex],0)),1,1,"")</f>
        <v>24</v>
      </c>
      <c r="BF255" s="45">
        <v>0</v>
      </c>
      <c r="BG255" s="46">
        <v>0</v>
      </c>
      <c r="BH255" s="45">
        <v>0</v>
      </c>
      <c r="BI255" s="46">
        <v>0</v>
      </c>
      <c r="BJ255" s="45">
        <v>0</v>
      </c>
      <c r="BK255" s="46">
        <v>0</v>
      </c>
      <c r="BL255" s="45">
        <v>2</v>
      </c>
      <c r="BM255" s="46">
        <v>100</v>
      </c>
      <c r="BN255" s="45">
        <v>2</v>
      </c>
    </row>
    <row r="256" spans="1:66" ht="15">
      <c r="A256" s="61" t="s">
        <v>385</v>
      </c>
      <c r="B256" s="61" t="s">
        <v>385</v>
      </c>
      <c r="C256" s="62" t="s">
        <v>4688</v>
      </c>
      <c r="D256" s="63">
        <v>5</v>
      </c>
      <c r="E256" s="62"/>
      <c r="F256" s="65">
        <v>50</v>
      </c>
      <c r="G256" s="62"/>
      <c r="H256" s="66"/>
      <c r="I256" s="67"/>
      <c r="J256" s="67"/>
      <c r="K256" s="31" t="s">
        <v>65</v>
      </c>
      <c r="L256" s="68">
        <v>256</v>
      </c>
      <c r="M256" s="68"/>
      <c r="N256" s="69"/>
      <c r="O256" s="76" t="s">
        <v>219</v>
      </c>
      <c r="P256" s="78">
        <v>44818.4528125</v>
      </c>
      <c r="Q256" s="76" t="s">
        <v>698</v>
      </c>
      <c r="R256" s="79" t="str">
        <f>HYPERLINK("https://twitter.com/LoetitiaH/status/1569980083820969986")</f>
        <v>https://twitter.com/LoetitiaH/status/1569980083820969986</v>
      </c>
      <c r="S256" s="76" t="s">
        <v>783</v>
      </c>
      <c r="T256" s="81" t="s">
        <v>795</v>
      </c>
      <c r="U256" s="79" t="str">
        <f>HYPERLINK("https://pbs.twimg.com/media/FcnE3qtWIAAY8dP.jpg")</f>
        <v>https://pbs.twimg.com/media/FcnE3qtWIAAY8dP.jpg</v>
      </c>
      <c r="V256" s="79" t="str">
        <f>HYPERLINK("https://pbs.twimg.com/media/FcnE3qtWIAAY8dP.jpg")</f>
        <v>https://pbs.twimg.com/media/FcnE3qtWIAAY8dP.jpg</v>
      </c>
      <c r="W256" s="78">
        <v>44818.4528125</v>
      </c>
      <c r="X256" s="84">
        <v>44818</v>
      </c>
      <c r="Y256" s="81" t="s">
        <v>1063</v>
      </c>
      <c r="Z256" s="79" t="str">
        <f>HYPERLINK("https://twitter.com/arbontemps/status/1570002430586228737")</f>
        <v>https://twitter.com/arbontemps/status/1570002430586228737</v>
      </c>
      <c r="AA256" s="76"/>
      <c r="AB256" s="76"/>
      <c r="AC256" s="81" t="s">
        <v>1394</v>
      </c>
      <c r="AD256" s="76"/>
      <c r="AE256" s="76" t="b">
        <v>0</v>
      </c>
      <c r="AF256" s="76">
        <v>10</v>
      </c>
      <c r="AG256" s="81" t="s">
        <v>1674</v>
      </c>
      <c r="AH256" s="76" t="b">
        <v>1</v>
      </c>
      <c r="AI256" s="76" t="s">
        <v>1770</v>
      </c>
      <c r="AJ256" s="76"/>
      <c r="AK256" s="81" t="s">
        <v>1801</v>
      </c>
      <c r="AL256" s="76" t="b">
        <v>0</v>
      </c>
      <c r="AM256" s="76">
        <v>2</v>
      </c>
      <c r="AN256" s="81" t="s">
        <v>1674</v>
      </c>
      <c r="AO256" s="81" t="s">
        <v>1808</v>
      </c>
      <c r="AP256" s="76" t="b">
        <v>0</v>
      </c>
      <c r="AQ256" s="81" t="s">
        <v>1394</v>
      </c>
      <c r="AR256" s="76" t="s">
        <v>219</v>
      </c>
      <c r="AS256" s="76">
        <v>0</v>
      </c>
      <c r="AT256" s="76">
        <v>0</v>
      </c>
      <c r="AU256" s="76"/>
      <c r="AV256" s="76"/>
      <c r="AW256" s="76"/>
      <c r="AX256" s="76"/>
      <c r="AY256" s="76"/>
      <c r="AZ256" s="76"/>
      <c r="BA256" s="76"/>
      <c r="BB256" s="76"/>
      <c r="BC256">
        <v>1</v>
      </c>
      <c r="BD256" s="75" t="str">
        <f>REPLACE(INDEX(GroupVertices[Group],MATCH(Edges[[#This Row],[Vertex 1]],GroupVertices[Vertex],0)),1,1,"")</f>
        <v>24</v>
      </c>
      <c r="BE256" s="75" t="str">
        <f>REPLACE(INDEX(GroupVertices[Group],MATCH(Edges[[#This Row],[Vertex 2]],GroupVertices[Vertex],0)),1,1,"")</f>
        <v>24</v>
      </c>
      <c r="BF256" s="45">
        <v>0</v>
      </c>
      <c r="BG256" s="46">
        <v>0</v>
      </c>
      <c r="BH256" s="45">
        <v>0</v>
      </c>
      <c r="BI256" s="46">
        <v>0</v>
      </c>
      <c r="BJ256" s="45">
        <v>0</v>
      </c>
      <c r="BK256" s="46">
        <v>0</v>
      </c>
      <c r="BL256" s="45">
        <v>36</v>
      </c>
      <c r="BM256" s="46">
        <v>100</v>
      </c>
      <c r="BN256" s="45">
        <v>36</v>
      </c>
    </row>
    <row r="257" spans="1:66" ht="15">
      <c r="A257" s="61" t="s">
        <v>386</v>
      </c>
      <c r="B257" s="61" t="s">
        <v>385</v>
      </c>
      <c r="C257" s="62" t="s">
        <v>4688</v>
      </c>
      <c r="D257" s="63">
        <v>5</v>
      </c>
      <c r="E257" s="62"/>
      <c r="F257" s="65">
        <v>50</v>
      </c>
      <c r="G257" s="62"/>
      <c r="H257" s="66"/>
      <c r="I257" s="67"/>
      <c r="J257" s="67"/>
      <c r="K257" s="31" t="s">
        <v>65</v>
      </c>
      <c r="L257" s="68">
        <v>257</v>
      </c>
      <c r="M257" s="68"/>
      <c r="N257" s="69"/>
      <c r="O257" s="76" t="s">
        <v>586</v>
      </c>
      <c r="P257" s="78">
        <v>44818.45427083333</v>
      </c>
      <c r="Q257" s="76" t="s">
        <v>698</v>
      </c>
      <c r="R257" s="79" t="str">
        <f>HYPERLINK("https://twitter.com/LoetitiaH/status/1569980083820969986")</f>
        <v>https://twitter.com/LoetitiaH/status/1569980083820969986</v>
      </c>
      <c r="S257" s="76" t="s">
        <v>783</v>
      </c>
      <c r="T257" s="81" t="s">
        <v>795</v>
      </c>
      <c r="U257" s="79" t="str">
        <f>HYPERLINK("https://pbs.twimg.com/media/FcnE3qtWIAAY8dP.jpg")</f>
        <v>https://pbs.twimg.com/media/FcnE3qtWIAAY8dP.jpg</v>
      </c>
      <c r="V257" s="79" t="str">
        <f>HYPERLINK("https://pbs.twimg.com/media/FcnE3qtWIAAY8dP.jpg")</f>
        <v>https://pbs.twimg.com/media/FcnE3qtWIAAY8dP.jpg</v>
      </c>
      <c r="W257" s="78">
        <v>44818.45427083333</v>
      </c>
      <c r="X257" s="84">
        <v>44818</v>
      </c>
      <c r="Y257" s="81" t="s">
        <v>1064</v>
      </c>
      <c r="Z257" s="79" t="str">
        <f>HYPERLINK("https://twitter.com/loetitiah/status/1570002960121475072")</f>
        <v>https://twitter.com/loetitiah/status/1570002960121475072</v>
      </c>
      <c r="AA257" s="76"/>
      <c r="AB257" s="76"/>
      <c r="AC257" s="81" t="s">
        <v>1395</v>
      </c>
      <c r="AD257" s="76"/>
      <c r="AE257" s="76" t="b">
        <v>0</v>
      </c>
      <c r="AF257" s="76">
        <v>0</v>
      </c>
      <c r="AG257" s="81" t="s">
        <v>1674</v>
      </c>
      <c r="AH257" s="76" t="b">
        <v>1</v>
      </c>
      <c r="AI257" s="76" t="s">
        <v>1770</v>
      </c>
      <c r="AJ257" s="76"/>
      <c r="AK257" s="81" t="s">
        <v>1801</v>
      </c>
      <c r="AL257" s="76" t="b">
        <v>0</v>
      </c>
      <c r="AM257" s="76">
        <v>2</v>
      </c>
      <c r="AN257" s="81" t="s">
        <v>1394</v>
      </c>
      <c r="AO257" s="81" t="s">
        <v>1807</v>
      </c>
      <c r="AP257" s="76" t="b">
        <v>0</v>
      </c>
      <c r="AQ257" s="81" t="s">
        <v>1394</v>
      </c>
      <c r="AR257" s="76" t="s">
        <v>219</v>
      </c>
      <c r="AS257" s="76">
        <v>0</v>
      </c>
      <c r="AT257" s="76">
        <v>0</v>
      </c>
      <c r="AU257" s="76"/>
      <c r="AV257" s="76"/>
      <c r="AW257" s="76"/>
      <c r="AX257" s="76"/>
      <c r="AY257" s="76"/>
      <c r="AZ257" s="76"/>
      <c r="BA257" s="76"/>
      <c r="BB257" s="76"/>
      <c r="BC257">
        <v>1</v>
      </c>
      <c r="BD257" s="75" t="str">
        <f>REPLACE(INDEX(GroupVertices[Group],MATCH(Edges[[#This Row],[Vertex 1]],GroupVertices[Vertex],0)),1,1,"")</f>
        <v>24</v>
      </c>
      <c r="BE257" s="75" t="str">
        <f>REPLACE(INDEX(GroupVertices[Group],MATCH(Edges[[#This Row],[Vertex 2]],GroupVertices[Vertex],0)),1,1,"")</f>
        <v>24</v>
      </c>
      <c r="BF257" s="45">
        <v>0</v>
      </c>
      <c r="BG257" s="46">
        <v>0</v>
      </c>
      <c r="BH257" s="45">
        <v>0</v>
      </c>
      <c r="BI257" s="46">
        <v>0</v>
      </c>
      <c r="BJ257" s="45">
        <v>0</v>
      </c>
      <c r="BK257" s="46">
        <v>0</v>
      </c>
      <c r="BL257" s="45">
        <v>36</v>
      </c>
      <c r="BM257" s="46">
        <v>100</v>
      </c>
      <c r="BN257" s="45">
        <v>36</v>
      </c>
    </row>
    <row r="258" spans="1:66" ht="15">
      <c r="A258" s="61" t="s">
        <v>387</v>
      </c>
      <c r="B258" s="61" t="s">
        <v>387</v>
      </c>
      <c r="C258" s="62" t="s">
        <v>4688</v>
      </c>
      <c r="D258" s="63">
        <v>5</v>
      </c>
      <c r="E258" s="62"/>
      <c r="F258" s="65">
        <v>50</v>
      </c>
      <c r="G258" s="62"/>
      <c r="H258" s="66"/>
      <c r="I258" s="67"/>
      <c r="J258" s="67"/>
      <c r="K258" s="31" t="s">
        <v>65</v>
      </c>
      <c r="L258" s="68">
        <v>258</v>
      </c>
      <c r="M258" s="68"/>
      <c r="N258" s="69"/>
      <c r="O258" s="76" t="s">
        <v>219</v>
      </c>
      <c r="P258" s="78">
        <v>44818.49748842593</v>
      </c>
      <c r="Q258" s="76" t="s">
        <v>699</v>
      </c>
      <c r="R258" s="79" t="str">
        <f>HYPERLINK("https://twitter.com/chicohalS/status/1570009415805190147")</f>
        <v>https://twitter.com/chicohalS/status/1570009415805190147</v>
      </c>
      <c r="S258" s="76" t="s">
        <v>783</v>
      </c>
      <c r="T258" s="81" t="s">
        <v>848</v>
      </c>
      <c r="U258" s="76"/>
      <c r="V258" s="79" t="str">
        <f>HYPERLINK("https://pbs.twimg.com/profile_images/861134597458886656/WpOQV9KZ_normal.jpg")</f>
        <v>https://pbs.twimg.com/profile_images/861134597458886656/WpOQV9KZ_normal.jpg</v>
      </c>
      <c r="W258" s="78">
        <v>44818.49748842593</v>
      </c>
      <c r="X258" s="84">
        <v>44818</v>
      </c>
      <c r="Y258" s="81" t="s">
        <v>1065</v>
      </c>
      <c r="Z258" s="79" t="str">
        <f>HYPERLINK("https://twitter.com/finding_isobel/status/1570018621123952641")</f>
        <v>https://twitter.com/finding_isobel/status/1570018621123952641</v>
      </c>
      <c r="AA258" s="76"/>
      <c r="AB258" s="76"/>
      <c r="AC258" s="81" t="s">
        <v>1396</v>
      </c>
      <c r="AD258" s="76"/>
      <c r="AE258" s="76" t="b">
        <v>0</v>
      </c>
      <c r="AF258" s="76">
        <v>0</v>
      </c>
      <c r="AG258" s="81" t="s">
        <v>1674</v>
      </c>
      <c r="AH258" s="76" t="b">
        <v>1</v>
      </c>
      <c r="AI258" s="76" t="s">
        <v>1779</v>
      </c>
      <c r="AJ258" s="76"/>
      <c r="AK258" s="81" t="s">
        <v>1802</v>
      </c>
      <c r="AL258" s="76" t="b">
        <v>0</v>
      </c>
      <c r="AM258" s="76">
        <v>1</v>
      </c>
      <c r="AN258" s="81" t="s">
        <v>1674</v>
      </c>
      <c r="AO258" s="81" t="s">
        <v>1807</v>
      </c>
      <c r="AP258" s="76" t="b">
        <v>0</v>
      </c>
      <c r="AQ258" s="81" t="s">
        <v>1396</v>
      </c>
      <c r="AR258" s="76" t="s">
        <v>219</v>
      </c>
      <c r="AS258" s="76">
        <v>0</v>
      </c>
      <c r="AT258" s="76">
        <v>0</v>
      </c>
      <c r="AU258" s="76"/>
      <c r="AV258" s="76"/>
      <c r="AW258" s="76"/>
      <c r="AX258" s="76"/>
      <c r="AY258" s="76"/>
      <c r="AZ258" s="76"/>
      <c r="BA258" s="76"/>
      <c r="BB258" s="76"/>
      <c r="BC258">
        <v>1</v>
      </c>
      <c r="BD258" s="75" t="str">
        <f>REPLACE(INDEX(GroupVertices[Group],MATCH(Edges[[#This Row],[Vertex 1]],GroupVertices[Vertex],0)),1,1,"")</f>
        <v>43</v>
      </c>
      <c r="BE258" s="75" t="str">
        <f>REPLACE(INDEX(GroupVertices[Group],MATCH(Edges[[#This Row],[Vertex 2]],GroupVertices[Vertex],0)),1,1,"")</f>
        <v>43</v>
      </c>
      <c r="BF258" s="45">
        <v>0</v>
      </c>
      <c r="BG258" s="46">
        <v>0</v>
      </c>
      <c r="BH258" s="45">
        <v>0</v>
      </c>
      <c r="BI258" s="46">
        <v>0</v>
      </c>
      <c r="BJ258" s="45">
        <v>0</v>
      </c>
      <c r="BK258" s="46">
        <v>0</v>
      </c>
      <c r="BL258" s="45">
        <v>18</v>
      </c>
      <c r="BM258" s="46">
        <v>100</v>
      </c>
      <c r="BN258" s="45">
        <v>18</v>
      </c>
    </row>
    <row r="259" spans="1:66" ht="15">
      <c r="A259" s="61" t="s">
        <v>388</v>
      </c>
      <c r="B259" s="61" t="s">
        <v>387</v>
      </c>
      <c r="C259" s="62" t="s">
        <v>4688</v>
      </c>
      <c r="D259" s="63">
        <v>5</v>
      </c>
      <c r="E259" s="62"/>
      <c r="F259" s="65">
        <v>50</v>
      </c>
      <c r="G259" s="62"/>
      <c r="H259" s="66"/>
      <c r="I259" s="67"/>
      <c r="J259" s="67"/>
      <c r="K259" s="31" t="s">
        <v>65</v>
      </c>
      <c r="L259" s="68">
        <v>259</v>
      </c>
      <c r="M259" s="68"/>
      <c r="N259" s="69"/>
      <c r="O259" s="76" t="s">
        <v>586</v>
      </c>
      <c r="P259" s="78">
        <v>44818.50125</v>
      </c>
      <c r="Q259" s="76" t="s">
        <v>699</v>
      </c>
      <c r="R259" s="79" t="str">
        <f>HYPERLINK("https://twitter.com/chicohalS/status/1570009415805190147")</f>
        <v>https://twitter.com/chicohalS/status/1570009415805190147</v>
      </c>
      <c r="S259" s="76" t="s">
        <v>783</v>
      </c>
      <c r="T259" s="81" t="s">
        <v>848</v>
      </c>
      <c r="U259" s="76"/>
      <c r="V259" s="79" t="str">
        <f>HYPERLINK("https://pbs.twimg.com/profile_images/1557478196492337155/f09Paboh_normal.jpg")</f>
        <v>https://pbs.twimg.com/profile_images/1557478196492337155/f09Paboh_normal.jpg</v>
      </c>
      <c r="W259" s="78">
        <v>44818.50125</v>
      </c>
      <c r="X259" s="84">
        <v>44818</v>
      </c>
      <c r="Y259" s="81" t="s">
        <v>1066</v>
      </c>
      <c r="Z259" s="79" t="str">
        <f>HYPERLINK("https://twitter.com/wimwientjes/status/1570019985153474562")</f>
        <v>https://twitter.com/wimwientjes/status/1570019985153474562</v>
      </c>
      <c r="AA259" s="76"/>
      <c r="AB259" s="76"/>
      <c r="AC259" s="81" t="s">
        <v>1397</v>
      </c>
      <c r="AD259" s="76"/>
      <c r="AE259" s="76" t="b">
        <v>0</v>
      </c>
      <c r="AF259" s="76">
        <v>0</v>
      </c>
      <c r="AG259" s="81" t="s">
        <v>1674</v>
      </c>
      <c r="AH259" s="76" t="b">
        <v>1</v>
      </c>
      <c r="AI259" s="76" t="s">
        <v>1779</v>
      </c>
      <c r="AJ259" s="76"/>
      <c r="AK259" s="81" t="s">
        <v>1802</v>
      </c>
      <c r="AL259" s="76" t="b">
        <v>0</v>
      </c>
      <c r="AM259" s="76">
        <v>1</v>
      </c>
      <c r="AN259" s="81" t="s">
        <v>1396</v>
      </c>
      <c r="AO259" s="81" t="s">
        <v>1807</v>
      </c>
      <c r="AP259" s="76" t="b">
        <v>0</v>
      </c>
      <c r="AQ259" s="81" t="s">
        <v>1396</v>
      </c>
      <c r="AR259" s="76" t="s">
        <v>219</v>
      </c>
      <c r="AS259" s="76">
        <v>0</v>
      </c>
      <c r="AT259" s="76">
        <v>0</v>
      </c>
      <c r="AU259" s="76"/>
      <c r="AV259" s="76"/>
      <c r="AW259" s="76"/>
      <c r="AX259" s="76"/>
      <c r="AY259" s="76"/>
      <c r="AZ259" s="76"/>
      <c r="BA259" s="76"/>
      <c r="BB259" s="76"/>
      <c r="BC259">
        <v>1</v>
      </c>
      <c r="BD259" s="75" t="str">
        <f>REPLACE(INDEX(GroupVertices[Group],MATCH(Edges[[#This Row],[Vertex 1]],GroupVertices[Vertex],0)),1,1,"")</f>
        <v>43</v>
      </c>
      <c r="BE259" s="75" t="str">
        <f>REPLACE(INDEX(GroupVertices[Group],MATCH(Edges[[#This Row],[Vertex 2]],GroupVertices[Vertex],0)),1,1,"")</f>
        <v>43</v>
      </c>
      <c r="BF259" s="45">
        <v>0</v>
      </c>
      <c r="BG259" s="46">
        <v>0</v>
      </c>
      <c r="BH259" s="45">
        <v>0</v>
      </c>
      <c r="BI259" s="46">
        <v>0</v>
      </c>
      <c r="BJ259" s="45">
        <v>0</v>
      </c>
      <c r="BK259" s="46">
        <v>0</v>
      </c>
      <c r="BL259" s="45">
        <v>18</v>
      </c>
      <c r="BM259" s="46">
        <v>100</v>
      </c>
      <c r="BN259" s="45">
        <v>18</v>
      </c>
    </row>
    <row r="260" spans="1:66" ht="15">
      <c r="A260" s="61" t="s">
        <v>389</v>
      </c>
      <c r="B260" s="61" t="s">
        <v>428</v>
      </c>
      <c r="C260" s="62" t="s">
        <v>4688</v>
      </c>
      <c r="D260" s="63">
        <v>5</v>
      </c>
      <c r="E260" s="62"/>
      <c r="F260" s="65">
        <v>50</v>
      </c>
      <c r="G260" s="62"/>
      <c r="H260" s="66"/>
      <c r="I260" s="67"/>
      <c r="J260" s="67"/>
      <c r="K260" s="31" t="s">
        <v>65</v>
      </c>
      <c r="L260" s="68">
        <v>260</v>
      </c>
      <c r="M260" s="68"/>
      <c r="N260" s="69"/>
      <c r="O260" s="76" t="s">
        <v>586</v>
      </c>
      <c r="P260" s="78">
        <v>44818.54268518519</v>
      </c>
      <c r="Q260" s="76" t="s">
        <v>700</v>
      </c>
      <c r="R260" s="76"/>
      <c r="S260" s="76"/>
      <c r="T260" s="81" t="s">
        <v>849</v>
      </c>
      <c r="U260" s="79" t="str">
        <f>HYPERLINK("https://pbs.twimg.com/ext_tw_video_thumb/1569990463913852929/pu/img/jtvBzzGtZsaI9lVF.jpg")</f>
        <v>https://pbs.twimg.com/ext_tw_video_thumb/1569990463913852929/pu/img/jtvBzzGtZsaI9lVF.jpg</v>
      </c>
      <c r="V260" s="79" t="str">
        <f>HYPERLINK("https://pbs.twimg.com/ext_tw_video_thumb/1569990463913852929/pu/img/jtvBzzGtZsaI9lVF.jpg")</f>
        <v>https://pbs.twimg.com/ext_tw_video_thumb/1569990463913852929/pu/img/jtvBzzGtZsaI9lVF.jpg</v>
      </c>
      <c r="W260" s="78">
        <v>44818.54268518519</v>
      </c>
      <c r="X260" s="84">
        <v>44818</v>
      </c>
      <c r="Y260" s="81" t="s">
        <v>1067</v>
      </c>
      <c r="Z260" s="79" t="str">
        <f>HYPERLINK("https://twitter.com/witch_d0ct0r_/status/1570035001533825024")</f>
        <v>https://twitter.com/witch_d0ct0r_/status/1570035001533825024</v>
      </c>
      <c r="AA260" s="76"/>
      <c r="AB260" s="76"/>
      <c r="AC260" s="81" t="s">
        <v>1398</v>
      </c>
      <c r="AD260" s="76"/>
      <c r="AE260" s="76" t="b">
        <v>0</v>
      </c>
      <c r="AF260" s="76">
        <v>0</v>
      </c>
      <c r="AG260" s="81" t="s">
        <v>1674</v>
      </c>
      <c r="AH260" s="76" t="b">
        <v>0</v>
      </c>
      <c r="AI260" s="76" t="s">
        <v>1772</v>
      </c>
      <c r="AJ260" s="76"/>
      <c r="AK260" s="81" t="s">
        <v>1674</v>
      </c>
      <c r="AL260" s="76" t="b">
        <v>0</v>
      </c>
      <c r="AM260" s="76">
        <v>1</v>
      </c>
      <c r="AN260" s="81" t="s">
        <v>1563</v>
      </c>
      <c r="AO260" s="81" t="s">
        <v>1809</v>
      </c>
      <c r="AP260" s="76" t="b">
        <v>0</v>
      </c>
      <c r="AQ260" s="81" t="s">
        <v>1563</v>
      </c>
      <c r="AR260" s="76" t="s">
        <v>219</v>
      </c>
      <c r="AS260" s="76">
        <v>0</v>
      </c>
      <c r="AT260" s="76">
        <v>0</v>
      </c>
      <c r="AU260" s="76"/>
      <c r="AV260" s="76"/>
      <c r="AW260" s="76"/>
      <c r="AX260" s="76"/>
      <c r="AY260" s="76"/>
      <c r="AZ260" s="76"/>
      <c r="BA260" s="76"/>
      <c r="BB260" s="76"/>
      <c r="BC260">
        <v>1</v>
      </c>
      <c r="BD260" s="75" t="str">
        <f>REPLACE(INDEX(GroupVertices[Group],MATCH(Edges[[#This Row],[Vertex 1]],GroupVertices[Vertex],0)),1,1,"")</f>
        <v>1</v>
      </c>
      <c r="BE260" s="75" t="str">
        <f>REPLACE(INDEX(GroupVertices[Group],MATCH(Edges[[#This Row],[Vertex 2]],GroupVertices[Vertex],0)),1,1,"")</f>
        <v>1</v>
      </c>
      <c r="BF260" s="45">
        <v>0</v>
      </c>
      <c r="BG260" s="46">
        <v>0</v>
      </c>
      <c r="BH260" s="45">
        <v>0</v>
      </c>
      <c r="BI260" s="46">
        <v>0</v>
      </c>
      <c r="BJ260" s="45">
        <v>0</v>
      </c>
      <c r="BK260" s="46">
        <v>0</v>
      </c>
      <c r="BL260" s="45">
        <v>18</v>
      </c>
      <c r="BM260" s="46">
        <v>100</v>
      </c>
      <c r="BN260" s="45">
        <v>18</v>
      </c>
    </row>
    <row r="261" spans="1:66" ht="15">
      <c r="A261" s="61" t="s">
        <v>390</v>
      </c>
      <c r="B261" s="61" t="s">
        <v>536</v>
      </c>
      <c r="C261" s="62" t="s">
        <v>4688</v>
      </c>
      <c r="D261" s="63">
        <v>5</v>
      </c>
      <c r="E261" s="62"/>
      <c r="F261" s="65">
        <v>50</v>
      </c>
      <c r="G261" s="62"/>
      <c r="H261" s="66"/>
      <c r="I261" s="67"/>
      <c r="J261" s="67"/>
      <c r="K261" s="31" t="s">
        <v>65</v>
      </c>
      <c r="L261" s="68">
        <v>261</v>
      </c>
      <c r="M261" s="68"/>
      <c r="N261" s="69"/>
      <c r="O261" s="76" t="s">
        <v>587</v>
      </c>
      <c r="P261" s="78">
        <v>44818.62299768518</v>
      </c>
      <c r="Q261" s="76" t="s">
        <v>701</v>
      </c>
      <c r="R261" s="76"/>
      <c r="S261" s="76"/>
      <c r="T261" s="81" t="s">
        <v>795</v>
      </c>
      <c r="U261" s="76"/>
      <c r="V261" s="79" t="str">
        <f>HYPERLINK("https://pbs.twimg.com/profile_images/1570054599981031427/WIkI4FNT_normal.jpg")</f>
        <v>https://pbs.twimg.com/profile_images/1570054599981031427/WIkI4FNT_normal.jpg</v>
      </c>
      <c r="W261" s="78">
        <v>44818.62299768518</v>
      </c>
      <c r="X261" s="84">
        <v>44818</v>
      </c>
      <c r="Y261" s="81" t="s">
        <v>1068</v>
      </c>
      <c r="Z261" s="79" t="str">
        <f>HYPERLINK("https://twitter.com/lux_edwards/status/1570064105083441153")</f>
        <v>https://twitter.com/lux_edwards/status/1570064105083441153</v>
      </c>
      <c r="AA261" s="76"/>
      <c r="AB261" s="76"/>
      <c r="AC261" s="81" t="s">
        <v>1399</v>
      </c>
      <c r="AD261" s="81" t="s">
        <v>1621</v>
      </c>
      <c r="AE261" s="76" t="b">
        <v>0</v>
      </c>
      <c r="AF261" s="76">
        <v>0</v>
      </c>
      <c r="AG261" s="81" t="s">
        <v>1731</v>
      </c>
      <c r="AH261" s="76" t="b">
        <v>0</v>
      </c>
      <c r="AI261" s="76" t="s">
        <v>1773</v>
      </c>
      <c r="AJ261" s="76"/>
      <c r="AK261" s="81" t="s">
        <v>1674</v>
      </c>
      <c r="AL261" s="76" t="b">
        <v>0</v>
      </c>
      <c r="AM261" s="76">
        <v>0</v>
      </c>
      <c r="AN261" s="81" t="s">
        <v>1674</v>
      </c>
      <c r="AO261" s="81" t="s">
        <v>1807</v>
      </c>
      <c r="AP261" s="76" t="b">
        <v>0</v>
      </c>
      <c r="AQ261" s="81" t="s">
        <v>1621</v>
      </c>
      <c r="AR261" s="76" t="s">
        <v>219</v>
      </c>
      <c r="AS261" s="76">
        <v>0</v>
      </c>
      <c r="AT261" s="76">
        <v>0</v>
      </c>
      <c r="AU261" s="76"/>
      <c r="AV261" s="76"/>
      <c r="AW261" s="76"/>
      <c r="AX261" s="76"/>
      <c r="AY261" s="76"/>
      <c r="AZ261" s="76"/>
      <c r="BA261" s="76"/>
      <c r="BB261" s="76"/>
      <c r="BC261">
        <v>1</v>
      </c>
      <c r="BD261" s="75" t="str">
        <f>REPLACE(INDEX(GroupVertices[Group],MATCH(Edges[[#This Row],[Vertex 1]],GroupVertices[Vertex],0)),1,1,"")</f>
        <v>42</v>
      </c>
      <c r="BE261" s="75" t="str">
        <f>REPLACE(INDEX(GroupVertices[Group],MATCH(Edges[[#This Row],[Vertex 2]],GroupVertices[Vertex],0)),1,1,"")</f>
        <v>42</v>
      </c>
      <c r="BF261" s="45">
        <v>0</v>
      </c>
      <c r="BG261" s="46">
        <v>0</v>
      </c>
      <c r="BH261" s="45">
        <v>0</v>
      </c>
      <c r="BI261" s="46">
        <v>0</v>
      </c>
      <c r="BJ261" s="45">
        <v>0</v>
      </c>
      <c r="BK261" s="46">
        <v>0</v>
      </c>
      <c r="BL261" s="45">
        <v>2</v>
      </c>
      <c r="BM261" s="46">
        <v>100</v>
      </c>
      <c r="BN261" s="45">
        <v>2</v>
      </c>
    </row>
    <row r="262" spans="1:66" ht="15">
      <c r="A262" s="61" t="s">
        <v>391</v>
      </c>
      <c r="B262" s="61" t="s">
        <v>414</v>
      </c>
      <c r="C262" s="62" t="s">
        <v>4689</v>
      </c>
      <c r="D262" s="63">
        <v>5.416666666666667</v>
      </c>
      <c r="E262" s="62"/>
      <c r="F262" s="65">
        <v>47.083333333333336</v>
      </c>
      <c r="G262" s="62"/>
      <c r="H262" s="66"/>
      <c r="I262" s="67"/>
      <c r="J262" s="67"/>
      <c r="K262" s="31" t="s">
        <v>65</v>
      </c>
      <c r="L262" s="68">
        <v>262</v>
      </c>
      <c r="M262" s="68"/>
      <c r="N262" s="69"/>
      <c r="O262" s="76" t="s">
        <v>586</v>
      </c>
      <c r="P262" s="78">
        <v>44818.541446759256</v>
      </c>
      <c r="Q262" s="76" t="s">
        <v>702</v>
      </c>
      <c r="R262" s="76"/>
      <c r="S262" s="76"/>
      <c r="T262" s="81" t="s">
        <v>850</v>
      </c>
      <c r="U262" s="79" t="str">
        <f>HYPERLINK("https://pbs.twimg.com/media/FcnDhrKWQAAs5gQ.jpg")</f>
        <v>https://pbs.twimg.com/media/FcnDhrKWQAAs5gQ.jpg</v>
      </c>
      <c r="V262" s="79" t="str">
        <f>HYPERLINK("https://pbs.twimg.com/media/FcnDhrKWQAAs5gQ.jpg")</f>
        <v>https://pbs.twimg.com/media/FcnDhrKWQAAs5gQ.jpg</v>
      </c>
      <c r="W262" s="78">
        <v>44818.541446759256</v>
      </c>
      <c r="X262" s="84">
        <v>44818</v>
      </c>
      <c r="Y262" s="81" t="s">
        <v>1069</v>
      </c>
      <c r="Z262" s="79" t="str">
        <f>HYPERLINK("https://twitter.com/ozdenozhan2/status/1570034550562062338")</f>
        <v>https://twitter.com/ozdenozhan2/status/1570034550562062338</v>
      </c>
      <c r="AA262" s="76"/>
      <c r="AB262" s="76"/>
      <c r="AC262" s="81" t="s">
        <v>1400</v>
      </c>
      <c r="AD262" s="76"/>
      <c r="AE262" s="76" t="b">
        <v>0</v>
      </c>
      <c r="AF262" s="76">
        <v>0</v>
      </c>
      <c r="AG262" s="81" t="s">
        <v>1674</v>
      </c>
      <c r="AH262" s="76" t="b">
        <v>0</v>
      </c>
      <c r="AI262" s="76" t="s">
        <v>1771</v>
      </c>
      <c r="AJ262" s="76"/>
      <c r="AK262" s="81" t="s">
        <v>1674</v>
      </c>
      <c r="AL262" s="76" t="b">
        <v>0</v>
      </c>
      <c r="AM262" s="76">
        <v>2</v>
      </c>
      <c r="AN262" s="81" t="s">
        <v>1456</v>
      </c>
      <c r="AO262" s="81" t="s">
        <v>1807</v>
      </c>
      <c r="AP262" s="76" t="b">
        <v>0</v>
      </c>
      <c r="AQ262" s="81" t="s">
        <v>1456</v>
      </c>
      <c r="AR262" s="76" t="s">
        <v>219</v>
      </c>
      <c r="AS262" s="76">
        <v>0</v>
      </c>
      <c r="AT262" s="76">
        <v>0</v>
      </c>
      <c r="AU262" s="76"/>
      <c r="AV262" s="76"/>
      <c r="AW262" s="76"/>
      <c r="AX262" s="76"/>
      <c r="AY262" s="76"/>
      <c r="AZ262" s="76"/>
      <c r="BA262" s="76"/>
      <c r="BB262" s="76"/>
      <c r="BC262">
        <v>2</v>
      </c>
      <c r="BD262" s="75" t="str">
        <f>REPLACE(INDEX(GroupVertices[Group],MATCH(Edges[[#This Row],[Vertex 1]],GroupVertices[Vertex],0)),1,1,"")</f>
        <v>3</v>
      </c>
      <c r="BE262" s="75" t="str">
        <f>REPLACE(INDEX(GroupVertices[Group],MATCH(Edges[[#This Row],[Vertex 2]],GroupVertices[Vertex],0)),1,1,"")</f>
        <v>3</v>
      </c>
      <c r="BF262" s="45">
        <v>0</v>
      </c>
      <c r="BG262" s="46">
        <v>0</v>
      </c>
      <c r="BH262" s="45">
        <v>0</v>
      </c>
      <c r="BI262" s="46">
        <v>0</v>
      </c>
      <c r="BJ262" s="45">
        <v>0</v>
      </c>
      <c r="BK262" s="46">
        <v>0</v>
      </c>
      <c r="BL262" s="45">
        <v>17</v>
      </c>
      <c r="BM262" s="46">
        <v>100</v>
      </c>
      <c r="BN262" s="45">
        <v>17</v>
      </c>
    </row>
    <row r="263" spans="1:66" ht="15">
      <c r="A263" s="61" t="s">
        <v>391</v>
      </c>
      <c r="B263" s="61" t="s">
        <v>414</v>
      </c>
      <c r="C263" s="62" t="s">
        <v>4689</v>
      </c>
      <c r="D263" s="63">
        <v>5.416666666666667</v>
      </c>
      <c r="E263" s="62"/>
      <c r="F263" s="65">
        <v>47.083333333333336</v>
      </c>
      <c r="G263" s="62"/>
      <c r="H263" s="66"/>
      <c r="I263" s="67"/>
      <c r="J263" s="67"/>
      <c r="K263" s="31" t="s">
        <v>65</v>
      </c>
      <c r="L263" s="68">
        <v>263</v>
      </c>
      <c r="M263" s="68"/>
      <c r="N263" s="69"/>
      <c r="O263" s="76" t="s">
        <v>586</v>
      </c>
      <c r="P263" s="78">
        <v>44818.64164351852</v>
      </c>
      <c r="Q263" s="76" t="s">
        <v>703</v>
      </c>
      <c r="R263" s="76"/>
      <c r="S263" s="76"/>
      <c r="T263" s="81" t="s">
        <v>842</v>
      </c>
      <c r="U263" s="79" t="str">
        <f>HYPERLINK("https://pbs.twimg.com/ext_tw_video_thumb/1570062212479287298/pu/img/ECVQJFVi9S35pAcj.jpg")</f>
        <v>https://pbs.twimg.com/ext_tw_video_thumb/1570062212479287298/pu/img/ECVQJFVi9S35pAcj.jpg</v>
      </c>
      <c r="V263" s="79" t="str">
        <f>HYPERLINK("https://pbs.twimg.com/ext_tw_video_thumb/1570062212479287298/pu/img/ECVQJFVi9S35pAcj.jpg")</f>
        <v>https://pbs.twimg.com/ext_tw_video_thumb/1570062212479287298/pu/img/ECVQJFVi9S35pAcj.jpg</v>
      </c>
      <c r="W263" s="78">
        <v>44818.64164351852</v>
      </c>
      <c r="X263" s="84">
        <v>44818</v>
      </c>
      <c r="Y263" s="81" t="s">
        <v>1070</v>
      </c>
      <c r="Z263" s="79" t="str">
        <f>HYPERLINK("https://twitter.com/ozdenozhan2/status/1570070862602149889")</f>
        <v>https://twitter.com/ozdenozhan2/status/1570070862602149889</v>
      </c>
      <c r="AA263" s="76"/>
      <c r="AB263" s="76"/>
      <c r="AC263" s="81" t="s">
        <v>1401</v>
      </c>
      <c r="AD263" s="76"/>
      <c r="AE263" s="76" t="b">
        <v>0</v>
      </c>
      <c r="AF263" s="76">
        <v>0</v>
      </c>
      <c r="AG263" s="81" t="s">
        <v>1674</v>
      </c>
      <c r="AH263" s="76" t="b">
        <v>0</v>
      </c>
      <c r="AI263" s="76" t="s">
        <v>1771</v>
      </c>
      <c r="AJ263" s="76"/>
      <c r="AK263" s="81" t="s">
        <v>1674</v>
      </c>
      <c r="AL263" s="76" t="b">
        <v>0</v>
      </c>
      <c r="AM263" s="76">
        <v>8</v>
      </c>
      <c r="AN263" s="81" t="s">
        <v>1457</v>
      </c>
      <c r="AO263" s="81" t="s">
        <v>1807</v>
      </c>
      <c r="AP263" s="76" t="b">
        <v>0</v>
      </c>
      <c r="AQ263" s="81" t="s">
        <v>1457</v>
      </c>
      <c r="AR263" s="76" t="s">
        <v>219</v>
      </c>
      <c r="AS263" s="76">
        <v>0</v>
      </c>
      <c r="AT263" s="76">
        <v>0</v>
      </c>
      <c r="AU263" s="76"/>
      <c r="AV263" s="76"/>
      <c r="AW263" s="76"/>
      <c r="AX263" s="76"/>
      <c r="AY263" s="76"/>
      <c r="AZ263" s="76"/>
      <c r="BA263" s="76"/>
      <c r="BB263" s="76"/>
      <c r="BC263">
        <v>2</v>
      </c>
      <c r="BD263" s="75" t="str">
        <f>REPLACE(INDEX(GroupVertices[Group],MATCH(Edges[[#This Row],[Vertex 1]],GroupVertices[Vertex],0)),1,1,"")</f>
        <v>3</v>
      </c>
      <c r="BE263" s="75" t="str">
        <f>REPLACE(INDEX(GroupVertices[Group],MATCH(Edges[[#This Row],[Vertex 2]],GroupVertices[Vertex],0)),1,1,"")</f>
        <v>3</v>
      </c>
      <c r="BF263" s="45">
        <v>0</v>
      </c>
      <c r="BG263" s="46">
        <v>0</v>
      </c>
      <c r="BH263" s="45">
        <v>0</v>
      </c>
      <c r="BI263" s="46">
        <v>0</v>
      </c>
      <c r="BJ263" s="45">
        <v>0</v>
      </c>
      <c r="BK263" s="46">
        <v>0</v>
      </c>
      <c r="BL263" s="45">
        <v>7</v>
      </c>
      <c r="BM263" s="46">
        <v>100</v>
      </c>
      <c r="BN263" s="45">
        <v>7</v>
      </c>
    </row>
    <row r="264" spans="1:66" ht="15">
      <c r="A264" s="61" t="s">
        <v>392</v>
      </c>
      <c r="B264" s="61" t="s">
        <v>414</v>
      </c>
      <c r="C264" s="62" t="s">
        <v>4688</v>
      </c>
      <c r="D264" s="63">
        <v>5</v>
      </c>
      <c r="E264" s="62"/>
      <c r="F264" s="65">
        <v>50</v>
      </c>
      <c r="G264" s="62"/>
      <c r="H264" s="66"/>
      <c r="I264" s="67"/>
      <c r="J264" s="67"/>
      <c r="K264" s="31" t="s">
        <v>65</v>
      </c>
      <c r="L264" s="68">
        <v>264</v>
      </c>
      <c r="M264" s="68"/>
      <c r="N264" s="69"/>
      <c r="O264" s="76" t="s">
        <v>586</v>
      </c>
      <c r="P264" s="78">
        <v>44818.64579861111</v>
      </c>
      <c r="Q264" s="76" t="s">
        <v>703</v>
      </c>
      <c r="R264" s="76"/>
      <c r="S264" s="76"/>
      <c r="T264" s="81" t="s">
        <v>842</v>
      </c>
      <c r="U264" s="79" t="str">
        <f>HYPERLINK("https://pbs.twimg.com/ext_tw_video_thumb/1570062212479287298/pu/img/ECVQJFVi9S35pAcj.jpg")</f>
        <v>https://pbs.twimg.com/ext_tw_video_thumb/1570062212479287298/pu/img/ECVQJFVi9S35pAcj.jpg</v>
      </c>
      <c r="V264" s="79" t="str">
        <f>HYPERLINK("https://pbs.twimg.com/ext_tw_video_thumb/1570062212479287298/pu/img/ECVQJFVi9S35pAcj.jpg")</f>
        <v>https://pbs.twimg.com/ext_tw_video_thumb/1570062212479287298/pu/img/ECVQJFVi9S35pAcj.jpg</v>
      </c>
      <c r="W264" s="78">
        <v>44818.64579861111</v>
      </c>
      <c r="X264" s="84">
        <v>44818</v>
      </c>
      <c r="Y264" s="81" t="s">
        <v>1071</v>
      </c>
      <c r="Z264" s="79" t="str">
        <f>HYPERLINK("https://twitter.com/worldofnorth/status/1570072367061147655")</f>
        <v>https://twitter.com/worldofnorth/status/1570072367061147655</v>
      </c>
      <c r="AA264" s="76"/>
      <c r="AB264" s="76"/>
      <c r="AC264" s="81" t="s">
        <v>1402</v>
      </c>
      <c r="AD264" s="76"/>
      <c r="AE264" s="76" t="b">
        <v>0</v>
      </c>
      <c r="AF264" s="76">
        <v>0</v>
      </c>
      <c r="AG264" s="81" t="s">
        <v>1674</v>
      </c>
      <c r="AH264" s="76" t="b">
        <v>0</v>
      </c>
      <c r="AI264" s="76" t="s">
        <v>1771</v>
      </c>
      <c r="AJ264" s="76"/>
      <c r="AK264" s="81" t="s">
        <v>1674</v>
      </c>
      <c r="AL264" s="76" t="b">
        <v>0</v>
      </c>
      <c r="AM264" s="76">
        <v>8</v>
      </c>
      <c r="AN264" s="81" t="s">
        <v>1457</v>
      </c>
      <c r="AO264" s="81" t="s">
        <v>1808</v>
      </c>
      <c r="AP264" s="76" t="b">
        <v>0</v>
      </c>
      <c r="AQ264" s="81" t="s">
        <v>1457</v>
      </c>
      <c r="AR264" s="76" t="s">
        <v>219</v>
      </c>
      <c r="AS264" s="76">
        <v>0</v>
      </c>
      <c r="AT264" s="76">
        <v>0</v>
      </c>
      <c r="AU264" s="76"/>
      <c r="AV264" s="76"/>
      <c r="AW264" s="76"/>
      <c r="AX264" s="76"/>
      <c r="AY264" s="76"/>
      <c r="AZ264" s="76"/>
      <c r="BA264" s="76"/>
      <c r="BB264" s="76"/>
      <c r="BC264">
        <v>1</v>
      </c>
      <c r="BD264" s="75" t="str">
        <f>REPLACE(INDEX(GroupVertices[Group],MATCH(Edges[[#This Row],[Vertex 1]],GroupVertices[Vertex],0)),1,1,"")</f>
        <v>3</v>
      </c>
      <c r="BE264" s="75" t="str">
        <f>REPLACE(INDEX(GroupVertices[Group],MATCH(Edges[[#This Row],[Vertex 2]],GroupVertices[Vertex],0)),1,1,"")</f>
        <v>3</v>
      </c>
      <c r="BF264" s="45">
        <v>0</v>
      </c>
      <c r="BG264" s="46">
        <v>0</v>
      </c>
      <c r="BH264" s="45">
        <v>0</v>
      </c>
      <c r="BI264" s="46">
        <v>0</v>
      </c>
      <c r="BJ264" s="45">
        <v>0</v>
      </c>
      <c r="BK264" s="46">
        <v>0</v>
      </c>
      <c r="BL264" s="45">
        <v>7</v>
      </c>
      <c r="BM264" s="46">
        <v>100</v>
      </c>
      <c r="BN264" s="45">
        <v>7</v>
      </c>
    </row>
    <row r="265" spans="1:66" ht="15">
      <c r="A265" s="61" t="s">
        <v>393</v>
      </c>
      <c r="B265" s="61" t="s">
        <v>414</v>
      </c>
      <c r="C265" s="62" t="s">
        <v>4688</v>
      </c>
      <c r="D265" s="63">
        <v>5</v>
      </c>
      <c r="E265" s="62"/>
      <c r="F265" s="65">
        <v>50</v>
      </c>
      <c r="G265" s="62"/>
      <c r="H265" s="66"/>
      <c r="I265" s="67"/>
      <c r="J265" s="67"/>
      <c r="K265" s="31" t="s">
        <v>65</v>
      </c>
      <c r="L265" s="68">
        <v>265</v>
      </c>
      <c r="M265" s="68"/>
      <c r="N265" s="69"/>
      <c r="O265" s="76" t="s">
        <v>586</v>
      </c>
      <c r="P265" s="78">
        <v>44818.67502314815</v>
      </c>
      <c r="Q265" s="76" t="s">
        <v>703</v>
      </c>
      <c r="R265" s="76"/>
      <c r="S265" s="76"/>
      <c r="T265" s="81" t="s">
        <v>842</v>
      </c>
      <c r="U265" s="79" t="str">
        <f>HYPERLINK("https://pbs.twimg.com/ext_tw_video_thumb/1570062212479287298/pu/img/ECVQJFVi9S35pAcj.jpg")</f>
        <v>https://pbs.twimg.com/ext_tw_video_thumb/1570062212479287298/pu/img/ECVQJFVi9S35pAcj.jpg</v>
      </c>
      <c r="V265" s="79" t="str">
        <f>HYPERLINK("https://pbs.twimg.com/ext_tw_video_thumb/1570062212479287298/pu/img/ECVQJFVi9S35pAcj.jpg")</f>
        <v>https://pbs.twimg.com/ext_tw_video_thumb/1570062212479287298/pu/img/ECVQJFVi9S35pAcj.jpg</v>
      </c>
      <c r="W265" s="78">
        <v>44818.67502314815</v>
      </c>
      <c r="X265" s="84">
        <v>44818</v>
      </c>
      <c r="Y265" s="81" t="s">
        <v>1072</v>
      </c>
      <c r="Z265" s="79" t="str">
        <f>HYPERLINK("https://twitter.com/1881mka1905/status/1570082956504449026")</f>
        <v>https://twitter.com/1881mka1905/status/1570082956504449026</v>
      </c>
      <c r="AA265" s="76"/>
      <c r="AB265" s="76"/>
      <c r="AC265" s="81" t="s">
        <v>1403</v>
      </c>
      <c r="AD265" s="76"/>
      <c r="AE265" s="76" t="b">
        <v>0</v>
      </c>
      <c r="AF265" s="76">
        <v>0</v>
      </c>
      <c r="AG265" s="81" t="s">
        <v>1674</v>
      </c>
      <c r="AH265" s="76" t="b">
        <v>0</v>
      </c>
      <c r="AI265" s="76" t="s">
        <v>1771</v>
      </c>
      <c r="AJ265" s="76"/>
      <c r="AK265" s="81" t="s">
        <v>1674</v>
      </c>
      <c r="AL265" s="76" t="b">
        <v>0</v>
      </c>
      <c r="AM265" s="76">
        <v>8</v>
      </c>
      <c r="AN265" s="81" t="s">
        <v>1457</v>
      </c>
      <c r="AO265" s="81" t="s">
        <v>1808</v>
      </c>
      <c r="AP265" s="76" t="b">
        <v>0</v>
      </c>
      <c r="AQ265" s="81" t="s">
        <v>1457</v>
      </c>
      <c r="AR265" s="76" t="s">
        <v>219</v>
      </c>
      <c r="AS265" s="76">
        <v>0</v>
      </c>
      <c r="AT265" s="76">
        <v>0</v>
      </c>
      <c r="AU265" s="76"/>
      <c r="AV265" s="76"/>
      <c r="AW265" s="76"/>
      <c r="AX265" s="76"/>
      <c r="AY265" s="76"/>
      <c r="AZ265" s="76"/>
      <c r="BA265" s="76"/>
      <c r="BB265" s="76"/>
      <c r="BC265">
        <v>1</v>
      </c>
      <c r="BD265" s="75" t="str">
        <f>REPLACE(INDEX(GroupVertices[Group],MATCH(Edges[[#This Row],[Vertex 1]],GroupVertices[Vertex],0)),1,1,"")</f>
        <v>3</v>
      </c>
      <c r="BE265" s="75" t="str">
        <f>REPLACE(INDEX(GroupVertices[Group],MATCH(Edges[[#This Row],[Vertex 2]],GroupVertices[Vertex],0)),1,1,"")</f>
        <v>3</v>
      </c>
      <c r="BF265" s="45">
        <v>0</v>
      </c>
      <c r="BG265" s="46">
        <v>0</v>
      </c>
      <c r="BH265" s="45">
        <v>0</v>
      </c>
      <c r="BI265" s="46">
        <v>0</v>
      </c>
      <c r="BJ265" s="45">
        <v>0</v>
      </c>
      <c r="BK265" s="46">
        <v>0</v>
      </c>
      <c r="BL265" s="45">
        <v>7</v>
      </c>
      <c r="BM265" s="46">
        <v>100</v>
      </c>
      <c r="BN265" s="45">
        <v>7</v>
      </c>
    </row>
    <row r="266" spans="1:66" ht="15">
      <c r="A266" s="61" t="s">
        <v>394</v>
      </c>
      <c r="B266" s="61" t="s">
        <v>394</v>
      </c>
      <c r="C266" s="62" t="s">
        <v>4688</v>
      </c>
      <c r="D266" s="63">
        <v>5</v>
      </c>
      <c r="E266" s="62"/>
      <c r="F266" s="65">
        <v>50</v>
      </c>
      <c r="G266" s="62"/>
      <c r="H266" s="66"/>
      <c r="I266" s="67"/>
      <c r="J266" s="67"/>
      <c r="K266" s="31" t="s">
        <v>65</v>
      </c>
      <c r="L266" s="68">
        <v>266</v>
      </c>
      <c r="M266" s="68"/>
      <c r="N266" s="69"/>
      <c r="O266" s="76" t="s">
        <v>219</v>
      </c>
      <c r="P266" s="78">
        <v>44625.76697916666</v>
      </c>
      <c r="Q266" s="76" t="s">
        <v>704</v>
      </c>
      <c r="R266" s="76"/>
      <c r="S266" s="76"/>
      <c r="T266" s="81" t="s">
        <v>851</v>
      </c>
      <c r="U266" s="79" t="str">
        <f>HYPERLINK("https://pbs.twimg.com/media/FNGxlnqaIAAZ7wI.jpg")</f>
        <v>https://pbs.twimg.com/media/FNGxlnqaIAAZ7wI.jpg</v>
      </c>
      <c r="V266" s="79" t="str">
        <f>HYPERLINK("https://pbs.twimg.com/media/FNGxlnqaIAAZ7wI.jpg")</f>
        <v>https://pbs.twimg.com/media/FNGxlnqaIAAZ7wI.jpg</v>
      </c>
      <c r="W266" s="78">
        <v>44625.76697916666</v>
      </c>
      <c r="X266" s="84">
        <v>44625</v>
      </c>
      <c r="Y266" s="81" t="s">
        <v>1073</v>
      </c>
      <c r="Z266" s="79" t="str">
        <f>HYPERLINK("https://twitter.com/alfandioaditya1/status/1500175422939865089")</f>
        <v>https://twitter.com/alfandioaditya1/status/1500175422939865089</v>
      </c>
      <c r="AA266" s="76"/>
      <c r="AB266" s="76"/>
      <c r="AC266" s="81" t="s">
        <v>1404</v>
      </c>
      <c r="AD266" s="76"/>
      <c r="AE266" s="76" t="b">
        <v>0</v>
      </c>
      <c r="AF266" s="76">
        <v>10</v>
      </c>
      <c r="AG266" s="81" t="s">
        <v>1674</v>
      </c>
      <c r="AH266" s="76" t="b">
        <v>0</v>
      </c>
      <c r="AI266" s="76" t="s">
        <v>1772</v>
      </c>
      <c r="AJ266" s="76"/>
      <c r="AK266" s="81" t="s">
        <v>1674</v>
      </c>
      <c r="AL266" s="76" t="b">
        <v>0</v>
      </c>
      <c r="AM266" s="76">
        <v>3</v>
      </c>
      <c r="AN266" s="81" t="s">
        <v>1674</v>
      </c>
      <c r="AO266" s="81" t="s">
        <v>1807</v>
      </c>
      <c r="AP266" s="76" t="b">
        <v>0</v>
      </c>
      <c r="AQ266" s="81" t="s">
        <v>1404</v>
      </c>
      <c r="AR266" s="76" t="s">
        <v>586</v>
      </c>
      <c r="AS266" s="76">
        <v>0</v>
      </c>
      <c r="AT266" s="76">
        <v>0</v>
      </c>
      <c r="AU266" s="76"/>
      <c r="AV266" s="76"/>
      <c r="AW266" s="76"/>
      <c r="AX266" s="76"/>
      <c r="AY266" s="76"/>
      <c r="AZ266" s="76"/>
      <c r="BA266" s="76"/>
      <c r="BB266" s="76"/>
      <c r="BC266">
        <v>1</v>
      </c>
      <c r="BD266" s="75" t="str">
        <f>REPLACE(INDEX(GroupVertices[Group],MATCH(Edges[[#This Row],[Vertex 1]],GroupVertices[Vertex],0)),1,1,"")</f>
        <v>41</v>
      </c>
      <c r="BE266" s="75" t="str">
        <f>REPLACE(INDEX(GroupVertices[Group],MATCH(Edges[[#This Row],[Vertex 2]],GroupVertices[Vertex],0)),1,1,"")</f>
        <v>41</v>
      </c>
      <c r="BF266" s="45">
        <v>2</v>
      </c>
      <c r="BG266" s="46">
        <v>28.571428571428573</v>
      </c>
      <c r="BH266" s="45">
        <v>0</v>
      </c>
      <c r="BI266" s="46">
        <v>0</v>
      </c>
      <c r="BJ266" s="45">
        <v>0</v>
      </c>
      <c r="BK266" s="46">
        <v>0</v>
      </c>
      <c r="BL266" s="45">
        <v>5</v>
      </c>
      <c r="BM266" s="46">
        <v>71.42857142857143</v>
      </c>
      <c r="BN266" s="45">
        <v>7</v>
      </c>
    </row>
    <row r="267" spans="1:66" ht="15">
      <c r="A267" s="61" t="s">
        <v>395</v>
      </c>
      <c r="B267" s="61" t="s">
        <v>394</v>
      </c>
      <c r="C267" s="62" t="s">
        <v>4688</v>
      </c>
      <c r="D267" s="63">
        <v>5</v>
      </c>
      <c r="E267" s="62"/>
      <c r="F267" s="65">
        <v>50</v>
      </c>
      <c r="G267" s="62"/>
      <c r="H267" s="66"/>
      <c r="I267" s="67"/>
      <c r="J267" s="67"/>
      <c r="K267" s="31" t="s">
        <v>65</v>
      </c>
      <c r="L267" s="68">
        <v>267</v>
      </c>
      <c r="M267" s="68"/>
      <c r="N267" s="69"/>
      <c r="O267" s="76" t="s">
        <v>586</v>
      </c>
      <c r="P267" s="78">
        <v>44818.76520833333</v>
      </c>
      <c r="Q267" s="76" t="s">
        <v>704</v>
      </c>
      <c r="R267" s="76"/>
      <c r="S267" s="76"/>
      <c r="T267" s="81" t="s">
        <v>851</v>
      </c>
      <c r="U267" s="79" t="str">
        <f>HYPERLINK("https://pbs.twimg.com/media/FNGxlnqaIAAZ7wI.jpg")</f>
        <v>https://pbs.twimg.com/media/FNGxlnqaIAAZ7wI.jpg</v>
      </c>
      <c r="V267" s="79" t="str">
        <f>HYPERLINK("https://pbs.twimg.com/media/FNGxlnqaIAAZ7wI.jpg")</f>
        <v>https://pbs.twimg.com/media/FNGxlnqaIAAZ7wI.jpg</v>
      </c>
      <c r="W267" s="78">
        <v>44818.76520833333</v>
      </c>
      <c r="X267" s="84">
        <v>44818</v>
      </c>
      <c r="Y267" s="81" t="s">
        <v>1074</v>
      </c>
      <c r="Z267" s="79" t="str">
        <f>HYPERLINK("https://twitter.com/rilawolf/status/1570115638416363521")</f>
        <v>https://twitter.com/rilawolf/status/1570115638416363521</v>
      </c>
      <c r="AA267" s="76"/>
      <c r="AB267" s="76"/>
      <c r="AC267" s="81" t="s">
        <v>1405</v>
      </c>
      <c r="AD267" s="76"/>
      <c r="AE267" s="76" t="b">
        <v>0</v>
      </c>
      <c r="AF267" s="76">
        <v>0</v>
      </c>
      <c r="AG267" s="81" t="s">
        <v>1674</v>
      </c>
      <c r="AH267" s="76" t="b">
        <v>0</v>
      </c>
      <c r="AI267" s="76" t="s">
        <v>1772</v>
      </c>
      <c r="AJ267" s="76"/>
      <c r="AK267" s="81" t="s">
        <v>1674</v>
      </c>
      <c r="AL267" s="76" t="b">
        <v>0</v>
      </c>
      <c r="AM267" s="76">
        <v>3</v>
      </c>
      <c r="AN267" s="81" t="s">
        <v>1404</v>
      </c>
      <c r="AO267" s="81" t="s">
        <v>1807</v>
      </c>
      <c r="AP267" s="76" t="b">
        <v>0</v>
      </c>
      <c r="AQ267" s="81" t="s">
        <v>1404</v>
      </c>
      <c r="AR267" s="76" t="s">
        <v>219</v>
      </c>
      <c r="AS267" s="76">
        <v>0</v>
      </c>
      <c r="AT267" s="76">
        <v>0</v>
      </c>
      <c r="AU267" s="76"/>
      <c r="AV267" s="76"/>
      <c r="AW267" s="76"/>
      <c r="AX267" s="76"/>
      <c r="AY267" s="76"/>
      <c r="AZ267" s="76"/>
      <c r="BA267" s="76"/>
      <c r="BB267" s="76"/>
      <c r="BC267">
        <v>1</v>
      </c>
      <c r="BD267" s="75" t="str">
        <f>REPLACE(INDEX(GroupVertices[Group],MATCH(Edges[[#This Row],[Vertex 1]],GroupVertices[Vertex],0)),1,1,"")</f>
        <v>41</v>
      </c>
      <c r="BE267" s="75" t="str">
        <f>REPLACE(INDEX(GroupVertices[Group],MATCH(Edges[[#This Row],[Vertex 2]],GroupVertices[Vertex],0)),1,1,"")</f>
        <v>41</v>
      </c>
      <c r="BF267" s="45">
        <v>2</v>
      </c>
      <c r="BG267" s="46">
        <v>28.571428571428573</v>
      </c>
      <c r="BH267" s="45">
        <v>0</v>
      </c>
      <c r="BI267" s="46">
        <v>0</v>
      </c>
      <c r="BJ267" s="45">
        <v>0</v>
      </c>
      <c r="BK267" s="46">
        <v>0</v>
      </c>
      <c r="BL267" s="45">
        <v>5</v>
      </c>
      <c r="BM267" s="46">
        <v>71.42857142857143</v>
      </c>
      <c r="BN267" s="45">
        <v>7</v>
      </c>
    </row>
    <row r="268" spans="1:66" ht="15">
      <c r="A268" s="61" t="s">
        <v>396</v>
      </c>
      <c r="B268" s="61" t="s">
        <v>446</v>
      </c>
      <c r="C268" s="62" t="s">
        <v>4688</v>
      </c>
      <c r="D268" s="63">
        <v>5</v>
      </c>
      <c r="E268" s="62"/>
      <c r="F268" s="65">
        <v>50</v>
      </c>
      <c r="G268" s="62"/>
      <c r="H268" s="66"/>
      <c r="I268" s="67"/>
      <c r="J268" s="67"/>
      <c r="K268" s="31" t="s">
        <v>65</v>
      </c>
      <c r="L268" s="68">
        <v>268</v>
      </c>
      <c r="M268" s="68"/>
      <c r="N268" s="69"/>
      <c r="O268" s="76" t="s">
        <v>588</v>
      </c>
      <c r="P268" s="78">
        <v>44817.88494212963</v>
      </c>
      <c r="Q268" s="76" t="s">
        <v>705</v>
      </c>
      <c r="R268" s="79" t="str">
        <f>HYPERLINK("https://roma.mid.ru/it/press-centre/commento_della_rappresentante_ufficiale_del_ministero_degli_affari_esteri_della_federazione_russa_ma/")</f>
        <v>https://roma.mid.ru/it/press-centre/commento_della_rappresentante_ufficiale_del_ministero_degli_affari_esteri_della_federazione_russa_ma/</v>
      </c>
      <c r="S268" s="76" t="s">
        <v>787</v>
      </c>
      <c r="T268" s="81" t="s">
        <v>852</v>
      </c>
      <c r="U268" s="79" t="str">
        <f>HYPERLINK("https://pbs.twimg.com/ext_tw_video_thumb/1569796601345982466/pu/img/t3-5Jrh5GPemmrR0.jpg")</f>
        <v>https://pbs.twimg.com/ext_tw_video_thumb/1569796601345982466/pu/img/t3-5Jrh5GPemmrR0.jpg</v>
      </c>
      <c r="V268" s="79" t="str">
        <f>HYPERLINK("https://pbs.twimg.com/ext_tw_video_thumb/1569796601345982466/pu/img/t3-5Jrh5GPemmrR0.jpg")</f>
        <v>https://pbs.twimg.com/ext_tw_video_thumb/1569796601345982466/pu/img/t3-5Jrh5GPemmrR0.jpg</v>
      </c>
      <c r="W268" s="78">
        <v>44817.88494212963</v>
      </c>
      <c r="X268" s="84">
        <v>44817</v>
      </c>
      <c r="Y268" s="81" t="s">
        <v>1075</v>
      </c>
      <c r="Z268" s="79" t="str">
        <f>HYPERLINK("https://twitter.com/lucadaini1/status/1569796640101519361")</f>
        <v>https://twitter.com/lucadaini1/status/1569796640101519361</v>
      </c>
      <c r="AA268" s="76"/>
      <c r="AB268" s="76"/>
      <c r="AC268" s="81" t="s">
        <v>1406</v>
      </c>
      <c r="AD268" s="76"/>
      <c r="AE268" s="76" t="b">
        <v>0</v>
      </c>
      <c r="AF268" s="76">
        <v>0</v>
      </c>
      <c r="AG268" s="81" t="s">
        <v>1732</v>
      </c>
      <c r="AH268" s="76" t="b">
        <v>0</v>
      </c>
      <c r="AI268" s="76" t="s">
        <v>1776</v>
      </c>
      <c r="AJ268" s="76"/>
      <c r="AK268" s="81" t="s">
        <v>1674</v>
      </c>
      <c r="AL268" s="76" t="b">
        <v>0</v>
      </c>
      <c r="AM268" s="76">
        <v>0</v>
      </c>
      <c r="AN268" s="81" t="s">
        <v>1674</v>
      </c>
      <c r="AO268" s="81" t="s">
        <v>1809</v>
      </c>
      <c r="AP268" s="76" t="b">
        <v>0</v>
      </c>
      <c r="AQ268" s="81" t="s">
        <v>1406</v>
      </c>
      <c r="AR268" s="76" t="s">
        <v>219</v>
      </c>
      <c r="AS268" s="76">
        <v>0</v>
      </c>
      <c r="AT268" s="76">
        <v>0</v>
      </c>
      <c r="AU268" s="76"/>
      <c r="AV268" s="76"/>
      <c r="AW268" s="76"/>
      <c r="AX268" s="76"/>
      <c r="AY268" s="76"/>
      <c r="AZ268" s="76"/>
      <c r="BA268" s="76"/>
      <c r="BB268" s="76"/>
      <c r="BC268">
        <v>1</v>
      </c>
      <c r="BD268" s="75" t="str">
        <f>REPLACE(INDEX(GroupVertices[Group],MATCH(Edges[[#This Row],[Vertex 1]],GroupVertices[Vertex],0)),1,1,"")</f>
        <v>1</v>
      </c>
      <c r="BE268" s="75" t="str">
        <f>REPLACE(INDEX(GroupVertices[Group],MATCH(Edges[[#This Row],[Vertex 2]],GroupVertices[Vertex],0)),1,1,"")</f>
        <v>6</v>
      </c>
      <c r="BF268" s="45"/>
      <c r="BG268" s="46"/>
      <c r="BH268" s="45"/>
      <c r="BI268" s="46"/>
      <c r="BJ268" s="45"/>
      <c r="BK268" s="46"/>
      <c r="BL268" s="45"/>
      <c r="BM268" s="46"/>
      <c r="BN268" s="45"/>
    </row>
    <row r="269" spans="1:66" ht="15">
      <c r="A269" s="61" t="s">
        <v>396</v>
      </c>
      <c r="B269" s="61" t="s">
        <v>537</v>
      </c>
      <c r="C269" s="62" t="s">
        <v>4688</v>
      </c>
      <c r="D269" s="63">
        <v>5</v>
      </c>
      <c r="E269" s="62"/>
      <c r="F269" s="65">
        <v>50</v>
      </c>
      <c r="G269" s="62"/>
      <c r="H269" s="66"/>
      <c r="I269" s="67"/>
      <c r="J269" s="67"/>
      <c r="K269" s="31" t="s">
        <v>65</v>
      </c>
      <c r="L269" s="68">
        <v>269</v>
      </c>
      <c r="M269" s="68"/>
      <c r="N269" s="69"/>
      <c r="O269" s="76" t="s">
        <v>588</v>
      </c>
      <c r="P269" s="78">
        <v>44817.88494212963</v>
      </c>
      <c r="Q269" s="76" t="s">
        <v>705</v>
      </c>
      <c r="R269" s="79" t="str">
        <f>HYPERLINK("https://roma.mid.ru/it/press-centre/commento_della_rappresentante_ufficiale_del_ministero_degli_affari_esteri_della_federazione_russa_ma/")</f>
        <v>https://roma.mid.ru/it/press-centre/commento_della_rappresentante_ufficiale_del_ministero_degli_affari_esteri_della_federazione_russa_ma/</v>
      </c>
      <c r="S269" s="76" t="s">
        <v>787</v>
      </c>
      <c r="T269" s="81" t="s">
        <v>852</v>
      </c>
      <c r="U269" s="79" t="str">
        <f>HYPERLINK("https://pbs.twimg.com/ext_tw_video_thumb/1569796601345982466/pu/img/t3-5Jrh5GPemmrR0.jpg")</f>
        <v>https://pbs.twimg.com/ext_tw_video_thumb/1569796601345982466/pu/img/t3-5Jrh5GPemmrR0.jpg</v>
      </c>
      <c r="V269" s="79" t="str">
        <f>HYPERLINK("https://pbs.twimg.com/ext_tw_video_thumb/1569796601345982466/pu/img/t3-5Jrh5GPemmrR0.jpg")</f>
        <v>https://pbs.twimg.com/ext_tw_video_thumb/1569796601345982466/pu/img/t3-5Jrh5GPemmrR0.jpg</v>
      </c>
      <c r="W269" s="78">
        <v>44817.88494212963</v>
      </c>
      <c r="X269" s="84">
        <v>44817</v>
      </c>
      <c r="Y269" s="81" t="s">
        <v>1075</v>
      </c>
      <c r="Z269" s="79" t="str">
        <f>HYPERLINK("https://twitter.com/lucadaini1/status/1569796640101519361")</f>
        <v>https://twitter.com/lucadaini1/status/1569796640101519361</v>
      </c>
      <c r="AA269" s="76"/>
      <c r="AB269" s="76"/>
      <c r="AC269" s="81" t="s">
        <v>1406</v>
      </c>
      <c r="AD269" s="76"/>
      <c r="AE269" s="76" t="b">
        <v>0</v>
      </c>
      <c r="AF269" s="76">
        <v>0</v>
      </c>
      <c r="AG269" s="81" t="s">
        <v>1732</v>
      </c>
      <c r="AH269" s="76" t="b">
        <v>0</v>
      </c>
      <c r="AI269" s="76" t="s">
        <v>1776</v>
      </c>
      <c r="AJ269" s="76"/>
      <c r="AK269" s="81" t="s">
        <v>1674</v>
      </c>
      <c r="AL269" s="76" t="b">
        <v>0</v>
      </c>
      <c r="AM269" s="76">
        <v>0</v>
      </c>
      <c r="AN269" s="81" t="s">
        <v>1674</v>
      </c>
      <c r="AO269" s="81" t="s">
        <v>1809</v>
      </c>
      <c r="AP269" s="76" t="b">
        <v>0</v>
      </c>
      <c r="AQ269" s="81" t="s">
        <v>1406</v>
      </c>
      <c r="AR269" s="76" t="s">
        <v>219</v>
      </c>
      <c r="AS269" s="76">
        <v>0</v>
      </c>
      <c r="AT269" s="76">
        <v>0</v>
      </c>
      <c r="AU269" s="76"/>
      <c r="AV269" s="76"/>
      <c r="AW269" s="76"/>
      <c r="AX269" s="76"/>
      <c r="AY269" s="76"/>
      <c r="AZ269" s="76"/>
      <c r="BA269" s="76"/>
      <c r="BB269" s="76"/>
      <c r="BC269">
        <v>1</v>
      </c>
      <c r="BD269" s="75" t="str">
        <f>REPLACE(INDEX(GroupVertices[Group],MATCH(Edges[[#This Row],[Vertex 1]],GroupVertices[Vertex],0)),1,1,"")</f>
        <v>1</v>
      </c>
      <c r="BE269" s="75" t="str">
        <f>REPLACE(INDEX(GroupVertices[Group],MATCH(Edges[[#This Row],[Vertex 2]],GroupVertices[Vertex],0)),1,1,"")</f>
        <v>1</v>
      </c>
      <c r="BF269" s="45"/>
      <c r="BG269" s="46"/>
      <c r="BH269" s="45"/>
      <c r="BI269" s="46"/>
      <c r="BJ269" s="45"/>
      <c r="BK269" s="46"/>
      <c r="BL269" s="45"/>
      <c r="BM269" s="46"/>
      <c r="BN269" s="45"/>
    </row>
    <row r="270" spans="1:66" ht="15">
      <c r="A270" s="61" t="s">
        <v>396</v>
      </c>
      <c r="B270" s="61" t="s">
        <v>538</v>
      </c>
      <c r="C270" s="62" t="s">
        <v>4688</v>
      </c>
      <c r="D270" s="63">
        <v>5</v>
      </c>
      <c r="E270" s="62"/>
      <c r="F270" s="65">
        <v>50</v>
      </c>
      <c r="G270" s="62"/>
      <c r="H270" s="66"/>
      <c r="I270" s="67"/>
      <c r="J270" s="67"/>
      <c r="K270" s="31" t="s">
        <v>65</v>
      </c>
      <c r="L270" s="68">
        <v>270</v>
      </c>
      <c r="M270" s="68"/>
      <c r="N270" s="69"/>
      <c r="O270" s="76" t="s">
        <v>588</v>
      </c>
      <c r="P270" s="78">
        <v>44817.88494212963</v>
      </c>
      <c r="Q270" s="76" t="s">
        <v>705</v>
      </c>
      <c r="R270" s="79" t="str">
        <f>HYPERLINK("https://roma.mid.ru/it/press-centre/commento_della_rappresentante_ufficiale_del_ministero_degli_affari_esteri_della_federazione_russa_ma/")</f>
        <v>https://roma.mid.ru/it/press-centre/commento_della_rappresentante_ufficiale_del_ministero_degli_affari_esteri_della_federazione_russa_ma/</v>
      </c>
      <c r="S270" s="76" t="s">
        <v>787</v>
      </c>
      <c r="T270" s="81" t="s">
        <v>852</v>
      </c>
      <c r="U270" s="79" t="str">
        <f>HYPERLINK("https://pbs.twimg.com/ext_tw_video_thumb/1569796601345982466/pu/img/t3-5Jrh5GPemmrR0.jpg")</f>
        <v>https://pbs.twimg.com/ext_tw_video_thumb/1569796601345982466/pu/img/t3-5Jrh5GPemmrR0.jpg</v>
      </c>
      <c r="V270" s="79" t="str">
        <f>HYPERLINK("https://pbs.twimg.com/ext_tw_video_thumb/1569796601345982466/pu/img/t3-5Jrh5GPemmrR0.jpg")</f>
        <v>https://pbs.twimg.com/ext_tw_video_thumb/1569796601345982466/pu/img/t3-5Jrh5GPemmrR0.jpg</v>
      </c>
      <c r="W270" s="78">
        <v>44817.88494212963</v>
      </c>
      <c r="X270" s="84">
        <v>44817</v>
      </c>
      <c r="Y270" s="81" t="s">
        <v>1075</v>
      </c>
      <c r="Z270" s="79" t="str">
        <f>HYPERLINK("https://twitter.com/lucadaini1/status/1569796640101519361")</f>
        <v>https://twitter.com/lucadaini1/status/1569796640101519361</v>
      </c>
      <c r="AA270" s="76"/>
      <c r="AB270" s="76"/>
      <c r="AC270" s="81" t="s">
        <v>1406</v>
      </c>
      <c r="AD270" s="76"/>
      <c r="AE270" s="76" t="b">
        <v>0</v>
      </c>
      <c r="AF270" s="76">
        <v>0</v>
      </c>
      <c r="AG270" s="81" t="s">
        <v>1732</v>
      </c>
      <c r="AH270" s="76" t="b">
        <v>0</v>
      </c>
      <c r="AI270" s="76" t="s">
        <v>1776</v>
      </c>
      <c r="AJ270" s="76"/>
      <c r="AK270" s="81" t="s">
        <v>1674</v>
      </c>
      <c r="AL270" s="76" t="b">
        <v>0</v>
      </c>
      <c r="AM270" s="76">
        <v>0</v>
      </c>
      <c r="AN270" s="81" t="s">
        <v>1674</v>
      </c>
      <c r="AO270" s="81" t="s">
        <v>1809</v>
      </c>
      <c r="AP270" s="76" t="b">
        <v>0</v>
      </c>
      <c r="AQ270" s="81" t="s">
        <v>1406</v>
      </c>
      <c r="AR270" s="76" t="s">
        <v>219</v>
      </c>
      <c r="AS270" s="76">
        <v>0</v>
      </c>
      <c r="AT270" s="76">
        <v>0</v>
      </c>
      <c r="AU270" s="76"/>
      <c r="AV270" s="76"/>
      <c r="AW270" s="76"/>
      <c r="AX270" s="76"/>
      <c r="AY270" s="76"/>
      <c r="AZ270" s="76"/>
      <c r="BA270" s="76"/>
      <c r="BB270" s="76"/>
      <c r="BC270">
        <v>1</v>
      </c>
      <c r="BD270" s="75" t="str">
        <f>REPLACE(INDEX(GroupVertices[Group],MATCH(Edges[[#This Row],[Vertex 1]],GroupVertices[Vertex],0)),1,1,"")</f>
        <v>1</v>
      </c>
      <c r="BE270" s="75" t="str">
        <f>REPLACE(INDEX(GroupVertices[Group],MATCH(Edges[[#This Row],[Vertex 2]],GroupVertices[Vertex],0)),1,1,"")</f>
        <v>1</v>
      </c>
      <c r="BF270" s="45"/>
      <c r="BG270" s="46"/>
      <c r="BH270" s="45"/>
      <c r="BI270" s="46"/>
      <c r="BJ270" s="45"/>
      <c r="BK270" s="46"/>
      <c r="BL270" s="45"/>
      <c r="BM270" s="46"/>
      <c r="BN270" s="45"/>
    </row>
    <row r="271" spans="1:66" ht="15">
      <c r="A271" s="61" t="s">
        <v>396</v>
      </c>
      <c r="B271" s="61" t="s">
        <v>539</v>
      </c>
      <c r="C271" s="62" t="s">
        <v>4688</v>
      </c>
      <c r="D271" s="63">
        <v>5</v>
      </c>
      <c r="E271" s="62"/>
      <c r="F271" s="65">
        <v>50</v>
      </c>
      <c r="G271" s="62"/>
      <c r="H271" s="66"/>
      <c r="I271" s="67"/>
      <c r="J271" s="67"/>
      <c r="K271" s="31" t="s">
        <v>65</v>
      </c>
      <c r="L271" s="68">
        <v>271</v>
      </c>
      <c r="M271" s="68"/>
      <c r="N271" s="69"/>
      <c r="O271" s="76" t="s">
        <v>587</v>
      </c>
      <c r="P271" s="78">
        <v>44817.88494212963</v>
      </c>
      <c r="Q271" s="76" t="s">
        <v>705</v>
      </c>
      <c r="R271" s="79" t="str">
        <f>HYPERLINK("https://roma.mid.ru/it/press-centre/commento_della_rappresentante_ufficiale_del_ministero_degli_affari_esteri_della_federazione_russa_ma/")</f>
        <v>https://roma.mid.ru/it/press-centre/commento_della_rappresentante_ufficiale_del_ministero_degli_affari_esteri_della_federazione_russa_ma/</v>
      </c>
      <c r="S271" s="76" t="s">
        <v>787</v>
      </c>
      <c r="T271" s="81" t="s">
        <v>852</v>
      </c>
      <c r="U271" s="79" t="str">
        <f>HYPERLINK("https://pbs.twimg.com/ext_tw_video_thumb/1569796601345982466/pu/img/t3-5Jrh5GPemmrR0.jpg")</f>
        <v>https://pbs.twimg.com/ext_tw_video_thumb/1569796601345982466/pu/img/t3-5Jrh5GPemmrR0.jpg</v>
      </c>
      <c r="V271" s="79" t="str">
        <f>HYPERLINK("https://pbs.twimg.com/ext_tw_video_thumb/1569796601345982466/pu/img/t3-5Jrh5GPemmrR0.jpg")</f>
        <v>https://pbs.twimg.com/ext_tw_video_thumb/1569796601345982466/pu/img/t3-5Jrh5GPemmrR0.jpg</v>
      </c>
      <c r="W271" s="78">
        <v>44817.88494212963</v>
      </c>
      <c r="X271" s="84">
        <v>44817</v>
      </c>
      <c r="Y271" s="81" t="s">
        <v>1075</v>
      </c>
      <c r="Z271" s="79" t="str">
        <f>HYPERLINK("https://twitter.com/lucadaini1/status/1569796640101519361")</f>
        <v>https://twitter.com/lucadaini1/status/1569796640101519361</v>
      </c>
      <c r="AA271" s="76"/>
      <c r="AB271" s="76"/>
      <c r="AC271" s="81" t="s">
        <v>1406</v>
      </c>
      <c r="AD271" s="76"/>
      <c r="AE271" s="76" t="b">
        <v>0</v>
      </c>
      <c r="AF271" s="76">
        <v>0</v>
      </c>
      <c r="AG271" s="81" t="s">
        <v>1732</v>
      </c>
      <c r="AH271" s="76" t="b">
        <v>0</v>
      </c>
      <c r="AI271" s="76" t="s">
        <v>1776</v>
      </c>
      <c r="AJ271" s="76"/>
      <c r="AK271" s="81" t="s">
        <v>1674</v>
      </c>
      <c r="AL271" s="76" t="b">
        <v>0</v>
      </c>
      <c r="AM271" s="76">
        <v>0</v>
      </c>
      <c r="AN271" s="81" t="s">
        <v>1674</v>
      </c>
      <c r="AO271" s="81" t="s">
        <v>1809</v>
      </c>
      <c r="AP271" s="76" t="b">
        <v>0</v>
      </c>
      <c r="AQ271" s="81" t="s">
        <v>1406</v>
      </c>
      <c r="AR271" s="76" t="s">
        <v>219</v>
      </c>
      <c r="AS271" s="76">
        <v>0</v>
      </c>
      <c r="AT271" s="76">
        <v>0</v>
      </c>
      <c r="AU271" s="76"/>
      <c r="AV271" s="76"/>
      <c r="AW271" s="76"/>
      <c r="AX271" s="76"/>
      <c r="AY271" s="76"/>
      <c r="AZ271" s="76"/>
      <c r="BA271" s="76"/>
      <c r="BB271" s="76"/>
      <c r="BC271">
        <v>1</v>
      </c>
      <c r="BD271" s="75" t="str">
        <f>REPLACE(INDEX(GroupVertices[Group],MATCH(Edges[[#This Row],[Vertex 1]],GroupVertices[Vertex],0)),1,1,"")</f>
        <v>1</v>
      </c>
      <c r="BE271" s="75" t="str">
        <f>REPLACE(INDEX(GroupVertices[Group],MATCH(Edges[[#This Row],[Vertex 2]],GroupVertices[Vertex],0)),1,1,"")</f>
        <v>1</v>
      </c>
      <c r="BF271" s="45">
        <v>0</v>
      </c>
      <c r="BG271" s="46">
        <v>0</v>
      </c>
      <c r="BH271" s="45">
        <v>0</v>
      </c>
      <c r="BI271" s="46">
        <v>0</v>
      </c>
      <c r="BJ271" s="45">
        <v>0</v>
      </c>
      <c r="BK271" s="46">
        <v>0</v>
      </c>
      <c r="BL271" s="45">
        <v>30</v>
      </c>
      <c r="BM271" s="46">
        <v>100</v>
      </c>
      <c r="BN271" s="45">
        <v>30</v>
      </c>
    </row>
    <row r="272" spans="1:66" ht="15">
      <c r="A272" s="61" t="s">
        <v>396</v>
      </c>
      <c r="B272" s="61" t="s">
        <v>501</v>
      </c>
      <c r="C272" s="62" t="s">
        <v>4692</v>
      </c>
      <c r="D272" s="63">
        <v>6.666666666666667</v>
      </c>
      <c r="E272" s="62"/>
      <c r="F272" s="65">
        <v>38.333333333333336</v>
      </c>
      <c r="G272" s="62"/>
      <c r="H272" s="66"/>
      <c r="I272" s="67"/>
      <c r="J272" s="67"/>
      <c r="K272" s="31" t="s">
        <v>65</v>
      </c>
      <c r="L272" s="68">
        <v>272</v>
      </c>
      <c r="M272" s="68"/>
      <c r="N272" s="69"/>
      <c r="O272" s="76" t="s">
        <v>588</v>
      </c>
      <c r="P272" s="78">
        <v>44812.7296875</v>
      </c>
      <c r="Q272" s="76" t="s">
        <v>706</v>
      </c>
      <c r="R272" s="79" t="str">
        <f>HYPERLINK("https://www.reuters.com/world/europe/tens-thousands-protest-prague-against-czech-government-eu-nato-2022-09-03/")</f>
        <v>https://www.reuters.com/world/europe/tens-thousands-protest-prague-against-czech-government-eu-nato-2022-09-03/</v>
      </c>
      <c r="S272" s="76" t="s">
        <v>788</v>
      </c>
      <c r="T272" s="81" t="s">
        <v>853</v>
      </c>
      <c r="U272" s="76"/>
      <c r="V272" s="79" t="str">
        <f>HYPERLINK("https://pbs.twimg.com/profile_images/1864138126/GANDALF_MSN_normal.jpg")</f>
        <v>https://pbs.twimg.com/profile_images/1864138126/GANDALF_MSN_normal.jpg</v>
      </c>
      <c r="W272" s="78">
        <v>44812.7296875</v>
      </c>
      <c r="X272" s="84">
        <v>44812</v>
      </c>
      <c r="Y272" s="81" t="s">
        <v>1076</v>
      </c>
      <c r="Z272" s="79" t="str">
        <f>HYPERLINK("https://twitter.com/lucadaini1/status/1567928440237727744")</f>
        <v>https://twitter.com/lucadaini1/status/1567928440237727744</v>
      </c>
      <c r="AA272" s="76"/>
      <c r="AB272" s="76"/>
      <c r="AC272" s="81" t="s">
        <v>1407</v>
      </c>
      <c r="AD272" s="81" t="s">
        <v>1622</v>
      </c>
      <c r="AE272" s="76" t="b">
        <v>0</v>
      </c>
      <c r="AF272" s="76">
        <v>0</v>
      </c>
      <c r="AG272" s="81" t="s">
        <v>1702</v>
      </c>
      <c r="AH272" s="76" t="b">
        <v>0</v>
      </c>
      <c r="AI272" s="76" t="s">
        <v>1772</v>
      </c>
      <c r="AJ272" s="76"/>
      <c r="AK272" s="81" t="s">
        <v>1674</v>
      </c>
      <c r="AL272" s="76" t="b">
        <v>0</v>
      </c>
      <c r="AM272" s="76">
        <v>0</v>
      </c>
      <c r="AN272" s="81" t="s">
        <v>1674</v>
      </c>
      <c r="AO272" s="81" t="s">
        <v>1809</v>
      </c>
      <c r="AP272" s="76" t="b">
        <v>0</v>
      </c>
      <c r="AQ272" s="81" t="s">
        <v>1622</v>
      </c>
      <c r="AR272" s="76" t="s">
        <v>219</v>
      </c>
      <c r="AS272" s="76">
        <v>0</v>
      </c>
      <c r="AT272" s="76">
        <v>0</v>
      </c>
      <c r="AU272" s="76"/>
      <c r="AV272" s="76"/>
      <c r="AW272" s="76"/>
      <c r="AX272" s="76"/>
      <c r="AY272" s="76"/>
      <c r="AZ272" s="76"/>
      <c r="BA272" s="76"/>
      <c r="BB272" s="76"/>
      <c r="BC272">
        <v>5</v>
      </c>
      <c r="BD272" s="75" t="str">
        <f>REPLACE(INDEX(GroupVertices[Group],MATCH(Edges[[#This Row],[Vertex 1]],GroupVertices[Vertex],0)),1,1,"")</f>
        <v>1</v>
      </c>
      <c r="BE272" s="75" t="str">
        <f>REPLACE(INDEX(GroupVertices[Group],MATCH(Edges[[#This Row],[Vertex 2]],GroupVertices[Vertex],0)),1,1,"")</f>
        <v>23</v>
      </c>
      <c r="BF272" s="45"/>
      <c r="BG272" s="46"/>
      <c r="BH272" s="45"/>
      <c r="BI272" s="46"/>
      <c r="BJ272" s="45"/>
      <c r="BK272" s="46"/>
      <c r="BL272" s="45"/>
      <c r="BM272" s="46"/>
      <c r="BN272" s="45"/>
    </row>
    <row r="273" spans="1:66" ht="15">
      <c r="A273" s="61" t="s">
        <v>396</v>
      </c>
      <c r="B273" s="61" t="s">
        <v>501</v>
      </c>
      <c r="C273" s="62" t="s">
        <v>4692</v>
      </c>
      <c r="D273" s="63">
        <v>6.666666666666667</v>
      </c>
      <c r="E273" s="62"/>
      <c r="F273" s="65">
        <v>38.333333333333336</v>
      </c>
      <c r="G273" s="62"/>
      <c r="H273" s="66"/>
      <c r="I273" s="67"/>
      <c r="J273" s="67"/>
      <c r="K273" s="31" t="s">
        <v>65</v>
      </c>
      <c r="L273" s="68">
        <v>273</v>
      </c>
      <c r="M273" s="68"/>
      <c r="N273" s="69"/>
      <c r="O273" s="76" t="s">
        <v>588</v>
      </c>
      <c r="P273" s="78">
        <v>44814.73302083334</v>
      </c>
      <c r="Q273" s="76" t="s">
        <v>707</v>
      </c>
      <c r="R273" s="76"/>
      <c r="S273" s="76"/>
      <c r="T273" s="81" t="s">
        <v>853</v>
      </c>
      <c r="U273" s="76"/>
      <c r="V273" s="79" t="str">
        <f>HYPERLINK("https://pbs.twimg.com/profile_images/1864138126/GANDALF_MSN_normal.jpg")</f>
        <v>https://pbs.twimg.com/profile_images/1864138126/GANDALF_MSN_normal.jpg</v>
      </c>
      <c r="W273" s="78">
        <v>44814.73302083334</v>
      </c>
      <c r="X273" s="84">
        <v>44814</v>
      </c>
      <c r="Y273" s="81" t="s">
        <v>1077</v>
      </c>
      <c r="Z273" s="79" t="str">
        <f>HYPERLINK("https://twitter.com/lucadaini1/status/1568654424272166912")</f>
        <v>https://twitter.com/lucadaini1/status/1568654424272166912</v>
      </c>
      <c r="AA273" s="76"/>
      <c r="AB273" s="76"/>
      <c r="AC273" s="81" t="s">
        <v>1408</v>
      </c>
      <c r="AD273" s="81" t="s">
        <v>1596</v>
      </c>
      <c r="AE273" s="76" t="b">
        <v>0</v>
      </c>
      <c r="AF273" s="76">
        <v>0</v>
      </c>
      <c r="AG273" s="81" t="s">
        <v>1706</v>
      </c>
      <c r="AH273" s="76" t="b">
        <v>0</v>
      </c>
      <c r="AI273" s="76" t="s">
        <v>1772</v>
      </c>
      <c r="AJ273" s="76"/>
      <c r="AK273" s="81" t="s">
        <v>1674</v>
      </c>
      <c r="AL273" s="76" t="b">
        <v>0</v>
      </c>
      <c r="AM273" s="76">
        <v>0</v>
      </c>
      <c r="AN273" s="81" t="s">
        <v>1674</v>
      </c>
      <c r="AO273" s="81" t="s">
        <v>1809</v>
      </c>
      <c r="AP273" s="76" t="b">
        <v>0</v>
      </c>
      <c r="AQ273" s="81" t="s">
        <v>1596</v>
      </c>
      <c r="AR273" s="76" t="s">
        <v>219</v>
      </c>
      <c r="AS273" s="76">
        <v>0</v>
      </c>
      <c r="AT273" s="76">
        <v>0</v>
      </c>
      <c r="AU273" s="76"/>
      <c r="AV273" s="76"/>
      <c r="AW273" s="76"/>
      <c r="AX273" s="76"/>
      <c r="AY273" s="76"/>
      <c r="AZ273" s="76"/>
      <c r="BA273" s="76"/>
      <c r="BB273" s="76"/>
      <c r="BC273">
        <v>5</v>
      </c>
      <c r="BD273" s="75" t="str">
        <f>REPLACE(INDEX(GroupVertices[Group],MATCH(Edges[[#This Row],[Vertex 1]],GroupVertices[Vertex],0)),1,1,"")</f>
        <v>1</v>
      </c>
      <c r="BE273" s="75" t="str">
        <f>REPLACE(INDEX(GroupVertices[Group],MATCH(Edges[[#This Row],[Vertex 2]],GroupVertices[Vertex],0)),1,1,"")</f>
        <v>23</v>
      </c>
      <c r="BF273" s="45"/>
      <c r="BG273" s="46"/>
      <c r="BH273" s="45"/>
      <c r="BI273" s="46"/>
      <c r="BJ273" s="45"/>
      <c r="BK273" s="46"/>
      <c r="BL273" s="45"/>
      <c r="BM273" s="46"/>
      <c r="BN273" s="45"/>
    </row>
    <row r="274" spans="1:66" ht="15">
      <c r="A274" s="61" t="s">
        <v>396</v>
      </c>
      <c r="B274" s="61" t="s">
        <v>501</v>
      </c>
      <c r="C274" s="62" t="s">
        <v>4692</v>
      </c>
      <c r="D274" s="63">
        <v>6.666666666666667</v>
      </c>
      <c r="E274" s="62"/>
      <c r="F274" s="65">
        <v>38.333333333333336</v>
      </c>
      <c r="G274" s="62"/>
      <c r="H274" s="66"/>
      <c r="I274" s="67"/>
      <c r="J274" s="67"/>
      <c r="K274" s="31" t="s">
        <v>65</v>
      </c>
      <c r="L274" s="68">
        <v>274</v>
      </c>
      <c r="M274" s="68"/>
      <c r="N274" s="69"/>
      <c r="O274" s="76" t="s">
        <v>588</v>
      </c>
      <c r="P274" s="78">
        <v>44815.89501157407</v>
      </c>
      <c r="Q274" s="76" t="s">
        <v>708</v>
      </c>
      <c r="R274" s="76"/>
      <c r="S274" s="76"/>
      <c r="T274" s="81" t="s">
        <v>854</v>
      </c>
      <c r="U274" s="76"/>
      <c r="V274" s="79" t="str">
        <f>HYPERLINK("https://pbs.twimg.com/profile_images/1864138126/GANDALF_MSN_normal.jpg")</f>
        <v>https://pbs.twimg.com/profile_images/1864138126/GANDALF_MSN_normal.jpg</v>
      </c>
      <c r="W274" s="78">
        <v>44815.89501157407</v>
      </c>
      <c r="X274" s="84">
        <v>44815</v>
      </c>
      <c r="Y274" s="81" t="s">
        <v>1078</v>
      </c>
      <c r="Z274" s="79" t="str">
        <f>HYPERLINK("https://twitter.com/lucadaini1/status/1569075515788775424")</f>
        <v>https://twitter.com/lucadaini1/status/1569075515788775424</v>
      </c>
      <c r="AA274" s="76"/>
      <c r="AB274" s="76"/>
      <c r="AC274" s="81" t="s">
        <v>1409</v>
      </c>
      <c r="AD274" s="81" t="s">
        <v>1623</v>
      </c>
      <c r="AE274" s="76" t="b">
        <v>0</v>
      </c>
      <c r="AF274" s="76">
        <v>1</v>
      </c>
      <c r="AG274" s="81" t="s">
        <v>1706</v>
      </c>
      <c r="AH274" s="76" t="b">
        <v>0</v>
      </c>
      <c r="AI274" s="76" t="s">
        <v>1772</v>
      </c>
      <c r="AJ274" s="76"/>
      <c r="AK274" s="81" t="s">
        <v>1674</v>
      </c>
      <c r="AL274" s="76" t="b">
        <v>0</v>
      </c>
      <c r="AM274" s="76">
        <v>0</v>
      </c>
      <c r="AN274" s="81" t="s">
        <v>1674</v>
      </c>
      <c r="AO274" s="81" t="s">
        <v>1809</v>
      </c>
      <c r="AP274" s="76" t="b">
        <v>0</v>
      </c>
      <c r="AQ274" s="81" t="s">
        <v>1623</v>
      </c>
      <c r="AR274" s="76" t="s">
        <v>219</v>
      </c>
      <c r="AS274" s="76">
        <v>0</v>
      </c>
      <c r="AT274" s="76">
        <v>0</v>
      </c>
      <c r="AU274" s="76"/>
      <c r="AV274" s="76"/>
      <c r="AW274" s="76"/>
      <c r="AX274" s="76"/>
      <c r="AY274" s="76"/>
      <c r="AZ274" s="76"/>
      <c r="BA274" s="76"/>
      <c r="BB274" s="76"/>
      <c r="BC274">
        <v>5</v>
      </c>
      <c r="BD274" s="75" t="str">
        <f>REPLACE(INDEX(GroupVertices[Group],MATCH(Edges[[#This Row],[Vertex 1]],GroupVertices[Vertex],0)),1,1,"")</f>
        <v>1</v>
      </c>
      <c r="BE274" s="75" t="str">
        <f>REPLACE(INDEX(GroupVertices[Group],MATCH(Edges[[#This Row],[Vertex 2]],GroupVertices[Vertex],0)),1,1,"")</f>
        <v>23</v>
      </c>
      <c r="BF274" s="45"/>
      <c r="BG274" s="46"/>
      <c r="BH274" s="45"/>
      <c r="BI274" s="46"/>
      <c r="BJ274" s="45"/>
      <c r="BK274" s="46"/>
      <c r="BL274" s="45"/>
      <c r="BM274" s="46"/>
      <c r="BN274" s="45"/>
    </row>
    <row r="275" spans="1:66" ht="15">
      <c r="A275" s="61" t="s">
        <v>396</v>
      </c>
      <c r="B275" s="61" t="s">
        <v>501</v>
      </c>
      <c r="C275" s="62" t="s">
        <v>4692</v>
      </c>
      <c r="D275" s="63">
        <v>6.666666666666667</v>
      </c>
      <c r="E275" s="62"/>
      <c r="F275" s="65">
        <v>38.333333333333336</v>
      </c>
      <c r="G275" s="62"/>
      <c r="H275" s="66"/>
      <c r="I275" s="67"/>
      <c r="J275" s="67"/>
      <c r="K275" s="31" t="s">
        <v>65</v>
      </c>
      <c r="L275" s="68">
        <v>275</v>
      </c>
      <c r="M275" s="68"/>
      <c r="N275" s="69"/>
      <c r="O275" s="76" t="s">
        <v>588</v>
      </c>
      <c r="P275" s="78">
        <v>44817.87739583333</v>
      </c>
      <c r="Q275" s="76" t="s">
        <v>709</v>
      </c>
      <c r="R275" s="76"/>
      <c r="S275" s="76"/>
      <c r="T275" s="81" t="s">
        <v>855</v>
      </c>
      <c r="U275" s="76"/>
      <c r="V275" s="79" t="str">
        <f>HYPERLINK("https://pbs.twimg.com/profile_images/1864138126/GANDALF_MSN_normal.jpg")</f>
        <v>https://pbs.twimg.com/profile_images/1864138126/GANDALF_MSN_normal.jpg</v>
      </c>
      <c r="W275" s="78">
        <v>44817.87739583333</v>
      </c>
      <c r="X275" s="84">
        <v>44817</v>
      </c>
      <c r="Y275" s="81" t="s">
        <v>1079</v>
      </c>
      <c r="Z275" s="79" t="str">
        <f>HYPERLINK("https://twitter.com/lucadaini1/status/1569793907872960512")</f>
        <v>https://twitter.com/lucadaini1/status/1569793907872960512</v>
      </c>
      <c r="AA275" s="76"/>
      <c r="AB275" s="76"/>
      <c r="AC275" s="81" t="s">
        <v>1410</v>
      </c>
      <c r="AD275" s="81" t="s">
        <v>1618</v>
      </c>
      <c r="AE275" s="76" t="b">
        <v>0</v>
      </c>
      <c r="AF275" s="76">
        <v>0</v>
      </c>
      <c r="AG275" s="81" t="s">
        <v>1702</v>
      </c>
      <c r="AH275" s="76" t="b">
        <v>0</v>
      </c>
      <c r="AI275" s="76" t="s">
        <v>1772</v>
      </c>
      <c r="AJ275" s="76"/>
      <c r="AK275" s="81" t="s">
        <v>1674</v>
      </c>
      <c r="AL275" s="76" t="b">
        <v>0</v>
      </c>
      <c r="AM275" s="76">
        <v>0</v>
      </c>
      <c r="AN275" s="81" t="s">
        <v>1674</v>
      </c>
      <c r="AO275" s="81" t="s">
        <v>1809</v>
      </c>
      <c r="AP275" s="76" t="b">
        <v>0</v>
      </c>
      <c r="AQ275" s="81" t="s">
        <v>1618</v>
      </c>
      <c r="AR275" s="76" t="s">
        <v>219</v>
      </c>
      <c r="AS275" s="76">
        <v>0</v>
      </c>
      <c r="AT275" s="76">
        <v>0</v>
      </c>
      <c r="AU275" s="76"/>
      <c r="AV275" s="76"/>
      <c r="AW275" s="76"/>
      <c r="AX275" s="76"/>
      <c r="AY275" s="76"/>
      <c r="AZ275" s="76"/>
      <c r="BA275" s="76"/>
      <c r="BB275" s="76"/>
      <c r="BC275">
        <v>5</v>
      </c>
      <c r="BD275" s="75" t="str">
        <f>REPLACE(INDEX(GroupVertices[Group],MATCH(Edges[[#This Row],[Vertex 1]],GroupVertices[Vertex],0)),1,1,"")</f>
        <v>1</v>
      </c>
      <c r="BE275" s="75" t="str">
        <f>REPLACE(INDEX(GroupVertices[Group],MATCH(Edges[[#This Row],[Vertex 2]],GroupVertices[Vertex],0)),1,1,"")</f>
        <v>23</v>
      </c>
      <c r="BF275" s="45"/>
      <c r="BG275" s="46"/>
      <c r="BH275" s="45"/>
      <c r="BI275" s="46"/>
      <c r="BJ275" s="45"/>
      <c r="BK275" s="46"/>
      <c r="BL275" s="45"/>
      <c r="BM275" s="46"/>
      <c r="BN275" s="45"/>
    </row>
    <row r="276" spans="1:66" ht="15">
      <c r="A276" s="61" t="s">
        <v>396</v>
      </c>
      <c r="B276" s="61" t="s">
        <v>501</v>
      </c>
      <c r="C276" s="62" t="s">
        <v>4692</v>
      </c>
      <c r="D276" s="63">
        <v>6.666666666666667</v>
      </c>
      <c r="E276" s="62"/>
      <c r="F276" s="65">
        <v>38.333333333333336</v>
      </c>
      <c r="G276" s="62"/>
      <c r="H276" s="66"/>
      <c r="I276" s="67"/>
      <c r="J276" s="67"/>
      <c r="K276" s="31" t="s">
        <v>65</v>
      </c>
      <c r="L276" s="68">
        <v>276</v>
      </c>
      <c r="M276" s="68"/>
      <c r="N276" s="69"/>
      <c r="O276" s="76" t="s">
        <v>588</v>
      </c>
      <c r="P276" s="78">
        <v>44818.76804398148</v>
      </c>
      <c r="Q276" s="76" t="s">
        <v>710</v>
      </c>
      <c r="R276" s="76"/>
      <c r="S276" s="76"/>
      <c r="T276" s="81" t="s">
        <v>856</v>
      </c>
      <c r="U276" s="76"/>
      <c r="V276" s="79" t="str">
        <f>HYPERLINK("https://pbs.twimg.com/profile_images/1864138126/GANDALF_MSN_normal.jpg")</f>
        <v>https://pbs.twimg.com/profile_images/1864138126/GANDALF_MSN_normal.jpg</v>
      </c>
      <c r="W276" s="78">
        <v>44818.76804398148</v>
      </c>
      <c r="X276" s="84">
        <v>44818</v>
      </c>
      <c r="Y276" s="81" t="s">
        <v>1080</v>
      </c>
      <c r="Z276" s="79" t="str">
        <f>HYPERLINK("https://twitter.com/lucadaini1/status/1570116666486362113")</f>
        <v>https://twitter.com/lucadaini1/status/1570116666486362113</v>
      </c>
      <c r="AA276" s="76"/>
      <c r="AB276" s="76"/>
      <c r="AC276" s="81" t="s">
        <v>1411</v>
      </c>
      <c r="AD276" s="81" t="s">
        <v>1624</v>
      </c>
      <c r="AE276" s="76" t="b">
        <v>0</v>
      </c>
      <c r="AF276" s="76">
        <v>1</v>
      </c>
      <c r="AG276" s="81" t="s">
        <v>1701</v>
      </c>
      <c r="AH276" s="76" t="b">
        <v>0</v>
      </c>
      <c r="AI276" s="76" t="s">
        <v>1772</v>
      </c>
      <c r="AJ276" s="76"/>
      <c r="AK276" s="81" t="s">
        <v>1674</v>
      </c>
      <c r="AL276" s="76" t="b">
        <v>0</v>
      </c>
      <c r="AM276" s="76">
        <v>0</v>
      </c>
      <c r="AN276" s="81" t="s">
        <v>1674</v>
      </c>
      <c r="AO276" s="81" t="s">
        <v>1809</v>
      </c>
      <c r="AP276" s="76" t="b">
        <v>0</v>
      </c>
      <c r="AQ276" s="81" t="s">
        <v>1624</v>
      </c>
      <c r="AR276" s="76" t="s">
        <v>219</v>
      </c>
      <c r="AS276" s="76">
        <v>0</v>
      </c>
      <c r="AT276" s="76">
        <v>0</v>
      </c>
      <c r="AU276" s="76"/>
      <c r="AV276" s="76"/>
      <c r="AW276" s="76"/>
      <c r="AX276" s="76"/>
      <c r="AY276" s="76"/>
      <c r="AZ276" s="76"/>
      <c r="BA276" s="76"/>
      <c r="BB276" s="76"/>
      <c r="BC276">
        <v>5</v>
      </c>
      <c r="BD276" s="75" t="str">
        <f>REPLACE(INDEX(GroupVertices[Group],MATCH(Edges[[#This Row],[Vertex 1]],GroupVertices[Vertex],0)),1,1,"")</f>
        <v>1</v>
      </c>
      <c r="BE276" s="75" t="str">
        <f>REPLACE(INDEX(GroupVertices[Group],MATCH(Edges[[#This Row],[Vertex 2]],GroupVertices[Vertex],0)),1,1,"")</f>
        <v>23</v>
      </c>
      <c r="BF276" s="45"/>
      <c r="BG276" s="46"/>
      <c r="BH276" s="45"/>
      <c r="BI276" s="46"/>
      <c r="BJ276" s="45"/>
      <c r="BK276" s="46"/>
      <c r="BL276" s="45"/>
      <c r="BM276" s="46"/>
      <c r="BN276" s="45"/>
    </row>
    <row r="277" spans="1:66" ht="15">
      <c r="A277" s="61" t="s">
        <v>396</v>
      </c>
      <c r="B277" s="61" t="s">
        <v>540</v>
      </c>
      <c r="C277" s="62" t="s">
        <v>4688</v>
      </c>
      <c r="D277" s="63">
        <v>5</v>
      </c>
      <c r="E277" s="62"/>
      <c r="F277" s="65">
        <v>50</v>
      </c>
      <c r="G277" s="62"/>
      <c r="H277" s="66"/>
      <c r="I277" s="67"/>
      <c r="J277" s="67"/>
      <c r="K277" s="31" t="s">
        <v>65</v>
      </c>
      <c r="L277" s="68">
        <v>277</v>
      </c>
      <c r="M277" s="68"/>
      <c r="N277" s="69"/>
      <c r="O277" s="76" t="s">
        <v>588</v>
      </c>
      <c r="P277" s="78">
        <v>44818.76804398148</v>
      </c>
      <c r="Q277" s="76" t="s">
        <v>710</v>
      </c>
      <c r="R277" s="76"/>
      <c r="S277" s="76"/>
      <c r="T277" s="81" t="s">
        <v>856</v>
      </c>
      <c r="U277" s="76"/>
      <c r="V277" s="79" t="str">
        <f>HYPERLINK("https://pbs.twimg.com/profile_images/1864138126/GANDALF_MSN_normal.jpg")</f>
        <v>https://pbs.twimg.com/profile_images/1864138126/GANDALF_MSN_normal.jpg</v>
      </c>
      <c r="W277" s="78">
        <v>44818.76804398148</v>
      </c>
      <c r="X277" s="84">
        <v>44818</v>
      </c>
      <c r="Y277" s="81" t="s">
        <v>1080</v>
      </c>
      <c r="Z277" s="79" t="str">
        <f>HYPERLINK("https://twitter.com/lucadaini1/status/1570116666486362113")</f>
        <v>https://twitter.com/lucadaini1/status/1570116666486362113</v>
      </c>
      <c r="AA277" s="76"/>
      <c r="AB277" s="76"/>
      <c r="AC277" s="81" t="s">
        <v>1411</v>
      </c>
      <c r="AD277" s="81" t="s">
        <v>1624</v>
      </c>
      <c r="AE277" s="76" t="b">
        <v>0</v>
      </c>
      <c r="AF277" s="76">
        <v>1</v>
      </c>
      <c r="AG277" s="81" t="s">
        <v>1701</v>
      </c>
      <c r="AH277" s="76" t="b">
        <v>0</v>
      </c>
      <c r="AI277" s="76" t="s">
        <v>1772</v>
      </c>
      <c r="AJ277" s="76"/>
      <c r="AK277" s="81" t="s">
        <v>1674</v>
      </c>
      <c r="AL277" s="76" t="b">
        <v>0</v>
      </c>
      <c r="AM277" s="76">
        <v>0</v>
      </c>
      <c r="AN277" s="81" t="s">
        <v>1674</v>
      </c>
      <c r="AO277" s="81" t="s">
        <v>1809</v>
      </c>
      <c r="AP277" s="76" t="b">
        <v>0</v>
      </c>
      <c r="AQ277" s="81" t="s">
        <v>1624</v>
      </c>
      <c r="AR277" s="76" t="s">
        <v>219</v>
      </c>
      <c r="AS277" s="76">
        <v>0</v>
      </c>
      <c r="AT277" s="76">
        <v>0</v>
      </c>
      <c r="AU277" s="76"/>
      <c r="AV277" s="76"/>
      <c r="AW277" s="76"/>
      <c r="AX277" s="76"/>
      <c r="AY277" s="76"/>
      <c r="AZ277" s="76"/>
      <c r="BA277" s="76"/>
      <c r="BB277" s="76"/>
      <c r="BC277">
        <v>1</v>
      </c>
      <c r="BD277" s="75" t="str">
        <f>REPLACE(INDEX(GroupVertices[Group],MATCH(Edges[[#This Row],[Vertex 1]],GroupVertices[Vertex],0)),1,1,"")</f>
        <v>1</v>
      </c>
      <c r="BE277" s="75" t="str">
        <f>REPLACE(INDEX(GroupVertices[Group],MATCH(Edges[[#This Row],[Vertex 2]],GroupVertices[Vertex],0)),1,1,"")</f>
        <v>1</v>
      </c>
      <c r="BF277" s="45"/>
      <c r="BG277" s="46"/>
      <c r="BH277" s="45"/>
      <c r="BI277" s="46"/>
      <c r="BJ277" s="45"/>
      <c r="BK277" s="46"/>
      <c r="BL277" s="45"/>
      <c r="BM277" s="46"/>
      <c r="BN277" s="45"/>
    </row>
    <row r="278" spans="1:66" ht="15">
      <c r="A278" s="61" t="s">
        <v>396</v>
      </c>
      <c r="B278" s="61" t="s">
        <v>496</v>
      </c>
      <c r="C278" s="62" t="s">
        <v>4689</v>
      </c>
      <c r="D278" s="63">
        <v>5.416666666666667</v>
      </c>
      <c r="E278" s="62"/>
      <c r="F278" s="65">
        <v>47.083333333333336</v>
      </c>
      <c r="G278" s="62"/>
      <c r="H278" s="66"/>
      <c r="I278" s="67"/>
      <c r="J278" s="67"/>
      <c r="K278" s="31" t="s">
        <v>65</v>
      </c>
      <c r="L278" s="68">
        <v>278</v>
      </c>
      <c r="M278" s="68"/>
      <c r="N278" s="69"/>
      <c r="O278" s="76" t="s">
        <v>588</v>
      </c>
      <c r="P278" s="78">
        <v>44814.73302083334</v>
      </c>
      <c r="Q278" s="76" t="s">
        <v>707</v>
      </c>
      <c r="R278" s="76"/>
      <c r="S278" s="76"/>
      <c r="T278" s="81" t="s">
        <v>853</v>
      </c>
      <c r="U278" s="76"/>
      <c r="V278" s="79" t="str">
        <f>HYPERLINK("https://pbs.twimg.com/profile_images/1864138126/GANDALF_MSN_normal.jpg")</f>
        <v>https://pbs.twimg.com/profile_images/1864138126/GANDALF_MSN_normal.jpg</v>
      </c>
      <c r="W278" s="78">
        <v>44814.73302083334</v>
      </c>
      <c r="X278" s="84">
        <v>44814</v>
      </c>
      <c r="Y278" s="81" t="s">
        <v>1077</v>
      </c>
      <c r="Z278" s="79" t="str">
        <f>HYPERLINK("https://twitter.com/lucadaini1/status/1568654424272166912")</f>
        <v>https://twitter.com/lucadaini1/status/1568654424272166912</v>
      </c>
      <c r="AA278" s="76"/>
      <c r="AB278" s="76"/>
      <c r="AC278" s="81" t="s">
        <v>1408</v>
      </c>
      <c r="AD278" s="81" t="s">
        <v>1596</v>
      </c>
      <c r="AE278" s="76" t="b">
        <v>0</v>
      </c>
      <c r="AF278" s="76">
        <v>0</v>
      </c>
      <c r="AG278" s="81" t="s">
        <v>1706</v>
      </c>
      <c r="AH278" s="76" t="b">
        <v>0</v>
      </c>
      <c r="AI278" s="76" t="s">
        <v>1772</v>
      </c>
      <c r="AJ278" s="76"/>
      <c r="AK278" s="81" t="s">
        <v>1674</v>
      </c>
      <c r="AL278" s="76" t="b">
        <v>0</v>
      </c>
      <c r="AM278" s="76">
        <v>0</v>
      </c>
      <c r="AN278" s="81" t="s">
        <v>1674</v>
      </c>
      <c r="AO278" s="81" t="s">
        <v>1809</v>
      </c>
      <c r="AP278" s="76" t="b">
        <v>0</v>
      </c>
      <c r="AQ278" s="81" t="s">
        <v>1596</v>
      </c>
      <c r="AR278" s="76" t="s">
        <v>219</v>
      </c>
      <c r="AS278" s="76">
        <v>0</v>
      </c>
      <c r="AT278" s="76">
        <v>0</v>
      </c>
      <c r="AU278" s="76"/>
      <c r="AV278" s="76"/>
      <c r="AW278" s="76"/>
      <c r="AX278" s="76"/>
      <c r="AY278" s="76"/>
      <c r="AZ278" s="76"/>
      <c r="BA278" s="76"/>
      <c r="BB278" s="76"/>
      <c r="BC278">
        <v>2</v>
      </c>
      <c r="BD278" s="75" t="str">
        <f>REPLACE(INDEX(GroupVertices[Group],MATCH(Edges[[#This Row],[Vertex 1]],GroupVertices[Vertex],0)),1,1,"")</f>
        <v>1</v>
      </c>
      <c r="BE278" s="75" t="str">
        <f>REPLACE(INDEX(GroupVertices[Group],MATCH(Edges[[#This Row],[Vertex 2]],GroupVertices[Vertex],0)),1,1,"")</f>
        <v>1</v>
      </c>
      <c r="BF278" s="45"/>
      <c r="BG278" s="46"/>
      <c r="BH278" s="45"/>
      <c r="BI278" s="46"/>
      <c r="BJ278" s="45"/>
      <c r="BK278" s="46"/>
      <c r="BL278" s="45"/>
      <c r="BM278" s="46"/>
      <c r="BN278" s="45"/>
    </row>
    <row r="279" spans="1:66" ht="15">
      <c r="A279" s="61" t="s">
        <v>396</v>
      </c>
      <c r="B279" s="61" t="s">
        <v>496</v>
      </c>
      <c r="C279" s="62" t="s">
        <v>4689</v>
      </c>
      <c r="D279" s="63">
        <v>5.416666666666667</v>
      </c>
      <c r="E279" s="62"/>
      <c r="F279" s="65">
        <v>47.083333333333336</v>
      </c>
      <c r="G279" s="62"/>
      <c r="H279" s="66"/>
      <c r="I279" s="67"/>
      <c r="J279" s="67"/>
      <c r="K279" s="31" t="s">
        <v>65</v>
      </c>
      <c r="L279" s="68">
        <v>279</v>
      </c>
      <c r="M279" s="68"/>
      <c r="N279" s="69"/>
      <c r="O279" s="76" t="s">
        <v>588</v>
      </c>
      <c r="P279" s="78">
        <v>44818.76804398148</v>
      </c>
      <c r="Q279" s="76" t="s">
        <v>710</v>
      </c>
      <c r="R279" s="76"/>
      <c r="S279" s="76"/>
      <c r="T279" s="81" t="s">
        <v>856</v>
      </c>
      <c r="U279" s="76"/>
      <c r="V279" s="79" t="str">
        <f>HYPERLINK("https://pbs.twimg.com/profile_images/1864138126/GANDALF_MSN_normal.jpg")</f>
        <v>https://pbs.twimg.com/profile_images/1864138126/GANDALF_MSN_normal.jpg</v>
      </c>
      <c r="W279" s="78">
        <v>44818.76804398148</v>
      </c>
      <c r="X279" s="84">
        <v>44818</v>
      </c>
      <c r="Y279" s="81" t="s">
        <v>1080</v>
      </c>
      <c r="Z279" s="79" t="str">
        <f>HYPERLINK("https://twitter.com/lucadaini1/status/1570116666486362113")</f>
        <v>https://twitter.com/lucadaini1/status/1570116666486362113</v>
      </c>
      <c r="AA279" s="76"/>
      <c r="AB279" s="76"/>
      <c r="AC279" s="81" t="s">
        <v>1411</v>
      </c>
      <c r="AD279" s="81" t="s">
        <v>1624</v>
      </c>
      <c r="AE279" s="76" t="b">
        <v>0</v>
      </c>
      <c r="AF279" s="76">
        <v>1</v>
      </c>
      <c r="AG279" s="81" t="s">
        <v>1701</v>
      </c>
      <c r="AH279" s="76" t="b">
        <v>0</v>
      </c>
      <c r="AI279" s="76" t="s">
        <v>1772</v>
      </c>
      <c r="AJ279" s="76"/>
      <c r="AK279" s="81" t="s">
        <v>1674</v>
      </c>
      <c r="AL279" s="76" t="b">
        <v>0</v>
      </c>
      <c r="AM279" s="76">
        <v>0</v>
      </c>
      <c r="AN279" s="81" t="s">
        <v>1674</v>
      </c>
      <c r="AO279" s="81" t="s">
        <v>1809</v>
      </c>
      <c r="AP279" s="76" t="b">
        <v>0</v>
      </c>
      <c r="AQ279" s="81" t="s">
        <v>1624</v>
      </c>
      <c r="AR279" s="76" t="s">
        <v>219</v>
      </c>
      <c r="AS279" s="76">
        <v>0</v>
      </c>
      <c r="AT279" s="76">
        <v>0</v>
      </c>
      <c r="AU279" s="76"/>
      <c r="AV279" s="76"/>
      <c r="AW279" s="76"/>
      <c r="AX279" s="76"/>
      <c r="AY279" s="76"/>
      <c r="AZ279" s="76"/>
      <c r="BA279" s="76"/>
      <c r="BB279" s="76"/>
      <c r="BC279">
        <v>2</v>
      </c>
      <c r="BD279" s="75" t="str">
        <f>REPLACE(INDEX(GroupVertices[Group],MATCH(Edges[[#This Row],[Vertex 1]],GroupVertices[Vertex],0)),1,1,"")</f>
        <v>1</v>
      </c>
      <c r="BE279" s="75" t="str">
        <f>REPLACE(INDEX(GroupVertices[Group],MATCH(Edges[[#This Row],[Vertex 2]],GroupVertices[Vertex],0)),1,1,"")</f>
        <v>1</v>
      </c>
      <c r="BF279" s="45"/>
      <c r="BG279" s="46"/>
      <c r="BH279" s="45"/>
      <c r="BI279" s="46"/>
      <c r="BJ279" s="45"/>
      <c r="BK279" s="46"/>
      <c r="BL279" s="45"/>
      <c r="BM279" s="46"/>
      <c r="BN279" s="45"/>
    </row>
    <row r="280" spans="1:66" ht="15">
      <c r="A280" s="61" t="s">
        <v>396</v>
      </c>
      <c r="B280" s="61" t="s">
        <v>541</v>
      </c>
      <c r="C280" s="62" t="s">
        <v>4688</v>
      </c>
      <c r="D280" s="63">
        <v>5</v>
      </c>
      <c r="E280" s="62"/>
      <c r="F280" s="65">
        <v>50</v>
      </c>
      <c r="G280" s="62"/>
      <c r="H280" s="66"/>
      <c r="I280" s="67"/>
      <c r="J280" s="67"/>
      <c r="K280" s="31" t="s">
        <v>65</v>
      </c>
      <c r="L280" s="68">
        <v>280</v>
      </c>
      <c r="M280" s="68"/>
      <c r="N280" s="69"/>
      <c r="O280" s="76" t="s">
        <v>588</v>
      </c>
      <c r="P280" s="78">
        <v>44818.76804398148</v>
      </c>
      <c r="Q280" s="76" t="s">
        <v>710</v>
      </c>
      <c r="R280" s="76"/>
      <c r="S280" s="76"/>
      <c r="T280" s="81" t="s">
        <v>856</v>
      </c>
      <c r="U280" s="76"/>
      <c r="V280" s="79" t="str">
        <f>HYPERLINK("https://pbs.twimg.com/profile_images/1864138126/GANDALF_MSN_normal.jpg")</f>
        <v>https://pbs.twimg.com/profile_images/1864138126/GANDALF_MSN_normal.jpg</v>
      </c>
      <c r="W280" s="78">
        <v>44818.76804398148</v>
      </c>
      <c r="X280" s="84">
        <v>44818</v>
      </c>
      <c r="Y280" s="81" t="s">
        <v>1080</v>
      </c>
      <c r="Z280" s="79" t="str">
        <f>HYPERLINK("https://twitter.com/lucadaini1/status/1570116666486362113")</f>
        <v>https://twitter.com/lucadaini1/status/1570116666486362113</v>
      </c>
      <c r="AA280" s="76"/>
      <c r="AB280" s="76"/>
      <c r="AC280" s="81" t="s">
        <v>1411</v>
      </c>
      <c r="AD280" s="81" t="s">
        <v>1624</v>
      </c>
      <c r="AE280" s="76" t="b">
        <v>0</v>
      </c>
      <c r="AF280" s="76">
        <v>1</v>
      </c>
      <c r="AG280" s="81" t="s">
        <v>1701</v>
      </c>
      <c r="AH280" s="76" t="b">
        <v>0</v>
      </c>
      <c r="AI280" s="76" t="s">
        <v>1772</v>
      </c>
      <c r="AJ280" s="76"/>
      <c r="AK280" s="81" t="s">
        <v>1674</v>
      </c>
      <c r="AL280" s="76" t="b">
        <v>0</v>
      </c>
      <c r="AM280" s="76">
        <v>0</v>
      </c>
      <c r="AN280" s="81" t="s">
        <v>1674</v>
      </c>
      <c r="AO280" s="81" t="s">
        <v>1809</v>
      </c>
      <c r="AP280" s="76" t="b">
        <v>0</v>
      </c>
      <c r="AQ280" s="81" t="s">
        <v>1624</v>
      </c>
      <c r="AR280" s="76" t="s">
        <v>219</v>
      </c>
      <c r="AS280" s="76">
        <v>0</v>
      </c>
      <c r="AT280" s="76">
        <v>0</v>
      </c>
      <c r="AU280" s="76"/>
      <c r="AV280" s="76"/>
      <c r="AW280" s="76"/>
      <c r="AX280" s="76"/>
      <c r="AY280" s="76"/>
      <c r="AZ280" s="76"/>
      <c r="BA280" s="76"/>
      <c r="BB280" s="76"/>
      <c r="BC280">
        <v>1</v>
      </c>
      <c r="BD280" s="75" t="str">
        <f>REPLACE(INDEX(GroupVertices[Group],MATCH(Edges[[#This Row],[Vertex 1]],GroupVertices[Vertex],0)),1,1,"")</f>
        <v>1</v>
      </c>
      <c r="BE280" s="75" t="str">
        <f>REPLACE(INDEX(GroupVertices[Group],MATCH(Edges[[#This Row],[Vertex 2]],GroupVertices[Vertex],0)),1,1,"")</f>
        <v>1</v>
      </c>
      <c r="BF280" s="45"/>
      <c r="BG280" s="46"/>
      <c r="BH280" s="45"/>
      <c r="BI280" s="46"/>
      <c r="BJ280" s="45"/>
      <c r="BK280" s="46"/>
      <c r="BL280" s="45"/>
      <c r="BM280" s="46"/>
      <c r="BN280" s="45"/>
    </row>
    <row r="281" spans="1:66" ht="15">
      <c r="A281" s="61" t="s">
        <v>396</v>
      </c>
      <c r="B281" s="61" t="s">
        <v>458</v>
      </c>
      <c r="C281" s="62" t="s">
        <v>4689</v>
      </c>
      <c r="D281" s="63">
        <v>5.416666666666667</v>
      </c>
      <c r="E281" s="62"/>
      <c r="F281" s="65">
        <v>47.083333333333336</v>
      </c>
      <c r="G281" s="62"/>
      <c r="H281" s="66"/>
      <c r="I281" s="67"/>
      <c r="J281" s="67"/>
      <c r="K281" s="31" t="s">
        <v>65</v>
      </c>
      <c r="L281" s="68">
        <v>281</v>
      </c>
      <c r="M281" s="68"/>
      <c r="N281" s="69"/>
      <c r="O281" s="76" t="s">
        <v>588</v>
      </c>
      <c r="P281" s="78">
        <v>44812.7296875</v>
      </c>
      <c r="Q281" s="76" t="s">
        <v>706</v>
      </c>
      <c r="R281" s="79" t="str">
        <f>HYPERLINK("https://www.reuters.com/world/europe/tens-thousands-protest-prague-against-czech-government-eu-nato-2022-09-03/")</f>
        <v>https://www.reuters.com/world/europe/tens-thousands-protest-prague-against-czech-government-eu-nato-2022-09-03/</v>
      </c>
      <c r="S281" s="76" t="s">
        <v>788</v>
      </c>
      <c r="T281" s="81" t="s">
        <v>853</v>
      </c>
      <c r="U281" s="76"/>
      <c r="V281" s="79" t="str">
        <f>HYPERLINK("https://pbs.twimg.com/profile_images/1864138126/GANDALF_MSN_normal.jpg")</f>
        <v>https://pbs.twimg.com/profile_images/1864138126/GANDALF_MSN_normal.jpg</v>
      </c>
      <c r="W281" s="78">
        <v>44812.7296875</v>
      </c>
      <c r="X281" s="84">
        <v>44812</v>
      </c>
      <c r="Y281" s="81" t="s">
        <v>1076</v>
      </c>
      <c r="Z281" s="79" t="str">
        <f>HYPERLINK("https://twitter.com/lucadaini1/status/1567928440237727744")</f>
        <v>https://twitter.com/lucadaini1/status/1567928440237727744</v>
      </c>
      <c r="AA281" s="76"/>
      <c r="AB281" s="76"/>
      <c r="AC281" s="81" t="s">
        <v>1407</v>
      </c>
      <c r="AD281" s="81" t="s">
        <v>1622</v>
      </c>
      <c r="AE281" s="76" t="b">
        <v>0</v>
      </c>
      <c r="AF281" s="76">
        <v>0</v>
      </c>
      <c r="AG281" s="81" t="s">
        <v>1702</v>
      </c>
      <c r="AH281" s="76" t="b">
        <v>0</v>
      </c>
      <c r="AI281" s="76" t="s">
        <v>1772</v>
      </c>
      <c r="AJ281" s="76"/>
      <c r="AK281" s="81" t="s">
        <v>1674</v>
      </c>
      <c r="AL281" s="76" t="b">
        <v>0</v>
      </c>
      <c r="AM281" s="76">
        <v>0</v>
      </c>
      <c r="AN281" s="81" t="s">
        <v>1674</v>
      </c>
      <c r="AO281" s="81" t="s">
        <v>1809</v>
      </c>
      <c r="AP281" s="76" t="b">
        <v>0</v>
      </c>
      <c r="AQ281" s="81" t="s">
        <v>1622</v>
      </c>
      <c r="AR281" s="76" t="s">
        <v>219</v>
      </c>
      <c r="AS281" s="76">
        <v>0</v>
      </c>
      <c r="AT281" s="76">
        <v>0</v>
      </c>
      <c r="AU281" s="76"/>
      <c r="AV281" s="76"/>
      <c r="AW281" s="76"/>
      <c r="AX281" s="76"/>
      <c r="AY281" s="76"/>
      <c r="AZ281" s="76"/>
      <c r="BA281" s="76"/>
      <c r="BB281" s="76"/>
      <c r="BC281">
        <v>2</v>
      </c>
      <c r="BD281" s="75" t="str">
        <f>REPLACE(INDEX(GroupVertices[Group],MATCH(Edges[[#This Row],[Vertex 1]],GroupVertices[Vertex],0)),1,1,"")</f>
        <v>1</v>
      </c>
      <c r="BE281" s="75" t="str">
        <f>REPLACE(INDEX(GroupVertices[Group],MATCH(Edges[[#This Row],[Vertex 2]],GroupVertices[Vertex],0)),1,1,"")</f>
        <v>16</v>
      </c>
      <c r="BF281" s="45"/>
      <c r="BG281" s="46"/>
      <c r="BH281" s="45"/>
      <c r="BI281" s="46"/>
      <c r="BJ281" s="45"/>
      <c r="BK281" s="46"/>
      <c r="BL281" s="45"/>
      <c r="BM281" s="46"/>
      <c r="BN281" s="45"/>
    </row>
    <row r="282" spans="1:66" ht="15">
      <c r="A282" s="61" t="s">
        <v>396</v>
      </c>
      <c r="B282" s="61" t="s">
        <v>458</v>
      </c>
      <c r="C282" s="62" t="s">
        <v>4689</v>
      </c>
      <c r="D282" s="63">
        <v>5.416666666666667</v>
      </c>
      <c r="E282" s="62"/>
      <c r="F282" s="65">
        <v>47.083333333333336</v>
      </c>
      <c r="G282" s="62"/>
      <c r="H282" s="66"/>
      <c r="I282" s="67"/>
      <c r="J282" s="67"/>
      <c r="K282" s="31" t="s">
        <v>65</v>
      </c>
      <c r="L282" s="68">
        <v>282</v>
      </c>
      <c r="M282" s="68"/>
      <c r="N282" s="69"/>
      <c r="O282" s="76" t="s">
        <v>588</v>
      </c>
      <c r="P282" s="78">
        <v>44818.76804398148</v>
      </c>
      <c r="Q282" s="76" t="s">
        <v>710</v>
      </c>
      <c r="R282" s="76"/>
      <c r="S282" s="76"/>
      <c r="T282" s="81" t="s">
        <v>856</v>
      </c>
      <c r="U282" s="76"/>
      <c r="V282" s="79" t="str">
        <f>HYPERLINK("https://pbs.twimg.com/profile_images/1864138126/GANDALF_MSN_normal.jpg")</f>
        <v>https://pbs.twimg.com/profile_images/1864138126/GANDALF_MSN_normal.jpg</v>
      </c>
      <c r="W282" s="78">
        <v>44818.76804398148</v>
      </c>
      <c r="X282" s="84">
        <v>44818</v>
      </c>
      <c r="Y282" s="81" t="s">
        <v>1080</v>
      </c>
      <c r="Z282" s="79" t="str">
        <f>HYPERLINK("https://twitter.com/lucadaini1/status/1570116666486362113")</f>
        <v>https://twitter.com/lucadaini1/status/1570116666486362113</v>
      </c>
      <c r="AA282" s="76"/>
      <c r="AB282" s="76"/>
      <c r="AC282" s="81" t="s">
        <v>1411</v>
      </c>
      <c r="AD282" s="81" t="s">
        <v>1624</v>
      </c>
      <c r="AE282" s="76" t="b">
        <v>0</v>
      </c>
      <c r="AF282" s="76">
        <v>1</v>
      </c>
      <c r="AG282" s="81" t="s">
        <v>1701</v>
      </c>
      <c r="AH282" s="76" t="b">
        <v>0</v>
      </c>
      <c r="AI282" s="76" t="s">
        <v>1772</v>
      </c>
      <c r="AJ282" s="76"/>
      <c r="AK282" s="81" t="s">
        <v>1674</v>
      </c>
      <c r="AL282" s="76" t="b">
        <v>0</v>
      </c>
      <c r="AM282" s="76">
        <v>0</v>
      </c>
      <c r="AN282" s="81" t="s">
        <v>1674</v>
      </c>
      <c r="AO282" s="81" t="s">
        <v>1809</v>
      </c>
      <c r="AP282" s="76" t="b">
        <v>0</v>
      </c>
      <c r="AQ282" s="81" t="s">
        <v>1624</v>
      </c>
      <c r="AR282" s="76" t="s">
        <v>219</v>
      </c>
      <c r="AS282" s="76">
        <v>0</v>
      </c>
      <c r="AT282" s="76">
        <v>0</v>
      </c>
      <c r="AU282" s="76"/>
      <c r="AV282" s="76"/>
      <c r="AW282" s="76"/>
      <c r="AX282" s="76"/>
      <c r="AY282" s="76"/>
      <c r="AZ282" s="76"/>
      <c r="BA282" s="76"/>
      <c r="BB282" s="76"/>
      <c r="BC282">
        <v>2</v>
      </c>
      <c r="BD282" s="75" t="str">
        <f>REPLACE(INDEX(GroupVertices[Group],MATCH(Edges[[#This Row],[Vertex 1]],GroupVertices[Vertex],0)),1,1,"")</f>
        <v>1</v>
      </c>
      <c r="BE282" s="75" t="str">
        <f>REPLACE(INDEX(GroupVertices[Group],MATCH(Edges[[#This Row],[Vertex 2]],GroupVertices[Vertex],0)),1,1,"")</f>
        <v>16</v>
      </c>
      <c r="BF282" s="45"/>
      <c r="BG282" s="46"/>
      <c r="BH282" s="45"/>
      <c r="BI282" s="46"/>
      <c r="BJ282" s="45"/>
      <c r="BK282" s="46"/>
      <c r="BL282" s="45"/>
      <c r="BM282" s="46"/>
      <c r="BN282" s="45"/>
    </row>
    <row r="283" spans="1:66" ht="15">
      <c r="A283" s="61" t="s">
        <v>396</v>
      </c>
      <c r="B283" s="61" t="s">
        <v>494</v>
      </c>
      <c r="C283" s="62" t="s">
        <v>4691</v>
      </c>
      <c r="D283" s="63">
        <v>5.833333333333333</v>
      </c>
      <c r="E283" s="62"/>
      <c r="F283" s="65">
        <v>44.166666666666664</v>
      </c>
      <c r="G283" s="62"/>
      <c r="H283" s="66"/>
      <c r="I283" s="67"/>
      <c r="J283" s="67"/>
      <c r="K283" s="31" t="s">
        <v>65</v>
      </c>
      <c r="L283" s="68">
        <v>283</v>
      </c>
      <c r="M283" s="68"/>
      <c r="N283" s="69"/>
      <c r="O283" s="76" t="s">
        <v>588</v>
      </c>
      <c r="P283" s="78">
        <v>44812.7296875</v>
      </c>
      <c r="Q283" s="76" t="s">
        <v>706</v>
      </c>
      <c r="R283" s="79" t="str">
        <f>HYPERLINK("https://www.reuters.com/world/europe/tens-thousands-protest-prague-against-czech-government-eu-nato-2022-09-03/")</f>
        <v>https://www.reuters.com/world/europe/tens-thousands-protest-prague-against-czech-government-eu-nato-2022-09-03/</v>
      </c>
      <c r="S283" s="76" t="s">
        <v>788</v>
      </c>
      <c r="T283" s="81" t="s">
        <v>853</v>
      </c>
      <c r="U283" s="76"/>
      <c r="V283" s="79" t="str">
        <f>HYPERLINK("https://pbs.twimg.com/profile_images/1864138126/GANDALF_MSN_normal.jpg")</f>
        <v>https://pbs.twimg.com/profile_images/1864138126/GANDALF_MSN_normal.jpg</v>
      </c>
      <c r="W283" s="78">
        <v>44812.7296875</v>
      </c>
      <c r="X283" s="84">
        <v>44812</v>
      </c>
      <c r="Y283" s="81" t="s">
        <v>1076</v>
      </c>
      <c r="Z283" s="79" t="str">
        <f>HYPERLINK("https://twitter.com/lucadaini1/status/1567928440237727744")</f>
        <v>https://twitter.com/lucadaini1/status/1567928440237727744</v>
      </c>
      <c r="AA283" s="76"/>
      <c r="AB283" s="76"/>
      <c r="AC283" s="81" t="s">
        <v>1407</v>
      </c>
      <c r="AD283" s="81" t="s">
        <v>1622</v>
      </c>
      <c r="AE283" s="76" t="b">
        <v>0</v>
      </c>
      <c r="AF283" s="76">
        <v>0</v>
      </c>
      <c r="AG283" s="81" t="s">
        <v>1702</v>
      </c>
      <c r="AH283" s="76" t="b">
        <v>0</v>
      </c>
      <c r="AI283" s="76" t="s">
        <v>1772</v>
      </c>
      <c r="AJ283" s="76"/>
      <c r="AK283" s="81" t="s">
        <v>1674</v>
      </c>
      <c r="AL283" s="76" t="b">
        <v>0</v>
      </c>
      <c r="AM283" s="76">
        <v>0</v>
      </c>
      <c r="AN283" s="81" t="s">
        <v>1674</v>
      </c>
      <c r="AO283" s="81" t="s">
        <v>1809</v>
      </c>
      <c r="AP283" s="76" t="b">
        <v>0</v>
      </c>
      <c r="AQ283" s="81" t="s">
        <v>1622</v>
      </c>
      <c r="AR283" s="76" t="s">
        <v>219</v>
      </c>
      <c r="AS283" s="76">
        <v>0</v>
      </c>
      <c r="AT283" s="76">
        <v>0</v>
      </c>
      <c r="AU283" s="76"/>
      <c r="AV283" s="76"/>
      <c r="AW283" s="76"/>
      <c r="AX283" s="76"/>
      <c r="AY283" s="76"/>
      <c r="AZ283" s="76"/>
      <c r="BA283" s="76"/>
      <c r="BB283" s="76"/>
      <c r="BC283">
        <v>3</v>
      </c>
      <c r="BD283" s="75" t="str">
        <f>REPLACE(INDEX(GroupVertices[Group],MATCH(Edges[[#This Row],[Vertex 1]],GroupVertices[Vertex],0)),1,1,"")</f>
        <v>1</v>
      </c>
      <c r="BE283" s="75" t="str">
        <f>REPLACE(INDEX(GroupVertices[Group],MATCH(Edges[[#This Row],[Vertex 2]],GroupVertices[Vertex],0)),1,1,"")</f>
        <v>9</v>
      </c>
      <c r="BF283" s="45"/>
      <c r="BG283" s="46"/>
      <c r="BH283" s="45"/>
      <c r="BI283" s="46"/>
      <c r="BJ283" s="45"/>
      <c r="BK283" s="46"/>
      <c r="BL283" s="45"/>
      <c r="BM283" s="46"/>
      <c r="BN283" s="45"/>
    </row>
    <row r="284" spans="1:66" ht="15">
      <c r="A284" s="61" t="s">
        <v>396</v>
      </c>
      <c r="B284" s="61" t="s">
        <v>494</v>
      </c>
      <c r="C284" s="62" t="s">
        <v>4691</v>
      </c>
      <c r="D284" s="63">
        <v>5.833333333333333</v>
      </c>
      <c r="E284" s="62"/>
      <c r="F284" s="65">
        <v>44.166666666666664</v>
      </c>
      <c r="G284" s="62"/>
      <c r="H284" s="66"/>
      <c r="I284" s="67"/>
      <c r="J284" s="67"/>
      <c r="K284" s="31" t="s">
        <v>65</v>
      </c>
      <c r="L284" s="68">
        <v>284</v>
      </c>
      <c r="M284" s="68"/>
      <c r="N284" s="69"/>
      <c r="O284" s="76" t="s">
        <v>588</v>
      </c>
      <c r="P284" s="78">
        <v>44817.87739583333</v>
      </c>
      <c r="Q284" s="76" t="s">
        <v>709</v>
      </c>
      <c r="R284" s="76"/>
      <c r="S284" s="76"/>
      <c r="T284" s="81" t="s">
        <v>855</v>
      </c>
      <c r="U284" s="76"/>
      <c r="V284" s="79" t="str">
        <f>HYPERLINK("https://pbs.twimg.com/profile_images/1864138126/GANDALF_MSN_normal.jpg")</f>
        <v>https://pbs.twimg.com/profile_images/1864138126/GANDALF_MSN_normal.jpg</v>
      </c>
      <c r="W284" s="78">
        <v>44817.87739583333</v>
      </c>
      <c r="X284" s="84">
        <v>44817</v>
      </c>
      <c r="Y284" s="81" t="s">
        <v>1079</v>
      </c>
      <c r="Z284" s="79" t="str">
        <f>HYPERLINK("https://twitter.com/lucadaini1/status/1569793907872960512")</f>
        <v>https://twitter.com/lucadaini1/status/1569793907872960512</v>
      </c>
      <c r="AA284" s="76"/>
      <c r="AB284" s="76"/>
      <c r="AC284" s="81" t="s">
        <v>1410</v>
      </c>
      <c r="AD284" s="81" t="s">
        <v>1618</v>
      </c>
      <c r="AE284" s="76" t="b">
        <v>0</v>
      </c>
      <c r="AF284" s="76">
        <v>0</v>
      </c>
      <c r="AG284" s="81" t="s">
        <v>1702</v>
      </c>
      <c r="AH284" s="76" t="b">
        <v>0</v>
      </c>
      <c r="AI284" s="76" t="s">
        <v>1772</v>
      </c>
      <c r="AJ284" s="76"/>
      <c r="AK284" s="81" t="s">
        <v>1674</v>
      </c>
      <c r="AL284" s="76" t="b">
        <v>0</v>
      </c>
      <c r="AM284" s="76">
        <v>0</v>
      </c>
      <c r="AN284" s="81" t="s">
        <v>1674</v>
      </c>
      <c r="AO284" s="81" t="s">
        <v>1809</v>
      </c>
      <c r="AP284" s="76" t="b">
        <v>0</v>
      </c>
      <c r="AQ284" s="81" t="s">
        <v>1618</v>
      </c>
      <c r="AR284" s="76" t="s">
        <v>219</v>
      </c>
      <c r="AS284" s="76">
        <v>0</v>
      </c>
      <c r="AT284" s="76">
        <v>0</v>
      </c>
      <c r="AU284" s="76"/>
      <c r="AV284" s="76"/>
      <c r="AW284" s="76"/>
      <c r="AX284" s="76"/>
      <c r="AY284" s="76"/>
      <c r="AZ284" s="76"/>
      <c r="BA284" s="76"/>
      <c r="BB284" s="76"/>
      <c r="BC284">
        <v>3</v>
      </c>
      <c r="BD284" s="75" t="str">
        <f>REPLACE(INDEX(GroupVertices[Group],MATCH(Edges[[#This Row],[Vertex 1]],GroupVertices[Vertex],0)),1,1,"")</f>
        <v>1</v>
      </c>
      <c r="BE284" s="75" t="str">
        <f>REPLACE(INDEX(GroupVertices[Group],MATCH(Edges[[#This Row],[Vertex 2]],GroupVertices[Vertex],0)),1,1,"")</f>
        <v>9</v>
      </c>
      <c r="BF284" s="45"/>
      <c r="BG284" s="46"/>
      <c r="BH284" s="45"/>
      <c r="BI284" s="46"/>
      <c r="BJ284" s="45"/>
      <c r="BK284" s="46"/>
      <c r="BL284" s="45"/>
      <c r="BM284" s="46"/>
      <c r="BN284" s="45"/>
    </row>
    <row r="285" spans="1:66" ht="15">
      <c r="A285" s="61" t="s">
        <v>396</v>
      </c>
      <c r="B285" s="61" t="s">
        <v>494</v>
      </c>
      <c r="C285" s="62" t="s">
        <v>4691</v>
      </c>
      <c r="D285" s="63">
        <v>5.833333333333333</v>
      </c>
      <c r="E285" s="62"/>
      <c r="F285" s="65">
        <v>44.166666666666664</v>
      </c>
      <c r="G285" s="62"/>
      <c r="H285" s="66"/>
      <c r="I285" s="67"/>
      <c r="J285" s="67"/>
      <c r="K285" s="31" t="s">
        <v>65</v>
      </c>
      <c r="L285" s="68">
        <v>285</v>
      </c>
      <c r="M285" s="68"/>
      <c r="N285" s="69"/>
      <c r="O285" s="76" t="s">
        <v>587</v>
      </c>
      <c r="P285" s="78">
        <v>44818.76804398148</v>
      </c>
      <c r="Q285" s="76" t="s">
        <v>710</v>
      </c>
      <c r="R285" s="76"/>
      <c r="S285" s="76"/>
      <c r="T285" s="81" t="s">
        <v>856</v>
      </c>
      <c r="U285" s="76"/>
      <c r="V285" s="79" t="str">
        <f>HYPERLINK("https://pbs.twimg.com/profile_images/1864138126/GANDALF_MSN_normal.jpg")</f>
        <v>https://pbs.twimg.com/profile_images/1864138126/GANDALF_MSN_normal.jpg</v>
      </c>
      <c r="W285" s="78">
        <v>44818.76804398148</v>
      </c>
      <c r="X285" s="84">
        <v>44818</v>
      </c>
      <c r="Y285" s="81" t="s">
        <v>1080</v>
      </c>
      <c r="Z285" s="79" t="str">
        <f>HYPERLINK("https://twitter.com/lucadaini1/status/1570116666486362113")</f>
        <v>https://twitter.com/lucadaini1/status/1570116666486362113</v>
      </c>
      <c r="AA285" s="76"/>
      <c r="AB285" s="76"/>
      <c r="AC285" s="81" t="s">
        <v>1411</v>
      </c>
      <c r="AD285" s="81" t="s">
        <v>1624</v>
      </c>
      <c r="AE285" s="76" t="b">
        <v>0</v>
      </c>
      <c r="AF285" s="76">
        <v>1</v>
      </c>
      <c r="AG285" s="81" t="s">
        <v>1701</v>
      </c>
      <c r="AH285" s="76" t="b">
        <v>0</v>
      </c>
      <c r="AI285" s="76" t="s">
        <v>1772</v>
      </c>
      <c r="AJ285" s="76"/>
      <c r="AK285" s="81" t="s">
        <v>1674</v>
      </c>
      <c r="AL285" s="76" t="b">
        <v>0</v>
      </c>
      <c r="AM285" s="76">
        <v>0</v>
      </c>
      <c r="AN285" s="81" t="s">
        <v>1674</v>
      </c>
      <c r="AO285" s="81" t="s">
        <v>1809</v>
      </c>
      <c r="AP285" s="76" t="b">
        <v>0</v>
      </c>
      <c r="AQ285" s="81" t="s">
        <v>1624</v>
      </c>
      <c r="AR285" s="76" t="s">
        <v>219</v>
      </c>
      <c r="AS285" s="76">
        <v>0</v>
      </c>
      <c r="AT285" s="76">
        <v>0</v>
      </c>
      <c r="AU285" s="76"/>
      <c r="AV285" s="76"/>
      <c r="AW285" s="76"/>
      <c r="AX285" s="76"/>
      <c r="AY285" s="76"/>
      <c r="AZ285" s="76"/>
      <c r="BA285" s="76"/>
      <c r="BB285" s="76"/>
      <c r="BC285">
        <v>3</v>
      </c>
      <c r="BD285" s="75" t="str">
        <f>REPLACE(INDEX(GroupVertices[Group],MATCH(Edges[[#This Row],[Vertex 1]],GroupVertices[Vertex],0)),1,1,"")</f>
        <v>1</v>
      </c>
      <c r="BE285" s="75" t="str">
        <f>REPLACE(INDEX(GroupVertices[Group],MATCH(Edges[[#This Row],[Vertex 2]],GroupVertices[Vertex],0)),1,1,"")</f>
        <v>9</v>
      </c>
      <c r="BF285" s="45"/>
      <c r="BG285" s="46"/>
      <c r="BH285" s="45"/>
      <c r="BI285" s="46"/>
      <c r="BJ285" s="45"/>
      <c r="BK285" s="46"/>
      <c r="BL285" s="45"/>
      <c r="BM285" s="46"/>
      <c r="BN285" s="45"/>
    </row>
    <row r="286" spans="1:66" ht="15">
      <c r="A286" s="61" t="s">
        <v>396</v>
      </c>
      <c r="B286" s="61" t="s">
        <v>497</v>
      </c>
      <c r="C286" s="62" t="s">
        <v>4691</v>
      </c>
      <c r="D286" s="63">
        <v>5.833333333333333</v>
      </c>
      <c r="E286" s="62"/>
      <c r="F286" s="65">
        <v>44.166666666666664</v>
      </c>
      <c r="G286" s="62"/>
      <c r="H286" s="66"/>
      <c r="I286" s="67"/>
      <c r="J286" s="67"/>
      <c r="K286" s="31" t="s">
        <v>65</v>
      </c>
      <c r="L286" s="68">
        <v>286</v>
      </c>
      <c r="M286" s="68"/>
      <c r="N286" s="69"/>
      <c r="O286" s="76" t="s">
        <v>588</v>
      </c>
      <c r="P286" s="78">
        <v>44812.7296875</v>
      </c>
      <c r="Q286" s="76" t="s">
        <v>706</v>
      </c>
      <c r="R286" s="79" t="str">
        <f>HYPERLINK("https://www.reuters.com/world/europe/tens-thousands-protest-prague-against-czech-government-eu-nato-2022-09-03/")</f>
        <v>https://www.reuters.com/world/europe/tens-thousands-protest-prague-against-czech-government-eu-nato-2022-09-03/</v>
      </c>
      <c r="S286" s="76" t="s">
        <v>788</v>
      </c>
      <c r="T286" s="81" t="s">
        <v>853</v>
      </c>
      <c r="U286" s="76"/>
      <c r="V286" s="79" t="str">
        <f>HYPERLINK("https://pbs.twimg.com/profile_images/1864138126/GANDALF_MSN_normal.jpg")</f>
        <v>https://pbs.twimg.com/profile_images/1864138126/GANDALF_MSN_normal.jpg</v>
      </c>
      <c r="W286" s="78">
        <v>44812.7296875</v>
      </c>
      <c r="X286" s="84">
        <v>44812</v>
      </c>
      <c r="Y286" s="81" t="s">
        <v>1076</v>
      </c>
      <c r="Z286" s="79" t="str">
        <f>HYPERLINK("https://twitter.com/lucadaini1/status/1567928440237727744")</f>
        <v>https://twitter.com/lucadaini1/status/1567928440237727744</v>
      </c>
      <c r="AA286" s="76"/>
      <c r="AB286" s="76"/>
      <c r="AC286" s="81" t="s">
        <v>1407</v>
      </c>
      <c r="AD286" s="81" t="s">
        <v>1622</v>
      </c>
      <c r="AE286" s="76" t="b">
        <v>0</v>
      </c>
      <c r="AF286" s="76">
        <v>0</v>
      </c>
      <c r="AG286" s="81" t="s">
        <v>1702</v>
      </c>
      <c r="AH286" s="76" t="b">
        <v>0</v>
      </c>
      <c r="AI286" s="76" t="s">
        <v>1772</v>
      </c>
      <c r="AJ286" s="76"/>
      <c r="AK286" s="81" t="s">
        <v>1674</v>
      </c>
      <c r="AL286" s="76" t="b">
        <v>0</v>
      </c>
      <c r="AM286" s="76">
        <v>0</v>
      </c>
      <c r="AN286" s="81" t="s">
        <v>1674</v>
      </c>
      <c r="AO286" s="81" t="s">
        <v>1809</v>
      </c>
      <c r="AP286" s="76" t="b">
        <v>0</v>
      </c>
      <c r="AQ286" s="81" t="s">
        <v>1622</v>
      </c>
      <c r="AR286" s="76" t="s">
        <v>219</v>
      </c>
      <c r="AS286" s="76">
        <v>0</v>
      </c>
      <c r="AT286" s="76">
        <v>0</v>
      </c>
      <c r="AU286" s="76"/>
      <c r="AV286" s="76"/>
      <c r="AW286" s="76"/>
      <c r="AX286" s="76"/>
      <c r="AY286" s="76"/>
      <c r="AZ286" s="76"/>
      <c r="BA286" s="76"/>
      <c r="BB286" s="76"/>
      <c r="BC286">
        <v>3</v>
      </c>
      <c r="BD286" s="75" t="str">
        <f>REPLACE(INDEX(GroupVertices[Group],MATCH(Edges[[#This Row],[Vertex 1]],GroupVertices[Vertex],0)),1,1,"")</f>
        <v>1</v>
      </c>
      <c r="BE286" s="75" t="str">
        <f>REPLACE(INDEX(GroupVertices[Group],MATCH(Edges[[#This Row],[Vertex 2]],GroupVertices[Vertex],0)),1,1,"")</f>
        <v>3</v>
      </c>
      <c r="BF286" s="45"/>
      <c r="BG286" s="46"/>
      <c r="BH286" s="45"/>
      <c r="BI286" s="46"/>
      <c r="BJ286" s="45"/>
      <c r="BK286" s="46"/>
      <c r="BL286" s="45"/>
      <c r="BM286" s="46"/>
      <c r="BN286" s="45"/>
    </row>
    <row r="287" spans="1:66" ht="15">
      <c r="A287" s="61" t="s">
        <v>396</v>
      </c>
      <c r="B287" s="61" t="s">
        <v>542</v>
      </c>
      <c r="C287" s="62" t="s">
        <v>4689</v>
      </c>
      <c r="D287" s="63">
        <v>5.416666666666667</v>
      </c>
      <c r="E287" s="62"/>
      <c r="F287" s="65">
        <v>47.083333333333336</v>
      </c>
      <c r="G287" s="62"/>
      <c r="H287" s="66"/>
      <c r="I287" s="67"/>
      <c r="J287" s="67"/>
      <c r="K287" s="31" t="s">
        <v>65</v>
      </c>
      <c r="L287" s="68">
        <v>287</v>
      </c>
      <c r="M287" s="68"/>
      <c r="N287" s="69"/>
      <c r="O287" s="76" t="s">
        <v>588</v>
      </c>
      <c r="P287" s="78">
        <v>44812.7296875</v>
      </c>
      <c r="Q287" s="76" t="s">
        <v>706</v>
      </c>
      <c r="R287" s="79" t="str">
        <f>HYPERLINK("https://www.reuters.com/world/europe/tens-thousands-protest-prague-against-czech-government-eu-nato-2022-09-03/")</f>
        <v>https://www.reuters.com/world/europe/tens-thousands-protest-prague-against-czech-government-eu-nato-2022-09-03/</v>
      </c>
      <c r="S287" s="76" t="s">
        <v>788</v>
      </c>
      <c r="T287" s="81" t="s">
        <v>853</v>
      </c>
      <c r="U287" s="76"/>
      <c r="V287" s="79" t="str">
        <f>HYPERLINK("https://pbs.twimg.com/profile_images/1864138126/GANDALF_MSN_normal.jpg")</f>
        <v>https://pbs.twimg.com/profile_images/1864138126/GANDALF_MSN_normal.jpg</v>
      </c>
      <c r="W287" s="78">
        <v>44812.7296875</v>
      </c>
      <c r="X287" s="84">
        <v>44812</v>
      </c>
      <c r="Y287" s="81" t="s">
        <v>1076</v>
      </c>
      <c r="Z287" s="79" t="str">
        <f>HYPERLINK("https://twitter.com/lucadaini1/status/1567928440237727744")</f>
        <v>https://twitter.com/lucadaini1/status/1567928440237727744</v>
      </c>
      <c r="AA287" s="76"/>
      <c r="AB287" s="76"/>
      <c r="AC287" s="81" t="s">
        <v>1407</v>
      </c>
      <c r="AD287" s="81" t="s">
        <v>1622</v>
      </c>
      <c r="AE287" s="76" t="b">
        <v>0</v>
      </c>
      <c r="AF287" s="76">
        <v>0</v>
      </c>
      <c r="AG287" s="81" t="s">
        <v>1702</v>
      </c>
      <c r="AH287" s="76" t="b">
        <v>0</v>
      </c>
      <c r="AI287" s="76" t="s">
        <v>1772</v>
      </c>
      <c r="AJ287" s="76"/>
      <c r="AK287" s="81" t="s">
        <v>1674</v>
      </c>
      <c r="AL287" s="76" t="b">
        <v>0</v>
      </c>
      <c r="AM287" s="76">
        <v>0</v>
      </c>
      <c r="AN287" s="81" t="s">
        <v>1674</v>
      </c>
      <c r="AO287" s="81" t="s">
        <v>1809</v>
      </c>
      <c r="AP287" s="76" t="b">
        <v>0</v>
      </c>
      <c r="AQ287" s="81" t="s">
        <v>1622</v>
      </c>
      <c r="AR287" s="76" t="s">
        <v>219</v>
      </c>
      <c r="AS287" s="76">
        <v>0</v>
      </c>
      <c r="AT287" s="76">
        <v>0</v>
      </c>
      <c r="AU287" s="76"/>
      <c r="AV287" s="76"/>
      <c r="AW287" s="76"/>
      <c r="AX287" s="76"/>
      <c r="AY287" s="76"/>
      <c r="AZ287" s="76"/>
      <c r="BA287" s="76"/>
      <c r="BB287" s="76"/>
      <c r="BC287">
        <v>2</v>
      </c>
      <c r="BD287" s="75" t="str">
        <f>REPLACE(INDEX(GroupVertices[Group],MATCH(Edges[[#This Row],[Vertex 1]],GroupVertices[Vertex],0)),1,1,"")</f>
        <v>1</v>
      </c>
      <c r="BE287" s="75" t="str">
        <f>REPLACE(INDEX(GroupVertices[Group],MATCH(Edges[[#This Row],[Vertex 2]],GroupVertices[Vertex],0)),1,1,"")</f>
        <v>1</v>
      </c>
      <c r="BF287" s="45">
        <v>2</v>
      </c>
      <c r="BG287" s="46">
        <v>5.882352941176471</v>
      </c>
      <c r="BH287" s="45">
        <v>2</v>
      </c>
      <c r="BI287" s="46">
        <v>5.882352941176471</v>
      </c>
      <c r="BJ287" s="45">
        <v>0</v>
      </c>
      <c r="BK287" s="46">
        <v>0</v>
      </c>
      <c r="BL287" s="45">
        <v>30</v>
      </c>
      <c r="BM287" s="46">
        <v>88.23529411764706</v>
      </c>
      <c r="BN287" s="45">
        <v>34</v>
      </c>
    </row>
    <row r="288" spans="1:66" ht="15">
      <c r="A288" s="61" t="s">
        <v>396</v>
      </c>
      <c r="B288" s="61" t="s">
        <v>447</v>
      </c>
      <c r="C288" s="62" t="s">
        <v>4691</v>
      </c>
      <c r="D288" s="63">
        <v>5.833333333333333</v>
      </c>
      <c r="E288" s="62"/>
      <c r="F288" s="65">
        <v>44.166666666666664</v>
      </c>
      <c r="G288" s="62"/>
      <c r="H288" s="66"/>
      <c r="I288" s="67"/>
      <c r="J288" s="67"/>
      <c r="K288" s="31" t="s">
        <v>65</v>
      </c>
      <c r="L288" s="68">
        <v>288</v>
      </c>
      <c r="M288" s="68"/>
      <c r="N288" s="69"/>
      <c r="O288" s="76" t="s">
        <v>587</v>
      </c>
      <c r="P288" s="78">
        <v>44812.7296875</v>
      </c>
      <c r="Q288" s="76" t="s">
        <v>706</v>
      </c>
      <c r="R288" s="79" t="str">
        <f>HYPERLINK("https://www.reuters.com/world/europe/tens-thousands-protest-prague-against-czech-government-eu-nato-2022-09-03/")</f>
        <v>https://www.reuters.com/world/europe/tens-thousands-protest-prague-against-czech-government-eu-nato-2022-09-03/</v>
      </c>
      <c r="S288" s="76" t="s">
        <v>788</v>
      </c>
      <c r="T288" s="81" t="s">
        <v>853</v>
      </c>
      <c r="U288" s="76"/>
      <c r="V288" s="79" t="str">
        <f>HYPERLINK("https://pbs.twimg.com/profile_images/1864138126/GANDALF_MSN_normal.jpg")</f>
        <v>https://pbs.twimg.com/profile_images/1864138126/GANDALF_MSN_normal.jpg</v>
      </c>
      <c r="W288" s="78">
        <v>44812.7296875</v>
      </c>
      <c r="X288" s="84">
        <v>44812</v>
      </c>
      <c r="Y288" s="81" t="s">
        <v>1076</v>
      </c>
      <c r="Z288" s="79" t="str">
        <f>HYPERLINK("https://twitter.com/lucadaini1/status/1567928440237727744")</f>
        <v>https://twitter.com/lucadaini1/status/1567928440237727744</v>
      </c>
      <c r="AA288" s="76"/>
      <c r="AB288" s="76"/>
      <c r="AC288" s="81" t="s">
        <v>1407</v>
      </c>
      <c r="AD288" s="81" t="s">
        <v>1622</v>
      </c>
      <c r="AE288" s="76" t="b">
        <v>0</v>
      </c>
      <c r="AF288" s="76">
        <v>0</v>
      </c>
      <c r="AG288" s="81" t="s">
        <v>1702</v>
      </c>
      <c r="AH288" s="76" t="b">
        <v>0</v>
      </c>
      <c r="AI288" s="76" t="s">
        <v>1772</v>
      </c>
      <c r="AJ288" s="76"/>
      <c r="AK288" s="81" t="s">
        <v>1674</v>
      </c>
      <c r="AL288" s="76" t="b">
        <v>0</v>
      </c>
      <c r="AM288" s="76">
        <v>0</v>
      </c>
      <c r="AN288" s="81" t="s">
        <v>1674</v>
      </c>
      <c r="AO288" s="81" t="s">
        <v>1809</v>
      </c>
      <c r="AP288" s="76" t="b">
        <v>0</v>
      </c>
      <c r="AQ288" s="81" t="s">
        <v>1622</v>
      </c>
      <c r="AR288" s="76" t="s">
        <v>219</v>
      </c>
      <c r="AS288" s="76">
        <v>0</v>
      </c>
      <c r="AT288" s="76">
        <v>0</v>
      </c>
      <c r="AU288" s="76"/>
      <c r="AV288" s="76"/>
      <c r="AW288" s="76"/>
      <c r="AX288" s="76"/>
      <c r="AY288" s="76"/>
      <c r="AZ288" s="76"/>
      <c r="BA288" s="76"/>
      <c r="BB288" s="76"/>
      <c r="BC288">
        <v>3</v>
      </c>
      <c r="BD288" s="75" t="str">
        <f>REPLACE(INDEX(GroupVertices[Group],MATCH(Edges[[#This Row],[Vertex 1]],GroupVertices[Vertex],0)),1,1,"")</f>
        <v>1</v>
      </c>
      <c r="BE288" s="75" t="str">
        <f>REPLACE(INDEX(GroupVertices[Group],MATCH(Edges[[#This Row],[Vertex 2]],GroupVertices[Vertex],0)),1,1,"")</f>
        <v>1</v>
      </c>
      <c r="BF288" s="45"/>
      <c r="BG288" s="46"/>
      <c r="BH288" s="45"/>
      <c r="BI288" s="46"/>
      <c r="BJ288" s="45"/>
      <c r="BK288" s="46"/>
      <c r="BL288" s="45"/>
      <c r="BM288" s="46"/>
      <c r="BN288" s="45"/>
    </row>
    <row r="289" spans="1:66" ht="15">
      <c r="A289" s="61" t="s">
        <v>396</v>
      </c>
      <c r="B289" s="61" t="s">
        <v>497</v>
      </c>
      <c r="C289" s="62" t="s">
        <v>4691</v>
      </c>
      <c r="D289" s="63">
        <v>5.833333333333333</v>
      </c>
      <c r="E289" s="62"/>
      <c r="F289" s="65">
        <v>44.166666666666664</v>
      </c>
      <c r="G289" s="62"/>
      <c r="H289" s="66"/>
      <c r="I289" s="67"/>
      <c r="J289" s="67"/>
      <c r="K289" s="31" t="s">
        <v>65</v>
      </c>
      <c r="L289" s="68">
        <v>289</v>
      </c>
      <c r="M289" s="68"/>
      <c r="N289" s="69"/>
      <c r="O289" s="76" t="s">
        <v>587</v>
      </c>
      <c r="P289" s="78">
        <v>44814.73302083334</v>
      </c>
      <c r="Q289" s="76" t="s">
        <v>707</v>
      </c>
      <c r="R289" s="76"/>
      <c r="S289" s="76"/>
      <c r="T289" s="81" t="s">
        <v>853</v>
      </c>
      <c r="U289" s="76"/>
      <c r="V289" s="79" t="str">
        <f>HYPERLINK("https://pbs.twimg.com/profile_images/1864138126/GANDALF_MSN_normal.jpg")</f>
        <v>https://pbs.twimg.com/profile_images/1864138126/GANDALF_MSN_normal.jpg</v>
      </c>
      <c r="W289" s="78">
        <v>44814.73302083334</v>
      </c>
      <c r="X289" s="84">
        <v>44814</v>
      </c>
      <c r="Y289" s="81" t="s">
        <v>1077</v>
      </c>
      <c r="Z289" s="79" t="str">
        <f>HYPERLINK("https://twitter.com/lucadaini1/status/1568654424272166912")</f>
        <v>https://twitter.com/lucadaini1/status/1568654424272166912</v>
      </c>
      <c r="AA289" s="76"/>
      <c r="AB289" s="76"/>
      <c r="AC289" s="81" t="s">
        <v>1408</v>
      </c>
      <c r="AD289" s="81" t="s">
        <v>1596</v>
      </c>
      <c r="AE289" s="76" t="b">
        <v>0</v>
      </c>
      <c r="AF289" s="76">
        <v>0</v>
      </c>
      <c r="AG289" s="81" t="s">
        <v>1706</v>
      </c>
      <c r="AH289" s="76" t="b">
        <v>0</v>
      </c>
      <c r="AI289" s="76" t="s">
        <v>1772</v>
      </c>
      <c r="AJ289" s="76"/>
      <c r="AK289" s="81" t="s">
        <v>1674</v>
      </c>
      <c r="AL289" s="76" t="b">
        <v>0</v>
      </c>
      <c r="AM289" s="76">
        <v>0</v>
      </c>
      <c r="AN289" s="81" t="s">
        <v>1674</v>
      </c>
      <c r="AO289" s="81" t="s">
        <v>1809</v>
      </c>
      <c r="AP289" s="76" t="b">
        <v>0</v>
      </c>
      <c r="AQ289" s="81" t="s">
        <v>1596</v>
      </c>
      <c r="AR289" s="76" t="s">
        <v>219</v>
      </c>
      <c r="AS289" s="76">
        <v>0</v>
      </c>
      <c r="AT289" s="76">
        <v>0</v>
      </c>
      <c r="AU289" s="76"/>
      <c r="AV289" s="76"/>
      <c r="AW289" s="76"/>
      <c r="AX289" s="76"/>
      <c r="AY289" s="76"/>
      <c r="AZ289" s="76"/>
      <c r="BA289" s="76"/>
      <c r="BB289" s="76"/>
      <c r="BC289">
        <v>3</v>
      </c>
      <c r="BD289" s="75" t="str">
        <f>REPLACE(INDEX(GroupVertices[Group],MATCH(Edges[[#This Row],[Vertex 1]],GroupVertices[Vertex],0)),1,1,"")</f>
        <v>1</v>
      </c>
      <c r="BE289" s="75" t="str">
        <f>REPLACE(INDEX(GroupVertices[Group],MATCH(Edges[[#This Row],[Vertex 2]],GroupVertices[Vertex],0)),1,1,"")</f>
        <v>3</v>
      </c>
      <c r="BF289" s="45">
        <v>2</v>
      </c>
      <c r="BG289" s="46">
        <v>4.651162790697675</v>
      </c>
      <c r="BH289" s="45">
        <v>2</v>
      </c>
      <c r="BI289" s="46">
        <v>4.651162790697675</v>
      </c>
      <c r="BJ289" s="45">
        <v>0</v>
      </c>
      <c r="BK289" s="46">
        <v>0</v>
      </c>
      <c r="BL289" s="45">
        <v>39</v>
      </c>
      <c r="BM289" s="46">
        <v>90.69767441860465</v>
      </c>
      <c r="BN289" s="45">
        <v>43</v>
      </c>
    </row>
    <row r="290" spans="1:66" ht="15">
      <c r="A290" s="61" t="s">
        <v>396</v>
      </c>
      <c r="B290" s="61" t="s">
        <v>497</v>
      </c>
      <c r="C290" s="62" t="s">
        <v>4691</v>
      </c>
      <c r="D290" s="63">
        <v>5.833333333333333</v>
      </c>
      <c r="E290" s="62"/>
      <c r="F290" s="65">
        <v>44.166666666666664</v>
      </c>
      <c r="G290" s="62"/>
      <c r="H290" s="66"/>
      <c r="I290" s="67"/>
      <c r="J290" s="67"/>
      <c r="K290" s="31" t="s">
        <v>65</v>
      </c>
      <c r="L290" s="68">
        <v>290</v>
      </c>
      <c r="M290" s="68"/>
      <c r="N290" s="69"/>
      <c r="O290" s="76" t="s">
        <v>587</v>
      </c>
      <c r="P290" s="78">
        <v>44815.89501157407</v>
      </c>
      <c r="Q290" s="76" t="s">
        <v>708</v>
      </c>
      <c r="R290" s="76"/>
      <c r="S290" s="76"/>
      <c r="T290" s="81" t="s">
        <v>854</v>
      </c>
      <c r="U290" s="76"/>
      <c r="V290" s="79" t="str">
        <f>HYPERLINK("https://pbs.twimg.com/profile_images/1864138126/GANDALF_MSN_normal.jpg")</f>
        <v>https://pbs.twimg.com/profile_images/1864138126/GANDALF_MSN_normal.jpg</v>
      </c>
      <c r="W290" s="78">
        <v>44815.89501157407</v>
      </c>
      <c r="X290" s="84">
        <v>44815</v>
      </c>
      <c r="Y290" s="81" t="s">
        <v>1078</v>
      </c>
      <c r="Z290" s="79" t="str">
        <f>HYPERLINK("https://twitter.com/lucadaini1/status/1569075515788775424")</f>
        <v>https://twitter.com/lucadaini1/status/1569075515788775424</v>
      </c>
      <c r="AA290" s="76"/>
      <c r="AB290" s="76"/>
      <c r="AC290" s="81" t="s">
        <v>1409</v>
      </c>
      <c r="AD290" s="81" t="s">
        <v>1623</v>
      </c>
      <c r="AE290" s="76" t="b">
        <v>0</v>
      </c>
      <c r="AF290" s="76">
        <v>1</v>
      </c>
      <c r="AG290" s="81" t="s">
        <v>1706</v>
      </c>
      <c r="AH290" s="76" t="b">
        <v>0</v>
      </c>
      <c r="AI290" s="76" t="s">
        <v>1772</v>
      </c>
      <c r="AJ290" s="76"/>
      <c r="AK290" s="81" t="s">
        <v>1674</v>
      </c>
      <c r="AL290" s="76" t="b">
        <v>0</v>
      </c>
      <c r="AM290" s="76">
        <v>0</v>
      </c>
      <c r="AN290" s="81" t="s">
        <v>1674</v>
      </c>
      <c r="AO290" s="81" t="s">
        <v>1809</v>
      </c>
      <c r="AP290" s="76" t="b">
        <v>0</v>
      </c>
      <c r="AQ290" s="81" t="s">
        <v>1623</v>
      </c>
      <c r="AR290" s="76" t="s">
        <v>219</v>
      </c>
      <c r="AS290" s="76">
        <v>0</v>
      </c>
      <c r="AT290" s="76">
        <v>0</v>
      </c>
      <c r="AU290" s="76"/>
      <c r="AV290" s="76"/>
      <c r="AW290" s="76"/>
      <c r="AX290" s="76"/>
      <c r="AY290" s="76"/>
      <c r="AZ290" s="76"/>
      <c r="BA290" s="76"/>
      <c r="BB290" s="76"/>
      <c r="BC290">
        <v>3</v>
      </c>
      <c r="BD290" s="75" t="str">
        <f>REPLACE(INDEX(GroupVertices[Group],MATCH(Edges[[#This Row],[Vertex 1]],GroupVertices[Vertex],0)),1,1,"")</f>
        <v>1</v>
      </c>
      <c r="BE290" s="75" t="str">
        <f>REPLACE(INDEX(GroupVertices[Group],MATCH(Edges[[#This Row],[Vertex 2]],GroupVertices[Vertex],0)),1,1,"")</f>
        <v>3</v>
      </c>
      <c r="BF290" s="45">
        <v>0</v>
      </c>
      <c r="BG290" s="46">
        <v>0</v>
      </c>
      <c r="BH290" s="45">
        <v>2</v>
      </c>
      <c r="BI290" s="46">
        <v>5.2631578947368425</v>
      </c>
      <c r="BJ290" s="45">
        <v>0</v>
      </c>
      <c r="BK290" s="46">
        <v>0</v>
      </c>
      <c r="BL290" s="45">
        <v>36</v>
      </c>
      <c r="BM290" s="46">
        <v>94.73684210526316</v>
      </c>
      <c r="BN290" s="45">
        <v>38</v>
      </c>
    </row>
    <row r="291" spans="1:66" ht="15">
      <c r="A291" s="61" t="s">
        <v>396</v>
      </c>
      <c r="B291" s="61" t="s">
        <v>533</v>
      </c>
      <c r="C291" s="62" t="s">
        <v>4689</v>
      </c>
      <c r="D291" s="63">
        <v>5.416666666666667</v>
      </c>
      <c r="E291" s="62"/>
      <c r="F291" s="65">
        <v>47.083333333333336</v>
      </c>
      <c r="G291" s="62"/>
      <c r="H291" s="66"/>
      <c r="I291" s="67"/>
      <c r="J291" s="67"/>
      <c r="K291" s="31" t="s">
        <v>65</v>
      </c>
      <c r="L291" s="68">
        <v>291</v>
      </c>
      <c r="M291" s="68"/>
      <c r="N291" s="69"/>
      <c r="O291" s="76" t="s">
        <v>588</v>
      </c>
      <c r="P291" s="78">
        <v>44817.87739583333</v>
      </c>
      <c r="Q291" s="76" t="s">
        <v>709</v>
      </c>
      <c r="R291" s="76"/>
      <c r="S291" s="76"/>
      <c r="T291" s="81" t="s">
        <v>855</v>
      </c>
      <c r="U291" s="76"/>
      <c r="V291" s="79" t="str">
        <f>HYPERLINK("https://pbs.twimg.com/profile_images/1864138126/GANDALF_MSN_normal.jpg")</f>
        <v>https://pbs.twimg.com/profile_images/1864138126/GANDALF_MSN_normal.jpg</v>
      </c>
      <c r="W291" s="78">
        <v>44817.87739583333</v>
      </c>
      <c r="X291" s="84">
        <v>44817</v>
      </c>
      <c r="Y291" s="81" t="s">
        <v>1079</v>
      </c>
      <c r="Z291" s="79" t="str">
        <f>HYPERLINK("https://twitter.com/lucadaini1/status/1569793907872960512")</f>
        <v>https://twitter.com/lucadaini1/status/1569793907872960512</v>
      </c>
      <c r="AA291" s="76"/>
      <c r="AB291" s="76"/>
      <c r="AC291" s="81" t="s">
        <v>1410</v>
      </c>
      <c r="AD291" s="81" t="s">
        <v>1618</v>
      </c>
      <c r="AE291" s="76" t="b">
        <v>0</v>
      </c>
      <c r="AF291" s="76">
        <v>0</v>
      </c>
      <c r="AG291" s="81" t="s">
        <v>1702</v>
      </c>
      <c r="AH291" s="76" t="b">
        <v>0</v>
      </c>
      <c r="AI291" s="76" t="s">
        <v>1772</v>
      </c>
      <c r="AJ291" s="76"/>
      <c r="AK291" s="81" t="s">
        <v>1674</v>
      </c>
      <c r="AL291" s="76" t="b">
        <v>0</v>
      </c>
      <c r="AM291" s="76">
        <v>0</v>
      </c>
      <c r="AN291" s="81" t="s">
        <v>1674</v>
      </c>
      <c r="AO291" s="81" t="s">
        <v>1809</v>
      </c>
      <c r="AP291" s="76" t="b">
        <v>0</v>
      </c>
      <c r="AQ291" s="81" t="s">
        <v>1618</v>
      </c>
      <c r="AR291" s="76" t="s">
        <v>219</v>
      </c>
      <c r="AS291" s="76">
        <v>0</v>
      </c>
      <c r="AT291" s="76">
        <v>0</v>
      </c>
      <c r="AU291" s="76"/>
      <c r="AV291" s="76"/>
      <c r="AW291" s="76"/>
      <c r="AX291" s="76"/>
      <c r="AY291" s="76"/>
      <c r="AZ291" s="76"/>
      <c r="BA291" s="76"/>
      <c r="BB291" s="76"/>
      <c r="BC291">
        <v>2</v>
      </c>
      <c r="BD291" s="75" t="str">
        <f>REPLACE(INDEX(GroupVertices[Group],MATCH(Edges[[#This Row],[Vertex 1]],GroupVertices[Vertex],0)),1,1,"")</f>
        <v>1</v>
      </c>
      <c r="BE291" s="75" t="str">
        <f>REPLACE(INDEX(GroupVertices[Group],MATCH(Edges[[#This Row],[Vertex 2]],GroupVertices[Vertex],0)),1,1,"")</f>
        <v>1</v>
      </c>
      <c r="BF291" s="45"/>
      <c r="BG291" s="46"/>
      <c r="BH291" s="45"/>
      <c r="BI291" s="46"/>
      <c r="BJ291" s="45"/>
      <c r="BK291" s="46"/>
      <c r="BL291" s="45"/>
      <c r="BM291" s="46"/>
      <c r="BN291" s="45"/>
    </row>
    <row r="292" spans="1:66" ht="15">
      <c r="A292" s="61" t="s">
        <v>396</v>
      </c>
      <c r="B292" s="61" t="s">
        <v>447</v>
      </c>
      <c r="C292" s="62" t="s">
        <v>4691</v>
      </c>
      <c r="D292" s="63">
        <v>5.833333333333333</v>
      </c>
      <c r="E292" s="62"/>
      <c r="F292" s="65">
        <v>44.166666666666664</v>
      </c>
      <c r="G292" s="62"/>
      <c r="H292" s="66"/>
      <c r="I292" s="67"/>
      <c r="J292" s="67"/>
      <c r="K292" s="31" t="s">
        <v>65</v>
      </c>
      <c r="L292" s="68">
        <v>292</v>
      </c>
      <c r="M292" s="68"/>
      <c r="N292" s="69"/>
      <c r="O292" s="76" t="s">
        <v>587</v>
      </c>
      <c r="P292" s="78">
        <v>44817.87739583333</v>
      </c>
      <c r="Q292" s="76" t="s">
        <v>709</v>
      </c>
      <c r="R292" s="76"/>
      <c r="S292" s="76"/>
      <c r="T292" s="81" t="s">
        <v>855</v>
      </c>
      <c r="U292" s="76"/>
      <c r="V292" s="79" t="str">
        <f>HYPERLINK("https://pbs.twimg.com/profile_images/1864138126/GANDALF_MSN_normal.jpg")</f>
        <v>https://pbs.twimg.com/profile_images/1864138126/GANDALF_MSN_normal.jpg</v>
      </c>
      <c r="W292" s="78">
        <v>44817.87739583333</v>
      </c>
      <c r="X292" s="84">
        <v>44817</v>
      </c>
      <c r="Y292" s="81" t="s">
        <v>1079</v>
      </c>
      <c r="Z292" s="79" t="str">
        <f>HYPERLINK("https://twitter.com/lucadaini1/status/1569793907872960512")</f>
        <v>https://twitter.com/lucadaini1/status/1569793907872960512</v>
      </c>
      <c r="AA292" s="76"/>
      <c r="AB292" s="76"/>
      <c r="AC292" s="81" t="s">
        <v>1410</v>
      </c>
      <c r="AD292" s="81" t="s">
        <v>1618</v>
      </c>
      <c r="AE292" s="76" t="b">
        <v>0</v>
      </c>
      <c r="AF292" s="76">
        <v>0</v>
      </c>
      <c r="AG292" s="81" t="s">
        <v>1702</v>
      </c>
      <c r="AH292" s="76" t="b">
        <v>0</v>
      </c>
      <c r="AI292" s="76" t="s">
        <v>1772</v>
      </c>
      <c r="AJ292" s="76"/>
      <c r="AK292" s="81" t="s">
        <v>1674</v>
      </c>
      <c r="AL292" s="76" t="b">
        <v>0</v>
      </c>
      <c r="AM292" s="76">
        <v>0</v>
      </c>
      <c r="AN292" s="81" t="s">
        <v>1674</v>
      </c>
      <c r="AO292" s="81" t="s">
        <v>1809</v>
      </c>
      <c r="AP292" s="76" t="b">
        <v>0</v>
      </c>
      <c r="AQ292" s="81" t="s">
        <v>1618</v>
      </c>
      <c r="AR292" s="76" t="s">
        <v>219</v>
      </c>
      <c r="AS292" s="76">
        <v>0</v>
      </c>
      <c r="AT292" s="76">
        <v>0</v>
      </c>
      <c r="AU292" s="76"/>
      <c r="AV292" s="76"/>
      <c r="AW292" s="76"/>
      <c r="AX292" s="76"/>
      <c r="AY292" s="76"/>
      <c r="AZ292" s="76"/>
      <c r="BA292" s="76"/>
      <c r="BB292" s="76"/>
      <c r="BC292">
        <v>3</v>
      </c>
      <c r="BD292" s="75" t="str">
        <f>REPLACE(INDEX(GroupVertices[Group],MATCH(Edges[[#This Row],[Vertex 1]],GroupVertices[Vertex],0)),1,1,"")</f>
        <v>1</v>
      </c>
      <c r="BE292" s="75" t="str">
        <f>REPLACE(INDEX(GroupVertices[Group],MATCH(Edges[[#This Row],[Vertex 2]],GroupVertices[Vertex],0)),1,1,"")</f>
        <v>1</v>
      </c>
      <c r="BF292" s="45">
        <v>0</v>
      </c>
      <c r="BG292" s="46">
        <v>0</v>
      </c>
      <c r="BH292" s="45">
        <v>1</v>
      </c>
      <c r="BI292" s="46">
        <v>5.882352941176471</v>
      </c>
      <c r="BJ292" s="45">
        <v>0</v>
      </c>
      <c r="BK292" s="46">
        <v>0</v>
      </c>
      <c r="BL292" s="45">
        <v>16</v>
      </c>
      <c r="BM292" s="46">
        <v>94.11764705882354</v>
      </c>
      <c r="BN292" s="45">
        <v>17</v>
      </c>
    </row>
    <row r="293" spans="1:66" ht="15">
      <c r="A293" s="61" t="s">
        <v>396</v>
      </c>
      <c r="B293" s="61" t="s">
        <v>532</v>
      </c>
      <c r="C293" s="62" t="s">
        <v>4688</v>
      </c>
      <c r="D293" s="63">
        <v>5</v>
      </c>
      <c r="E293" s="62"/>
      <c r="F293" s="65">
        <v>50</v>
      </c>
      <c r="G293" s="62"/>
      <c r="H293" s="66"/>
      <c r="I293" s="67"/>
      <c r="J293" s="67"/>
      <c r="K293" s="31" t="s">
        <v>65</v>
      </c>
      <c r="L293" s="68">
        <v>293</v>
      </c>
      <c r="M293" s="68"/>
      <c r="N293" s="69"/>
      <c r="O293" s="76" t="s">
        <v>588</v>
      </c>
      <c r="P293" s="78">
        <v>44818.76804398148</v>
      </c>
      <c r="Q293" s="76" t="s">
        <v>710</v>
      </c>
      <c r="R293" s="76"/>
      <c r="S293" s="76"/>
      <c r="T293" s="81" t="s">
        <v>856</v>
      </c>
      <c r="U293" s="76"/>
      <c r="V293" s="79" t="str">
        <f>HYPERLINK("https://pbs.twimg.com/profile_images/1864138126/GANDALF_MSN_normal.jpg")</f>
        <v>https://pbs.twimg.com/profile_images/1864138126/GANDALF_MSN_normal.jpg</v>
      </c>
      <c r="W293" s="78">
        <v>44818.76804398148</v>
      </c>
      <c r="X293" s="84">
        <v>44818</v>
      </c>
      <c r="Y293" s="81" t="s">
        <v>1080</v>
      </c>
      <c r="Z293" s="79" t="str">
        <f>HYPERLINK("https://twitter.com/lucadaini1/status/1570116666486362113")</f>
        <v>https://twitter.com/lucadaini1/status/1570116666486362113</v>
      </c>
      <c r="AA293" s="76"/>
      <c r="AB293" s="76"/>
      <c r="AC293" s="81" t="s">
        <v>1411</v>
      </c>
      <c r="AD293" s="81" t="s">
        <v>1624</v>
      </c>
      <c r="AE293" s="76" t="b">
        <v>0</v>
      </c>
      <c r="AF293" s="76">
        <v>1</v>
      </c>
      <c r="AG293" s="81" t="s">
        <v>1701</v>
      </c>
      <c r="AH293" s="76" t="b">
        <v>0</v>
      </c>
      <c r="AI293" s="76" t="s">
        <v>1772</v>
      </c>
      <c r="AJ293" s="76"/>
      <c r="AK293" s="81" t="s">
        <v>1674</v>
      </c>
      <c r="AL293" s="76" t="b">
        <v>0</v>
      </c>
      <c r="AM293" s="76">
        <v>0</v>
      </c>
      <c r="AN293" s="81" t="s">
        <v>1674</v>
      </c>
      <c r="AO293" s="81" t="s">
        <v>1809</v>
      </c>
      <c r="AP293" s="76" t="b">
        <v>0</v>
      </c>
      <c r="AQ293" s="81" t="s">
        <v>1624</v>
      </c>
      <c r="AR293" s="76" t="s">
        <v>219</v>
      </c>
      <c r="AS293" s="76">
        <v>0</v>
      </c>
      <c r="AT293" s="76">
        <v>0</v>
      </c>
      <c r="AU293" s="76"/>
      <c r="AV293" s="76"/>
      <c r="AW293" s="76"/>
      <c r="AX293" s="76"/>
      <c r="AY293" s="76"/>
      <c r="AZ293" s="76"/>
      <c r="BA293" s="76"/>
      <c r="BB293" s="76"/>
      <c r="BC293">
        <v>1</v>
      </c>
      <c r="BD293" s="75" t="str">
        <f>REPLACE(INDEX(GroupVertices[Group],MATCH(Edges[[#This Row],[Vertex 1]],GroupVertices[Vertex],0)),1,1,"")</f>
        <v>1</v>
      </c>
      <c r="BE293" s="75" t="str">
        <f>REPLACE(INDEX(GroupVertices[Group],MATCH(Edges[[#This Row],[Vertex 2]],GroupVertices[Vertex],0)),1,1,"")</f>
        <v>1</v>
      </c>
      <c r="BF293" s="45"/>
      <c r="BG293" s="46"/>
      <c r="BH293" s="45"/>
      <c r="BI293" s="46"/>
      <c r="BJ293" s="45"/>
      <c r="BK293" s="46"/>
      <c r="BL293" s="45"/>
      <c r="BM293" s="46"/>
      <c r="BN293" s="45"/>
    </row>
    <row r="294" spans="1:66" ht="15">
      <c r="A294" s="61" t="s">
        <v>396</v>
      </c>
      <c r="B294" s="61" t="s">
        <v>542</v>
      </c>
      <c r="C294" s="62" t="s">
        <v>4689</v>
      </c>
      <c r="D294" s="63">
        <v>5.416666666666667</v>
      </c>
      <c r="E294" s="62"/>
      <c r="F294" s="65">
        <v>47.083333333333336</v>
      </c>
      <c r="G294" s="62"/>
      <c r="H294" s="66"/>
      <c r="I294" s="67"/>
      <c r="J294" s="67"/>
      <c r="K294" s="31" t="s">
        <v>65</v>
      </c>
      <c r="L294" s="68">
        <v>294</v>
      </c>
      <c r="M294" s="68"/>
      <c r="N294" s="69"/>
      <c r="O294" s="76" t="s">
        <v>588</v>
      </c>
      <c r="P294" s="78">
        <v>44818.76804398148</v>
      </c>
      <c r="Q294" s="76" t="s">
        <v>710</v>
      </c>
      <c r="R294" s="76"/>
      <c r="S294" s="76"/>
      <c r="T294" s="81" t="s">
        <v>856</v>
      </c>
      <c r="U294" s="76"/>
      <c r="V294" s="79" t="str">
        <f>HYPERLINK("https://pbs.twimg.com/profile_images/1864138126/GANDALF_MSN_normal.jpg")</f>
        <v>https://pbs.twimg.com/profile_images/1864138126/GANDALF_MSN_normal.jpg</v>
      </c>
      <c r="W294" s="78">
        <v>44818.76804398148</v>
      </c>
      <c r="X294" s="84">
        <v>44818</v>
      </c>
      <c r="Y294" s="81" t="s">
        <v>1080</v>
      </c>
      <c r="Z294" s="79" t="str">
        <f>HYPERLINK("https://twitter.com/lucadaini1/status/1570116666486362113")</f>
        <v>https://twitter.com/lucadaini1/status/1570116666486362113</v>
      </c>
      <c r="AA294" s="76"/>
      <c r="AB294" s="76"/>
      <c r="AC294" s="81" t="s">
        <v>1411</v>
      </c>
      <c r="AD294" s="81" t="s">
        <v>1624</v>
      </c>
      <c r="AE294" s="76" t="b">
        <v>0</v>
      </c>
      <c r="AF294" s="76">
        <v>1</v>
      </c>
      <c r="AG294" s="81" t="s">
        <v>1701</v>
      </c>
      <c r="AH294" s="76" t="b">
        <v>0</v>
      </c>
      <c r="AI294" s="76" t="s">
        <v>1772</v>
      </c>
      <c r="AJ294" s="76"/>
      <c r="AK294" s="81" t="s">
        <v>1674</v>
      </c>
      <c r="AL294" s="76" t="b">
        <v>0</v>
      </c>
      <c r="AM294" s="76">
        <v>0</v>
      </c>
      <c r="AN294" s="81" t="s">
        <v>1674</v>
      </c>
      <c r="AO294" s="81" t="s">
        <v>1809</v>
      </c>
      <c r="AP294" s="76" t="b">
        <v>0</v>
      </c>
      <c r="AQ294" s="81" t="s">
        <v>1624</v>
      </c>
      <c r="AR294" s="76" t="s">
        <v>219</v>
      </c>
      <c r="AS294" s="76">
        <v>0</v>
      </c>
      <c r="AT294" s="76">
        <v>0</v>
      </c>
      <c r="AU294" s="76"/>
      <c r="AV294" s="76"/>
      <c r="AW294" s="76"/>
      <c r="AX294" s="76"/>
      <c r="AY294" s="76"/>
      <c r="AZ294" s="76"/>
      <c r="BA294" s="76"/>
      <c r="BB294" s="76"/>
      <c r="BC294">
        <v>2</v>
      </c>
      <c r="BD294" s="75" t="str">
        <f>REPLACE(INDEX(GroupVertices[Group],MATCH(Edges[[#This Row],[Vertex 1]],GroupVertices[Vertex],0)),1,1,"")</f>
        <v>1</v>
      </c>
      <c r="BE294" s="75" t="str">
        <f>REPLACE(INDEX(GroupVertices[Group],MATCH(Edges[[#This Row],[Vertex 2]],GroupVertices[Vertex],0)),1,1,"")</f>
        <v>1</v>
      </c>
      <c r="BF294" s="45">
        <v>1</v>
      </c>
      <c r="BG294" s="46">
        <v>2.5</v>
      </c>
      <c r="BH294" s="45">
        <v>0</v>
      </c>
      <c r="BI294" s="46">
        <v>0</v>
      </c>
      <c r="BJ294" s="45">
        <v>0</v>
      </c>
      <c r="BK294" s="46">
        <v>0</v>
      </c>
      <c r="BL294" s="45">
        <v>39</v>
      </c>
      <c r="BM294" s="46">
        <v>97.5</v>
      </c>
      <c r="BN294" s="45">
        <v>40</v>
      </c>
    </row>
    <row r="295" spans="1:66" ht="15">
      <c r="A295" s="61" t="s">
        <v>396</v>
      </c>
      <c r="B295" s="61" t="s">
        <v>447</v>
      </c>
      <c r="C295" s="62" t="s">
        <v>4691</v>
      </c>
      <c r="D295" s="63">
        <v>5.833333333333333</v>
      </c>
      <c r="E295" s="62"/>
      <c r="F295" s="65">
        <v>44.166666666666664</v>
      </c>
      <c r="G295" s="62"/>
      <c r="H295" s="66"/>
      <c r="I295" s="67"/>
      <c r="J295" s="67"/>
      <c r="K295" s="31" t="s">
        <v>65</v>
      </c>
      <c r="L295" s="68">
        <v>295</v>
      </c>
      <c r="M295" s="68"/>
      <c r="N295" s="69"/>
      <c r="O295" s="76" t="s">
        <v>588</v>
      </c>
      <c r="P295" s="78">
        <v>44818.76804398148</v>
      </c>
      <c r="Q295" s="76" t="s">
        <v>710</v>
      </c>
      <c r="R295" s="76"/>
      <c r="S295" s="76"/>
      <c r="T295" s="81" t="s">
        <v>856</v>
      </c>
      <c r="U295" s="76"/>
      <c r="V295" s="79" t="str">
        <f>HYPERLINK("https://pbs.twimg.com/profile_images/1864138126/GANDALF_MSN_normal.jpg")</f>
        <v>https://pbs.twimg.com/profile_images/1864138126/GANDALF_MSN_normal.jpg</v>
      </c>
      <c r="W295" s="78">
        <v>44818.76804398148</v>
      </c>
      <c r="X295" s="84">
        <v>44818</v>
      </c>
      <c r="Y295" s="81" t="s">
        <v>1080</v>
      </c>
      <c r="Z295" s="79" t="str">
        <f>HYPERLINK("https://twitter.com/lucadaini1/status/1570116666486362113")</f>
        <v>https://twitter.com/lucadaini1/status/1570116666486362113</v>
      </c>
      <c r="AA295" s="76"/>
      <c r="AB295" s="76"/>
      <c r="AC295" s="81" t="s">
        <v>1411</v>
      </c>
      <c r="AD295" s="81" t="s">
        <v>1624</v>
      </c>
      <c r="AE295" s="76" t="b">
        <v>0</v>
      </c>
      <c r="AF295" s="76">
        <v>1</v>
      </c>
      <c r="AG295" s="81" t="s">
        <v>1701</v>
      </c>
      <c r="AH295" s="76" t="b">
        <v>0</v>
      </c>
      <c r="AI295" s="76" t="s">
        <v>1772</v>
      </c>
      <c r="AJ295" s="76"/>
      <c r="AK295" s="81" t="s">
        <v>1674</v>
      </c>
      <c r="AL295" s="76" t="b">
        <v>0</v>
      </c>
      <c r="AM295" s="76">
        <v>0</v>
      </c>
      <c r="AN295" s="81" t="s">
        <v>1674</v>
      </c>
      <c r="AO295" s="81" t="s">
        <v>1809</v>
      </c>
      <c r="AP295" s="76" t="b">
        <v>0</v>
      </c>
      <c r="AQ295" s="81" t="s">
        <v>1624</v>
      </c>
      <c r="AR295" s="76" t="s">
        <v>219</v>
      </c>
      <c r="AS295" s="76">
        <v>0</v>
      </c>
      <c r="AT295" s="76">
        <v>0</v>
      </c>
      <c r="AU295" s="76"/>
      <c r="AV295" s="76"/>
      <c r="AW295" s="76"/>
      <c r="AX295" s="76"/>
      <c r="AY295" s="76"/>
      <c r="AZ295" s="76"/>
      <c r="BA295" s="76"/>
      <c r="BB295" s="76"/>
      <c r="BC295">
        <v>3</v>
      </c>
      <c r="BD295" s="75" t="str">
        <f>REPLACE(INDEX(GroupVertices[Group],MATCH(Edges[[#This Row],[Vertex 1]],GroupVertices[Vertex],0)),1,1,"")</f>
        <v>1</v>
      </c>
      <c r="BE295" s="75" t="str">
        <f>REPLACE(INDEX(GroupVertices[Group],MATCH(Edges[[#This Row],[Vertex 2]],GroupVertices[Vertex],0)),1,1,"")</f>
        <v>1</v>
      </c>
      <c r="BF295" s="45"/>
      <c r="BG295" s="46"/>
      <c r="BH295" s="45"/>
      <c r="BI295" s="46"/>
      <c r="BJ295" s="45"/>
      <c r="BK295" s="46"/>
      <c r="BL295" s="45"/>
      <c r="BM295" s="46"/>
      <c r="BN295" s="45"/>
    </row>
    <row r="296" spans="1:66" ht="15">
      <c r="A296" s="61" t="s">
        <v>396</v>
      </c>
      <c r="B296" s="61" t="s">
        <v>533</v>
      </c>
      <c r="C296" s="62" t="s">
        <v>4689</v>
      </c>
      <c r="D296" s="63">
        <v>5.416666666666667</v>
      </c>
      <c r="E296" s="62"/>
      <c r="F296" s="65">
        <v>47.083333333333336</v>
      </c>
      <c r="G296" s="62"/>
      <c r="H296" s="66"/>
      <c r="I296" s="67"/>
      <c r="J296" s="67"/>
      <c r="K296" s="31" t="s">
        <v>65</v>
      </c>
      <c r="L296" s="68">
        <v>296</v>
      </c>
      <c r="M296" s="68"/>
      <c r="N296" s="69"/>
      <c r="O296" s="76" t="s">
        <v>588</v>
      </c>
      <c r="P296" s="78">
        <v>44818.76804398148</v>
      </c>
      <c r="Q296" s="76" t="s">
        <v>710</v>
      </c>
      <c r="R296" s="76"/>
      <c r="S296" s="76"/>
      <c r="T296" s="81" t="s">
        <v>856</v>
      </c>
      <c r="U296" s="76"/>
      <c r="V296" s="79" t="str">
        <f>HYPERLINK("https://pbs.twimg.com/profile_images/1864138126/GANDALF_MSN_normal.jpg")</f>
        <v>https://pbs.twimg.com/profile_images/1864138126/GANDALF_MSN_normal.jpg</v>
      </c>
      <c r="W296" s="78">
        <v>44818.76804398148</v>
      </c>
      <c r="X296" s="84">
        <v>44818</v>
      </c>
      <c r="Y296" s="81" t="s">
        <v>1080</v>
      </c>
      <c r="Z296" s="79" t="str">
        <f>HYPERLINK("https://twitter.com/lucadaini1/status/1570116666486362113")</f>
        <v>https://twitter.com/lucadaini1/status/1570116666486362113</v>
      </c>
      <c r="AA296" s="76"/>
      <c r="AB296" s="76"/>
      <c r="AC296" s="81" t="s">
        <v>1411</v>
      </c>
      <c r="AD296" s="81" t="s">
        <v>1624</v>
      </c>
      <c r="AE296" s="76" t="b">
        <v>0</v>
      </c>
      <c r="AF296" s="76">
        <v>1</v>
      </c>
      <c r="AG296" s="81" t="s">
        <v>1701</v>
      </c>
      <c r="AH296" s="76" t="b">
        <v>0</v>
      </c>
      <c r="AI296" s="76" t="s">
        <v>1772</v>
      </c>
      <c r="AJ296" s="76"/>
      <c r="AK296" s="81" t="s">
        <v>1674</v>
      </c>
      <c r="AL296" s="76" t="b">
        <v>0</v>
      </c>
      <c r="AM296" s="76">
        <v>0</v>
      </c>
      <c r="AN296" s="81" t="s">
        <v>1674</v>
      </c>
      <c r="AO296" s="81" t="s">
        <v>1809</v>
      </c>
      <c r="AP296" s="76" t="b">
        <v>0</v>
      </c>
      <c r="AQ296" s="81" t="s">
        <v>1624</v>
      </c>
      <c r="AR296" s="76" t="s">
        <v>219</v>
      </c>
      <c r="AS296" s="76">
        <v>0</v>
      </c>
      <c r="AT296" s="76">
        <v>0</v>
      </c>
      <c r="AU296" s="76"/>
      <c r="AV296" s="76"/>
      <c r="AW296" s="76"/>
      <c r="AX296" s="76"/>
      <c r="AY296" s="76"/>
      <c r="AZ296" s="76"/>
      <c r="BA296" s="76"/>
      <c r="BB296" s="76"/>
      <c r="BC296">
        <v>2</v>
      </c>
      <c r="BD296" s="75" t="str">
        <f>REPLACE(INDEX(GroupVertices[Group],MATCH(Edges[[#This Row],[Vertex 1]],GroupVertices[Vertex],0)),1,1,"")</f>
        <v>1</v>
      </c>
      <c r="BE296" s="75" t="str">
        <f>REPLACE(INDEX(GroupVertices[Group],MATCH(Edges[[#This Row],[Vertex 2]],GroupVertices[Vertex],0)),1,1,"")</f>
        <v>1</v>
      </c>
      <c r="BF296" s="45"/>
      <c r="BG296" s="46"/>
      <c r="BH296" s="45"/>
      <c r="BI296" s="46"/>
      <c r="BJ296" s="45"/>
      <c r="BK296" s="46"/>
      <c r="BL296" s="45"/>
      <c r="BM296" s="46"/>
      <c r="BN296" s="45"/>
    </row>
    <row r="297" spans="1:66" ht="15">
      <c r="A297" s="61" t="s">
        <v>397</v>
      </c>
      <c r="B297" s="61" t="s">
        <v>414</v>
      </c>
      <c r="C297" s="62" t="s">
        <v>4688</v>
      </c>
      <c r="D297" s="63">
        <v>5</v>
      </c>
      <c r="E297" s="62"/>
      <c r="F297" s="65">
        <v>50</v>
      </c>
      <c r="G297" s="62"/>
      <c r="H297" s="66"/>
      <c r="I297" s="67"/>
      <c r="J297" s="67"/>
      <c r="K297" s="31" t="s">
        <v>65</v>
      </c>
      <c r="L297" s="68">
        <v>297</v>
      </c>
      <c r="M297" s="68"/>
      <c r="N297" s="69"/>
      <c r="O297" s="76" t="s">
        <v>586</v>
      </c>
      <c r="P297" s="78">
        <v>44818.773877314816</v>
      </c>
      <c r="Q297" s="76" t="s">
        <v>711</v>
      </c>
      <c r="R297" s="76"/>
      <c r="S297" s="76"/>
      <c r="T297" s="81" t="s">
        <v>795</v>
      </c>
      <c r="U297" s="79" t="str">
        <f>HYPERLINK("https://pbs.twimg.com/ext_tw_video_thumb/1570079315068424192/pu/img/yVxrXvHEmivLuWgt.jpg")</f>
        <v>https://pbs.twimg.com/ext_tw_video_thumb/1570079315068424192/pu/img/yVxrXvHEmivLuWgt.jpg</v>
      </c>
      <c r="V297" s="79" t="str">
        <f>HYPERLINK("https://pbs.twimg.com/ext_tw_video_thumb/1570079315068424192/pu/img/yVxrXvHEmivLuWgt.jpg")</f>
        <v>https://pbs.twimg.com/ext_tw_video_thumb/1570079315068424192/pu/img/yVxrXvHEmivLuWgt.jpg</v>
      </c>
      <c r="W297" s="78">
        <v>44818.773877314816</v>
      </c>
      <c r="X297" s="84">
        <v>44818</v>
      </c>
      <c r="Y297" s="81" t="s">
        <v>1081</v>
      </c>
      <c r="Z297" s="79" t="str">
        <f>HYPERLINK("https://twitter.com/bnryklmz/status/1570118779765415936")</f>
        <v>https://twitter.com/bnryklmz/status/1570118779765415936</v>
      </c>
      <c r="AA297" s="76"/>
      <c r="AB297" s="76"/>
      <c r="AC297" s="81" t="s">
        <v>1412</v>
      </c>
      <c r="AD297" s="76"/>
      <c r="AE297" s="76" t="b">
        <v>0</v>
      </c>
      <c r="AF297" s="76">
        <v>0</v>
      </c>
      <c r="AG297" s="81" t="s">
        <v>1674</v>
      </c>
      <c r="AH297" s="76" t="b">
        <v>0</v>
      </c>
      <c r="AI297" s="76" t="s">
        <v>1771</v>
      </c>
      <c r="AJ297" s="76"/>
      <c r="AK297" s="81" t="s">
        <v>1674</v>
      </c>
      <c r="AL297" s="76" t="b">
        <v>0</v>
      </c>
      <c r="AM297" s="76">
        <v>2</v>
      </c>
      <c r="AN297" s="81" t="s">
        <v>1458</v>
      </c>
      <c r="AO297" s="81" t="s">
        <v>1809</v>
      </c>
      <c r="AP297" s="76" t="b">
        <v>0</v>
      </c>
      <c r="AQ297" s="81" t="s">
        <v>1458</v>
      </c>
      <c r="AR297" s="76" t="s">
        <v>219</v>
      </c>
      <c r="AS297" s="76">
        <v>0</v>
      </c>
      <c r="AT297" s="76">
        <v>0</v>
      </c>
      <c r="AU297" s="76"/>
      <c r="AV297" s="76"/>
      <c r="AW297" s="76"/>
      <c r="AX297" s="76"/>
      <c r="AY297" s="76"/>
      <c r="AZ297" s="76"/>
      <c r="BA297" s="76"/>
      <c r="BB297" s="76"/>
      <c r="BC297">
        <v>1</v>
      </c>
      <c r="BD297" s="75" t="str">
        <f>REPLACE(INDEX(GroupVertices[Group],MATCH(Edges[[#This Row],[Vertex 1]],GroupVertices[Vertex],0)),1,1,"")</f>
        <v>3</v>
      </c>
      <c r="BE297" s="75" t="str">
        <f>REPLACE(INDEX(GroupVertices[Group],MATCH(Edges[[#This Row],[Vertex 2]],GroupVertices[Vertex],0)),1,1,"")</f>
        <v>3</v>
      </c>
      <c r="BF297" s="45">
        <v>0</v>
      </c>
      <c r="BG297" s="46">
        <v>0</v>
      </c>
      <c r="BH297" s="45">
        <v>0</v>
      </c>
      <c r="BI297" s="46">
        <v>0</v>
      </c>
      <c r="BJ297" s="45">
        <v>0</v>
      </c>
      <c r="BK297" s="46">
        <v>0</v>
      </c>
      <c r="BL297" s="45">
        <v>36</v>
      </c>
      <c r="BM297" s="46">
        <v>100</v>
      </c>
      <c r="BN297" s="45">
        <v>36</v>
      </c>
    </row>
    <row r="298" spans="1:66" ht="15">
      <c r="A298" s="61" t="s">
        <v>398</v>
      </c>
      <c r="B298" s="61" t="s">
        <v>398</v>
      </c>
      <c r="C298" s="62" t="s">
        <v>4688</v>
      </c>
      <c r="D298" s="63">
        <v>5</v>
      </c>
      <c r="E298" s="62"/>
      <c r="F298" s="65">
        <v>50</v>
      </c>
      <c r="G298" s="62"/>
      <c r="H298" s="66"/>
      <c r="I298" s="67"/>
      <c r="J298" s="67"/>
      <c r="K298" s="31" t="s">
        <v>65</v>
      </c>
      <c r="L298" s="68">
        <v>298</v>
      </c>
      <c r="M298" s="68"/>
      <c r="N298" s="69"/>
      <c r="O298" s="76" t="s">
        <v>219</v>
      </c>
      <c r="P298" s="78">
        <v>44818.78704861111</v>
      </c>
      <c r="Q298" s="76" t="s">
        <v>712</v>
      </c>
      <c r="R298" s="76"/>
      <c r="S298" s="76"/>
      <c r="T298" s="76"/>
      <c r="U298" s="76"/>
      <c r="V298" s="79" t="str">
        <f>HYPERLINK("https://pbs.twimg.com/profile_images/1566174687704403968/v1BRKIY1_normal.jpg")</f>
        <v>https://pbs.twimg.com/profile_images/1566174687704403968/v1BRKIY1_normal.jpg</v>
      </c>
      <c r="W298" s="78">
        <v>44818.78704861111</v>
      </c>
      <c r="X298" s="84">
        <v>44818</v>
      </c>
      <c r="Y298" s="81" t="s">
        <v>1082</v>
      </c>
      <c r="Z298" s="79" t="str">
        <f>HYPERLINK("https://twitter.com/jbl375537500/status/1570123555630874624")</f>
        <v>https://twitter.com/jbl375537500/status/1570123555630874624</v>
      </c>
      <c r="AA298" s="76"/>
      <c r="AB298" s="76"/>
      <c r="AC298" s="81" t="s">
        <v>1413</v>
      </c>
      <c r="AD298" s="81" t="s">
        <v>1625</v>
      </c>
      <c r="AE298" s="76" t="b">
        <v>0</v>
      </c>
      <c r="AF298" s="76">
        <v>0</v>
      </c>
      <c r="AG298" s="81" t="s">
        <v>1733</v>
      </c>
      <c r="AH298" s="76" t="b">
        <v>0</v>
      </c>
      <c r="AI298" s="76" t="s">
        <v>1782</v>
      </c>
      <c r="AJ298" s="76"/>
      <c r="AK298" s="81" t="s">
        <v>1674</v>
      </c>
      <c r="AL298" s="76" t="b">
        <v>0</v>
      </c>
      <c r="AM298" s="76">
        <v>0</v>
      </c>
      <c r="AN298" s="81" t="s">
        <v>1674</v>
      </c>
      <c r="AO298" s="81" t="s">
        <v>1808</v>
      </c>
      <c r="AP298" s="76" t="b">
        <v>0</v>
      </c>
      <c r="AQ298" s="81" t="s">
        <v>1625</v>
      </c>
      <c r="AR298" s="76" t="s">
        <v>219</v>
      </c>
      <c r="AS298" s="76">
        <v>0</v>
      </c>
      <c r="AT298" s="76">
        <v>0</v>
      </c>
      <c r="AU298" s="76"/>
      <c r="AV298" s="76"/>
      <c r="AW298" s="76"/>
      <c r="AX298" s="76"/>
      <c r="AY298" s="76"/>
      <c r="AZ298" s="76"/>
      <c r="BA298" s="76"/>
      <c r="BB298" s="76"/>
      <c r="BC298">
        <v>1</v>
      </c>
      <c r="BD298" s="75" t="str">
        <f>REPLACE(INDEX(GroupVertices[Group],MATCH(Edges[[#This Row],[Vertex 1]],GroupVertices[Vertex],0)),1,1,"")</f>
        <v>2</v>
      </c>
      <c r="BE298" s="75" t="str">
        <f>REPLACE(INDEX(GroupVertices[Group],MATCH(Edges[[#This Row],[Vertex 2]],GroupVertices[Vertex],0)),1,1,"")</f>
        <v>2</v>
      </c>
      <c r="BF298" s="45">
        <v>0</v>
      </c>
      <c r="BG298" s="46">
        <v>0</v>
      </c>
      <c r="BH298" s="45">
        <v>0</v>
      </c>
      <c r="BI298" s="46">
        <v>0</v>
      </c>
      <c r="BJ298" s="45">
        <v>0</v>
      </c>
      <c r="BK298" s="46">
        <v>0</v>
      </c>
      <c r="BL298" s="45">
        <v>14</v>
      </c>
      <c r="BM298" s="46">
        <v>100</v>
      </c>
      <c r="BN298" s="45">
        <v>14</v>
      </c>
    </row>
    <row r="299" spans="1:66" ht="15">
      <c r="A299" s="61" t="s">
        <v>399</v>
      </c>
      <c r="B299" s="61" t="s">
        <v>414</v>
      </c>
      <c r="C299" s="62" t="s">
        <v>4693</v>
      </c>
      <c r="D299" s="63">
        <v>6.25</v>
      </c>
      <c r="E299" s="62"/>
      <c r="F299" s="65">
        <v>41.25</v>
      </c>
      <c r="G299" s="62"/>
      <c r="H299" s="66"/>
      <c r="I299" s="67"/>
      <c r="J299" s="67"/>
      <c r="K299" s="31" t="s">
        <v>65</v>
      </c>
      <c r="L299" s="68">
        <v>299</v>
      </c>
      <c r="M299" s="68"/>
      <c r="N299" s="69"/>
      <c r="O299" s="76" t="s">
        <v>586</v>
      </c>
      <c r="P299" s="78">
        <v>44812.003645833334</v>
      </c>
      <c r="Q299" s="76" t="s">
        <v>590</v>
      </c>
      <c r="R299" s="76"/>
      <c r="S299" s="76"/>
      <c r="T299" s="81" t="s">
        <v>793</v>
      </c>
      <c r="U299" s="79" t="str">
        <f>HYPERLINK("https://pbs.twimg.com/media/FcCNOtRX0AMZ0JE.jpg")</f>
        <v>https://pbs.twimg.com/media/FcCNOtRX0AMZ0JE.jpg</v>
      </c>
      <c r="V299" s="79" t="str">
        <f>HYPERLINK("https://pbs.twimg.com/media/FcCNOtRX0AMZ0JE.jpg")</f>
        <v>https://pbs.twimg.com/media/FcCNOtRX0AMZ0JE.jpg</v>
      </c>
      <c r="W299" s="78">
        <v>44812.003645833334</v>
      </c>
      <c r="X299" s="84">
        <v>44812</v>
      </c>
      <c r="Y299" s="81" t="s">
        <v>1083</v>
      </c>
      <c r="Z299" s="79" t="str">
        <f>HYPERLINK("https://twitter.com/ekormfs1qvxzxvp/status/1567665333342978049")</f>
        <v>https://twitter.com/ekormfs1qvxzxvp/status/1567665333342978049</v>
      </c>
      <c r="AA299" s="76"/>
      <c r="AB299" s="76"/>
      <c r="AC299" s="81" t="s">
        <v>1414</v>
      </c>
      <c r="AD299" s="76"/>
      <c r="AE299" s="76" t="b">
        <v>0</v>
      </c>
      <c r="AF299" s="76">
        <v>0</v>
      </c>
      <c r="AG299" s="81" t="s">
        <v>1674</v>
      </c>
      <c r="AH299" s="76" t="b">
        <v>0</v>
      </c>
      <c r="AI299" s="76" t="s">
        <v>1771</v>
      </c>
      <c r="AJ299" s="76"/>
      <c r="AK299" s="81" t="s">
        <v>1674</v>
      </c>
      <c r="AL299" s="76" t="b">
        <v>0</v>
      </c>
      <c r="AM299" s="76">
        <v>3</v>
      </c>
      <c r="AN299" s="81" t="s">
        <v>1447</v>
      </c>
      <c r="AO299" s="81" t="s">
        <v>1807</v>
      </c>
      <c r="AP299" s="76" t="b">
        <v>0</v>
      </c>
      <c r="AQ299" s="81" t="s">
        <v>1447</v>
      </c>
      <c r="AR299" s="76" t="s">
        <v>219</v>
      </c>
      <c r="AS299" s="76">
        <v>0</v>
      </c>
      <c r="AT299" s="76">
        <v>0</v>
      </c>
      <c r="AU299" s="76"/>
      <c r="AV299" s="76"/>
      <c r="AW299" s="76"/>
      <c r="AX299" s="76"/>
      <c r="AY299" s="76"/>
      <c r="AZ299" s="76"/>
      <c r="BA299" s="76"/>
      <c r="BB299" s="76"/>
      <c r="BC299">
        <v>4</v>
      </c>
      <c r="BD299" s="75" t="str">
        <f>REPLACE(INDEX(GroupVertices[Group],MATCH(Edges[[#This Row],[Vertex 1]],GroupVertices[Vertex],0)),1,1,"")</f>
        <v>3</v>
      </c>
      <c r="BE299" s="75" t="str">
        <f>REPLACE(INDEX(GroupVertices[Group],MATCH(Edges[[#This Row],[Vertex 2]],GroupVertices[Vertex],0)),1,1,"")</f>
        <v>3</v>
      </c>
      <c r="BF299" s="45">
        <v>0</v>
      </c>
      <c r="BG299" s="46">
        <v>0</v>
      </c>
      <c r="BH299" s="45">
        <v>0</v>
      </c>
      <c r="BI299" s="46">
        <v>0</v>
      </c>
      <c r="BJ299" s="45">
        <v>0</v>
      </c>
      <c r="BK299" s="46">
        <v>0</v>
      </c>
      <c r="BL299" s="45">
        <v>12</v>
      </c>
      <c r="BM299" s="46">
        <v>100</v>
      </c>
      <c r="BN299" s="45">
        <v>12</v>
      </c>
    </row>
    <row r="300" spans="1:66" ht="15">
      <c r="A300" s="61" t="s">
        <v>399</v>
      </c>
      <c r="B300" s="61" t="s">
        <v>414</v>
      </c>
      <c r="C300" s="62" t="s">
        <v>4693</v>
      </c>
      <c r="D300" s="63">
        <v>6.25</v>
      </c>
      <c r="E300" s="62"/>
      <c r="F300" s="65">
        <v>41.25</v>
      </c>
      <c r="G300" s="62"/>
      <c r="H300" s="66"/>
      <c r="I300" s="67"/>
      <c r="J300" s="67"/>
      <c r="K300" s="31" t="s">
        <v>65</v>
      </c>
      <c r="L300" s="68">
        <v>300</v>
      </c>
      <c r="M300" s="68"/>
      <c r="N300" s="69"/>
      <c r="O300" s="76" t="s">
        <v>586</v>
      </c>
      <c r="P300" s="78">
        <v>44816.482141203705</v>
      </c>
      <c r="Q300" s="76" t="s">
        <v>713</v>
      </c>
      <c r="R300" s="76"/>
      <c r="S300" s="76"/>
      <c r="T300" s="81" t="s">
        <v>819</v>
      </c>
      <c r="U300" s="79" t="str">
        <f>HYPERLINK("https://pbs.twimg.com/ext_tw_video_thumb/1569282039861452802/pu/img/hpYkNNY2FvFNCj_Q.jpg")</f>
        <v>https://pbs.twimg.com/ext_tw_video_thumb/1569282039861452802/pu/img/hpYkNNY2FvFNCj_Q.jpg</v>
      </c>
      <c r="V300" s="79" t="str">
        <f>HYPERLINK("https://pbs.twimg.com/ext_tw_video_thumb/1569282039861452802/pu/img/hpYkNNY2FvFNCj_Q.jpg")</f>
        <v>https://pbs.twimg.com/ext_tw_video_thumb/1569282039861452802/pu/img/hpYkNNY2FvFNCj_Q.jpg</v>
      </c>
      <c r="W300" s="78">
        <v>44816.482141203705</v>
      </c>
      <c r="X300" s="84">
        <v>44816</v>
      </c>
      <c r="Y300" s="81" t="s">
        <v>1084</v>
      </c>
      <c r="Z300" s="79" t="str">
        <f>HYPERLINK("https://twitter.com/ekormfs1qvxzxvp/status/1569288285893304320")</f>
        <v>https://twitter.com/ekormfs1qvxzxvp/status/1569288285893304320</v>
      </c>
      <c r="AA300" s="76"/>
      <c r="AB300" s="76"/>
      <c r="AC300" s="81" t="s">
        <v>1415</v>
      </c>
      <c r="AD300" s="76"/>
      <c r="AE300" s="76" t="b">
        <v>0</v>
      </c>
      <c r="AF300" s="76">
        <v>0</v>
      </c>
      <c r="AG300" s="81" t="s">
        <v>1674</v>
      </c>
      <c r="AH300" s="76" t="b">
        <v>0</v>
      </c>
      <c r="AI300" s="76" t="s">
        <v>1771</v>
      </c>
      <c r="AJ300" s="76"/>
      <c r="AK300" s="81" t="s">
        <v>1674</v>
      </c>
      <c r="AL300" s="76" t="b">
        <v>0</v>
      </c>
      <c r="AM300" s="76">
        <v>3</v>
      </c>
      <c r="AN300" s="81" t="s">
        <v>1452</v>
      </c>
      <c r="AO300" s="81" t="s">
        <v>1807</v>
      </c>
      <c r="AP300" s="76" t="b">
        <v>0</v>
      </c>
      <c r="AQ300" s="81" t="s">
        <v>1452</v>
      </c>
      <c r="AR300" s="76" t="s">
        <v>219</v>
      </c>
      <c r="AS300" s="76">
        <v>0</v>
      </c>
      <c r="AT300" s="76">
        <v>0</v>
      </c>
      <c r="AU300" s="76"/>
      <c r="AV300" s="76"/>
      <c r="AW300" s="76"/>
      <c r="AX300" s="76"/>
      <c r="AY300" s="76"/>
      <c r="AZ300" s="76"/>
      <c r="BA300" s="76"/>
      <c r="BB300" s="76"/>
      <c r="BC300">
        <v>4</v>
      </c>
      <c r="BD300" s="75" t="str">
        <f>REPLACE(INDEX(GroupVertices[Group],MATCH(Edges[[#This Row],[Vertex 1]],GroupVertices[Vertex],0)),1,1,"")</f>
        <v>3</v>
      </c>
      <c r="BE300" s="75" t="str">
        <f>REPLACE(INDEX(GroupVertices[Group],MATCH(Edges[[#This Row],[Vertex 2]],GroupVertices[Vertex],0)),1,1,"")</f>
        <v>3</v>
      </c>
      <c r="BF300" s="45">
        <v>0</v>
      </c>
      <c r="BG300" s="46">
        <v>0</v>
      </c>
      <c r="BH300" s="45">
        <v>0</v>
      </c>
      <c r="BI300" s="46">
        <v>0</v>
      </c>
      <c r="BJ300" s="45">
        <v>0</v>
      </c>
      <c r="BK300" s="46">
        <v>0</v>
      </c>
      <c r="BL300" s="45">
        <v>12</v>
      </c>
      <c r="BM300" s="46">
        <v>100</v>
      </c>
      <c r="BN300" s="45">
        <v>12</v>
      </c>
    </row>
    <row r="301" spans="1:66" ht="15">
      <c r="A301" s="61" t="s">
        <v>399</v>
      </c>
      <c r="B301" s="61" t="s">
        <v>414</v>
      </c>
      <c r="C301" s="62" t="s">
        <v>4693</v>
      </c>
      <c r="D301" s="63">
        <v>6.25</v>
      </c>
      <c r="E301" s="62"/>
      <c r="F301" s="65">
        <v>41.25</v>
      </c>
      <c r="G301" s="62"/>
      <c r="H301" s="66"/>
      <c r="I301" s="67"/>
      <c r="J301" s="67"/>
      <c r="K301" s="31" t="s">
        <v>65</v>
      </c>
      <c r="L301" s="68">
        <v>301</v>
      </c>
      <c r="M301" s="68"/>
      <c r="N301" s="69"/>
      <c r="O301" s="76" t="s">
        <v>586</v>
      </c>
      <c r="P301" s="78">
        <v>44818.83583333333</v>
      </c>
      <c r="Q301" s="76" t="s">
        <v>714</v>
      </c>
      <c r="R301" s="76"/>
      <c r="S301" s="76"/>
      <c r="T301" s="81" t="s">
        <v>857</v>
      </c>
      <c r="U301" s="79" t="str">
        <f>HYPERLINK("https://pbs.twimg.com/media/Fco1Im5WAAwCNtd.jpg")</f>
        <v>https://pbs.twimg.com/media/Fco1Im5WAAwCNtd.jpg</v>
      </c>
      <c r="V301" s="79" t="str">
        <f>HYPERLINK("https://pbs.twimg.com/media/Fco1Im5WAAwCNtd.jpg")</f>
        <v>https://pbs.twimg.com/media/Fco1Im5WAAwCNtd.jpg</v>
      </c>
      <c r="W301" s="78">
        <v>44818.83583333333</v>
      </c>
      <c r="X301" s="84">
        <v>44818</v>
      </c>
      <c r="Y301" s="81" t="s">
        <v>1085</v>
      </c>
      <c r="Z301" s="79" t="str">
        <f>HYPERLINK("https://twitter.com/ekormfs1qvxzxvp/status/1570141232244097026")</f>
        <v>https://twitter.com/ekormfs1qvxzxvp/status/1570141232244097026</v>
      </c>
      <c r="AA301" s="76"/>
      <c r="AB301" s="76"/>
      <c r="AC301" s="81" t="s">
        <v>1416</v>
      </c>
      <c r="AD301" s="76"/>
      <c r="AE301" s="76" t="b">
        <v>0</v>
      </c>
      <c r="AF301" s="76">
        <v>0</v>
      </c>
      <c r="AG301" s="81" t="s">
        <v>1674</v>
      </c>
      <c r="AH301" s="76" t="b">
        <v>0</v>
      </c>
      <c r="AI301" s="76" t="s">
        <v>1783</v>
      </c>
      <c r="AJ301" s="76"/>
      <c r="AK301" s="81" t="s">
        <v>1674</v>
      </c>
      <c r="AL301" s="76" t="b">
        <v>0</v>
      </c>
      <c r="AM301" s="76">
        <v>3</v>
      </c>
      <c r="AN301" s="81" t="s">
        <v>1459</v>
      </c>
      <c r="AO301" s="81" t="s">
        <v>1807</v>
      </c>
      <c r="AP301" s="76" t="b">
        <v>0</v>
      </c>
      <c r="AQ301" s="81" t="s">
        <v>1459</v>
      </c>
      <c r="AR301" s="76" t="s">
        <v>219</v>
      </c>
      <c r="AS301" s="76">
        <v>0</v>
      </c>
      <c r="AT301" s="76">
        <v>0</v>
      </c>
      <c r="AU301" s="76"/>
      <c r="AV301" s="76"/>
      <c r="AW301" s="76"/>
      <c r="AX301" s="76"/>
      <c r="AY301" s="76"/>
      <c r="AZ301" s="76"/>
      <c r="BA301" s="76"/>
      <c r="BB301" s="76"/>
      <c r="BC301">
        <v>4</v>
      </c>
      <c r="BD301" s="75" t="str">
        <f>REPLACE(INDEX(GroupVertices[Group],MATCH(Edges[[#This Row],[Vertex 1]],GroupVertices[Vertex],0)),1,1,"")</f>
        <v>3</v>
      </c>
      <c r="BE301" s="75" t="str">
        <f>REPLACE(INDEX(GroupVertices[Group],MATCH(Edges[[#This Row],[Vertex 2]],GroupVertices[Vertex],0)),1,1,"")</f>
        <v>3</v>
      </c>
      <c r="BF301" s="45">
        <v>0</v>
      </c>
      <c r="BG301" s="46">
        <v>0</v>
      </c>
      <c r="BH301" s="45">
        <v>0</v>
      </c>
      <c r="BI301" s="46">
        <v>0</v>
      </c>
      <c r="BJ301" s="45">
        <v>0</v>
      </c>
      <c r="BK301" s="46">
        <v>0</v>
      </c>
      <c r="BL301" s="45">
        <v>5</v>
      </c>
      <c r="BM301" s="46">
        <v>100</v>
      </c>
      <c r="BN301" s="45">
        <v>5</v>
      </c>
    </row>
    <row r="302" spans="1:66" ht="15">
      <c r="A302" s="61" t="s">
        <v>399</v>
      </c>
      <c r="B302" s="61" t="s">
        <v>414</v>
      </c>
      <c r="C302" s="62" t="s">
        <v>4693</v>
      </c>
      <c r="D302" s="63">
        <v>6.25</v>
      </c>
      <c r="E302" s="62"/>
      <c r="F302" s="65">
        <v>41.25</v>
      </c>
      <c r="G302" s="62"/>
      <c r="H302" s="66"/>
      <c r="I302" s="67"/>
      <c r="J302" s="67"/>
      <c r="K302" s="31" t="s">
        <v>65</v>
      </c>
      <c r="L302" s="68">
        <v>302</v>
      </c>
      <c r="M302" s="68"/>
      <c r="N302" s="69"/>
      <c r="O302" s="76" t="s">
        <v>586</v>
      </c>
      <c r="P302" s="78">
        <v>44818.8359375</v>
      </c>
      <c r="Q302" s="76" t="s">
        <v>703</v>
      </c>
      <c r="R302" s="76"/>
      <c r="S302" s="76"/>
      <c r="T302" s="81" t="s">
        <v>842</v>
      </c>
      <c r="U302" s="79" t="str">
        <f>HYPERLINK("https://pbs.twimg.com/ext_tw_video_thumb/1570062212479287298/pu/img/ECVQJFVi9S35pAcj.jpg")</f>
        <v>https://pbs.twimg.com/ext_tw_video_thumb/1570062212479287298/pu/img/ECVQJFVi9S35pAcj.jpg</v>
      </c>
      <c r="V302" s="79" t="str">
        <f>HYPERLINK("https://pbs.twimg.com/ext_tw_video_thumb/1570062212479287298/pu/img/ECVQJFVi9S35pAcj.jpg")</f>
        <v>https://pbs.twimg.com/ext_tw_video_thumb/1570062212479287298/pu/img/ECVQJFVi9S35pAcj.jpg</v>
      </c>
      <c r="W302" s="78">
        <v>44818.8359375</v>
      </c>
      <c r="X302" s="84">
        <v>44818</v>
      </c>
      <c r="Y302" s="81" t="s">
        <v>1086</v>
      </c>
      <c r="Z302" s="79" t="str">
        <f>HYPERLINK("https://twitter.com/ekormfs1qvxzxvp/status/1570141270001201153")</f>
        <v>https://twitter.com/ekormfs1qvxzxvp/status/1570141270001201153</v>
      </c>
      <c r="AA302" s="76"/>
      <c r="AB302" s="76"/>
      <c r="AC302" s="81" t="s">
        <v>1417</v>
      </c>
      <c r="AD302" s="76"/>
      <c r="AE302" s="76" t="b">
        <v>0</v>
      </c>
      <c r="AF302" s="76">
        <v>0</v>
      </c>
      <c r="AG302" s="81" t="s">
        <v>1674</v>
      </c>
      <c r="AH302" s="76" t="b">
        <v>0</v>
      </c>
      <c r="AI302" s="76" t="s">
        <v>1771</v>
      </c>
      <c r="AJ302" s="76"/>
      <c r="AK302" s="81" t="s">
        <v>1674</v>
      </c>
      <c r="AL302" s="76" t="b">
        <v>0</v>
      </c>
      <c r="AM302" s="76">
        <v>8</v>
      </c>
      <c r="AN302" s="81" t="s">
        <v>1457</v>
      </c>
      <c r="AO302" s="81" t="s">
        <v>1807</v>
      </c>
      <c r="AP302" s="76" t="b">
        <v>0</v>
      </c>
      <c r="AQ302" s="81" t="s">
        <v>1457</v>
      </c>
      <c r="AR302" s="76" t="s">
        <v>219</v>
      </c>
      <c r="AS302" s="76">
        <v>0</v>
      </c>
      <c r="AT302" s="76">
        <v>0</v>
      </c>
      <c r="AU302" s="76"/>
      <c r="AV302" s="76"/>
      <c r="AW302" s="76"/>
      <c r="AX302" s="76"/>
      <c r="AY302" s="76"/>
      <c r="AZ302" s="76"/>
      <c r="BA302" s="76"/>
      <c r="BB302" s="76"/>
      <c r="BC302">
        <v>4</v>
      </c>
      <c r="BD302" s="75" t="str">
        <f>REPLACE(INDEX(GroupVertices[Group],MATCH(Edges[[#This Row],[Vertex 1]],GroupVertices[Vertex],0)),1,1,"")</f>
        <v>3</v>
      </c>
      <c r="BE302" s="75" t="str">
        <f>REPLACE(INDEX(GroupVertices[Group],MATCH(Edges[[#This Row],[Vertex 2]],GroupVertices[Vertex],0)),1,1,"")</f>
        <v>3</v>
      </c>
      <c r="BF302" s="45">
        <v>0</v>
      </c>
      <c r="BG302" s="46">
        <v>0</v>
      </c>
      <c r="BH302" s="45">
        <v>0</v>
      </c>
      <c r="BI302" s="46">
        <v>0</v>
      </c>
      <c r="BJ302" s="45">
        <v>0</v>
      </c>
      <c r="BK302" s="46">
        <v>0</v>
      </c>
      <c r="BL302" s="45">
        <v>7</v>
      </c>
      <c r="BM302" s="46">
        <v>100</v>
      </c>
      <c r="BN302" s="45">
        <v>7</v>
      </c>
    </row>
    <row r="303" spans="1:66" ht="15">
      <c r="A303" s="61" t="s">
        <v>400</v>
      </c>
      <c r="B303" s="61" t="s">
        <v>543</v>
      </c>
      <c r="C303" s="62" t="s">
        <v>4688</v>
      </c>
      <c r="D303" s="63">
        <v>5</v>
      </c>
      <c r="E303" s="62"/>
      <c r="F303" s="65">
        <v>50</v>
      </c>
      <c r="G303" s="62"/>
      <c r="H303" s="66"/>
      <c r="I303" s="67"/>
      <c r="J303" s="67"/>
      <c r="K303" s="31" t="s">
        <v>65</v>
      </c>
      <c r="L303" s="68">
        <v>303</v>
      </c>
      <c r="M303" s="68"/>
      <c r="N303" s="69"/>
      <c r="O303" s="76" t="s">
        <v>587</v>
      </c>
      <c r="P303" s="78">
        <v>44818.837164351855</v>
      </c>
      <c r="Q303" s="76" t="s">
        <v>715</v>
      </c>
      <c r="R303" s="76"/>
      <c r="S303" s="76"/>
      <c r="T303" s="81" t="s">
        <v>858</v>
      </c>
      <c r="U303" s="79" t="str">
        <f>HYPERLINK("https://pbs.twimg.com/media/FcpCpSIWYAEY1lU.png")</f>
        <v>https://pbs.twimg.com/media/FcpCpSIWYAEY1lU.png</v>
      </c>
      <c r="V303" s="79" t="str">
        <f>HYPERLINK("https://pbs.twimg.com/media/FcpCpSIWYAEY1lU.png")</f>
        <v>https://pbs.twimg.com/media/FcpCpSIWYAEY1lU.png</v>
      </c>
      <c r="W303" s="78">
        <v>44818.837164351855</v>
      </c>
      <c r="X303" s="84">
        <v>44818</v>
      </c>
      <c r="Y303" s="81" t="s">
        <v>1087</v>
      </c>
      <c r="Z303" s="79" t="str">
        <f>HYPERLINK("https://twitter.com/3ct3r/status/1570141714551115777")</f>
        <v>https://twitter.com/3ct3r/status/1570141714551115777</v>
      </c>
      <c r="AA303" s="76"/>
      <c r="AB303" s="76"/>
      <c r="AC303" s="81" t="s">
        <v>1418</v>
      </c>
      <c r="AD303" s="81" t="s">
        <v>1626</v>
      </c>
      <c r="AE303" s="76" t="b">
        <v>0</v>
      </c>
      <c r="AF303" s="76">
        <v>0</v>
      </c>
      <c r="AG303" s="81" t="s">
        <v>1734</v>
      </c>
      <c r="AH303" s="76" t="b">
        <v>0</v>
      </c>
      <c r="AI303" s="76" t="s">
        <v>1770</v>
      </c>
      <c r="AJ303" s="76"/>
      <c r="AK303" s="81" t="s">
        <v>1674</v>
      </c>
      <c r="AL303" s="76" t="b">
        <v>0</v>
      </c>
      <c r="AM303" s="76">
        <v>0</v>
      </c>
      <c r="AN303" s="81" t="s">
        <v>1674</v>
      </c>
      <c r="AO303" s="81" t="s">
        <v>1808</v>
      </c>
      <c r="AP303" s="76" t="b">
        <v>0</v>
      </c>
      <c r="AQ303" s="81" t="s">
        <v>1626</v>
      </c>
      <c r="AR303" s="76" t="s">
        <v>219</v>
      </c>
      <c r="AS303" s="76">
        <v>0</v>
      </c>
      <c r="AT303" s="76">
        <v>0</v>
      </c>
      <c r="AU303" s="76"/>
      <c r="AV303" s="76"/>
      <c r="AW303" s="76"/>
      <c r="AX303" s="76"/>
      <c r="AY303" s="76"/>
      <c r="AZ303" s="76"/>
      <c r="BA303" s="76"/>
      <c r="BB303" s="76"/>
      <c r="BC303">
        <v>1</v>
      </c>
      <c r="BD303" s="75" t="str">
        <f>REPLACE(INDEX(GroupVertices[Group],MATCH(Edges[[#This Row],[Vertex 1]],GroupVertices[Vertex],0)),1,1,"")</f>
        <v>40</v>
      </c>
      <c r="BE303" s="75" t="str">
        <f>REPLACE(INDEX(GroupVertices[Group],MATCH(Edges[[#This Row],[Vertex 2]],GroupVertices[Vertex],0)),1,1,"")</f>
        <v>40</v>
      </c>
      <c r="BF303" s="45">
        <v>0</v>
      </c>
      <c r="BG303" s="46">
        <v>0</v>
      </c>
      <c r="BH303" s="45">
        <v>0</v>
      </c>
      <c r="BI303" s="46">
        <v>0</v>
      </c>
      <c r="BJ303" s="45">
        <v>0</v>
      </c>
      <c r="BK303" s="46">
        <v>0</v>
      </c>
      <c r="BL303" s="45">
        <v>32</v>
      </c>
      <c r="BM303" s="46">
        <v>100</v>
      </c>
      <c r="BN303" s="45">
        <v>32</v>
      </c>
    </row>
    <row r="304" spans="1:66" ht="15">
      <c r="A304" s="61" t="s">
        <v>401</v>
      </c>
      <c r="B304" s="61" t="s">
        <v>414</v>
      </c>
      <c r="C304" s="62" t="s">
        <v>4688</v>
      </c>
      <c r="D304" s="63">
        <v>5</v>
      </c>
      <c r="E304" s="62"/>
      <c r="F304" s="65">
        <v>50</v>
      </c>
      <c r="G304" s="62"/>
      <c r="H304" s="66"/>
      <c r="I304" s="67"/>
      <c r="J304" s="67"/>
      <c r="K304" s="31" t="s">
        <v>65</v>
      </c>
      <c r="L304" s="68">
        <v>304</v>
      </c>
      <c r="M304" s="68"/>
      <c r="N304" s="69"/>
      <c r="O304" s="76" t="s">
        <v>586</v>
      </c>
      <c r="P304" s="78">
        <v>44818.88695601852</v>
      </c>
      <c r="Q304" s="76" t="s">
        <v>703</v>
      </c>
      <c r="R304" s="76"/>
      <c r="S304" s="76"/>
      <c r="T304" s="81" t="s">
        <v>842</v>
      </c>
      <c r="U304" s="79" t="str">
        <f>HYPERLINK("https://pbs.twimg.com/ext_tw_video_thumb/1570062212479287298/pu/img/ECVQJFVi9S35pAcj.jpg")</f>
        <v>https://pbs.twimg.com/ext_tw_video_thumb/1570062212479287298/pu/img/ECVQJFVi9S35pAcj.jpg</v>
      </c>
      <c r="V304" s="79" t="str">
        <f>HYPERLINK("https://pbs.twimg.com/ext_tw_video_thumb/1570062212479287298/pu/img/ECVQJFVi9S35pAcj.jpg")</f>
        <v>https://pbs.twimg.com/ext_tw_video_thumb/1570062212479287298/pu/img/ECVQJFVi9S35pAcj.jpg</v>
      </c>
      <c r="W304" s="78">
        <v>44818.88695601852</v>
      </c>
      <c r="X304" s="84">
        <v>44818</v>
      </c>
      <c r="Y304" s="81" t="s">
        <v>1088</v>
      </c>
      <c r="Z304" s="79" t="str">
        <f>HYPERLINK("https://twitter.com/alim_gokce45/status/1570159757755023360")</f>
        <v>https://twitter.com/alim_gokce45/status/1570159757755023360</v>
      </c>
      <c r="AA304" s="76"/>
      <c r="AB304" s="76"/>
      <c r="AC304" s="81" t="s">
        <v>1419</v>
      </c>
      <c r="AD304" s="76"/>
      <c r="AE304" s="76" t="b">
        <v>0</v>
      </c>
      <c r="AF304" s="76">
        <v>0</v>
      </c>
      <c r="AG304" s="81" t="s">
        <v>1674</v>
      </c>
      <c r="AH304" s="76" t="b">
        <v>0</v>
      </c>
      <c r="AI304" s="76" t="s">
        <v>1771</v>
      </c>
      <c r="AJ304" s="76"/>
      <c r="AK304" s="81" t="s">
        <v>1674</v>
      </c>
      <c r="AL304" s="76" t="b">
        <v>0</v>
      </c>
      <c r="AM304" s="76">
        <v>8</v>
      </c>
      <c r="AN304" s="81" t="s">
        <v>1457</v>
      </c>
      <c r="AO304" s="81" t="s">
        <v>1807</v>
      </c>
      <c r="AP304" s="76" t="b">
        <v>0</v>
      </c>
      <c r="AQ304" s="81" t="s">
        <v>1457</v>
      </c>
      <c r="AR304" s="76" t="s">
        <v>219</v>
      </c>
      <c r="AS304" s="76">
        <v>0</v>
      </c>
      <c r="AT304" s="76">
        <v>0</v>
      </c>
      <c r="AU304" s="76"/>
      <c r="AV304" s="76"/>
      <c r="AW304" s="76"/>
      <c r="AX304" s="76"/>
      <c r="AY304" s="76"/>
      <c r="AZ304" s="76"/>
      <c r="BA304" s="76"/>
      <c r="BB304" s="76"/>
      <c r="BC304">
        <v>1</v>
      </c>
      <c r="BD304" s="75" t="str">
        <f>REPLACE(INDEX(GroupVertices[Group],MATCH(Edges[[#This Row],[Vertex 1]],GroupVertices[Vertex],0)),1,1,"")</f>
        <v>3</v>
      </c>
      <c r="BE304" s="75" t="str">
        <f>REPLACE(INDEX(GroupVertices[Group],MATCH(Edges[[#This Row],[Vertex 2]],GroupVertices[Vertex],0)),1,1,"")</f>
        <v>3</v>
      </c>
      <c r="BF304" s="45">
        <v>0</v>
      </c>
      <c r="BG304" s="46">
        <v>0</v>
      </c>
      <c r="BH304" s="45">
        <v>0</v>
      </c>
      <c r="BI304" s="46">
        <v>0</v>
      </c>
      <c r="BJ304" s="45">
        <v>0</v>
      </c>
      <c r="BK304" s="46">
        <v>0</v>
      </c>
      <c r="BL304" s="45">
        <v>7</v>
      </c>
      <c r="BM304" s="46">
        <v>100</v>
      </c>
      <c r="BN304" s="45">
        <v>7</v>
      </c>
    </row>
    <row r="305" spans="1:66" ht="15">
      <c r="A305" s="61" t="s">
        <v>402</v>
      </c>
      <c r="B305" s="61" t="s">
        <v>414</v>
      </c>
      <c r="C305" s="62" t="s">
        <v>4688</v>
      </c>
      <c r="D305" s="63">
        <v>5</v>
      </c>
      <c r="E305" s="62"/>
      <c r="F305" s="65">
        <v>50</v>
      </c>
      <c r="G305" s="62"/>
      <c r="H305" s="66"/>
      <c r="I305" s="67"/>
      <c r="J305" s="67"/>
      <c r="K305" s="31" t="s">
        <v>65</v>
      </c>
      <c r="L305" s="68">
        <v>305</v>
      </c>
      <c r="M305" s="68"/>
      <c r="N305" s="69"/>
      <c r="O305" s="76" t="s">
        <v>586</v>
      </c>
      <c r="P305" s="78">
        <v>44818.94337962963</v>
      </c>
      <c r="Q305" s="76" t="s">
        <v>716</v>
      </c>
      <c r="R305" s="76"/>
      <c r="S305" s="76"/>
      <c r="T305" s="81" t="s">
        <v>819</v>
      </c>
      <c r="U305" s="79" t="str">
        <f>HYPERLINK("https://pbs.twimg.com/media/FcpmLrCWQAEizKT.jpg")</f>
        <v>https://pbs.twimg.com/media/FcpmLrCWQAEizKT.jpg</v>
      </c>
      <c r="V305" s="79" t="str">
        <f>HYPERLINK("https://pbs.twimg.com/media/FcpmLrCWQAEizKT.jpg")</f>
        <v>https://pbs.twimg.com/media/FcpmLrCWQAEizKT.jpg</v>
      </c>
      <c r="W305" s="78">
        <v>44818.94337962963</v>
      </c>
      <c r="X305" s="84">
        <v>44818</v>
      </c>
      <c r="Y305" s="81" t="s">
        <v>1089</v>
      </c>
      <c r="Z305" s="79" t="str">
        <f>HYPERLINK("https://twitter.com/tekinyamur6/status/1570180206790610944")</f>
        <v>https://twitter.com/tekinyamur6/status/1570180206790610944</v>
      </c>
      <c r="AA305" s="76"/>
      <c r="AB305" s="76"/>
      <c r="AC305" s="81" t="s">
        <v>1420</v>
      </c>
      <c r="AD305" s="76"/>
      <c r="AE305" s="76" t="b">
        <v>0</v>
      </c>
      <c r="AF305" s="76">
        <v>0</v>
      </c>
      <c r="AG305" s="81" t="s">
        <v>1674</v>
      </c>
      <c r="AH305" s="76" t="b">
        <v>0</v>
      </c>
      <c r="AI305" s="76" t="s">
        <v>1771</v>
      </c>
      <c r="AJ305" s="76"/>
      <c r="AK305" s="81" t="s">
        <v>1674</v>
      </c>
      <c r="AL305" s="76" t="b">
        <v>0</v>
      </c>
      <c r="AM305" s="76">
        <v>3</v>
      </c>
      <c r="AN305" s="81" t="s">
        <v>1460</v>
      </c>
      <c r="AO305" s="81" t="s">
        <v>1808</v>
      </c>
      <c r="AP305" s="76" t="b">
        <v>0</v>
      </c>
      <c r="AQ305" s="81" t="s">
        <v>1460</v>
      </c>
      <c r="AR305" s="76" t="s">
        <v>219</v>
      </c>
      <c r="AS305" s="76">
        <v>0</v>
      </c>
      <c r="AT305" s="76">
        <v>0</v>
      </c>
      <c r="AU305" s="76"/>
      <c r="AV305" s="76"/>
      <c r="AW305" s="76"/>
      <c r="AX305" s="76"/>
      <c r="AY305" s="76"/>
      <c r="AZ305" s="76"/>
      <c r="BA305" s="76"/>
      <c r="BB305" s="76"/>
      <c r="BC305">
        <v>1</v>
      </c>
      <c r="BD305" s="75" t="str">
        <f>REPLACE(INDEX(GroupVertices[Group],MATCH(Edges[[#This Row],[Vertex 1]],GroupVertices[Vertex],0)),1,1,"")</f>
        <v>3</v>
      </c>
      <c r="BE305" s="75" t="str">
        <f>REPLACE(INDEX(GroupVertices[Group],MATCH(Edges[[#This Row],[Vertex 2]],GroupVertices[Vertex],0)),1,1,"")</f>
        <v>3</v>
      </c>
      <c r="BF305" s="45">
        <v>0</v>
      </c>
      <c r="BG305" s="46">
        <v>0</v>
      </c>
      <c r="BH305" s="45">
        <v>0</v>
      </c>
      <c r="BI305" s="46">
        <v>0</v>
      </c>
      <c r="BJ305" s="45">
        <v>0</v>
      </c>
      <c r="BK305" s="46">
        <v>0</v>
      </c>
      <c r="BL305" s="45">
        <v>10</v>
      </c>
      <c r="BM305" s="46">
        <v>100</v>
      </c>
      <c r="BN305" s="45">
        <v>10</v>
      </c>
    </row>
    <row r="306" spans="1:66" ht="15">
      <c r="A306" s="61" t="s">
        <v>403</v>
      </c>
      <c r="B306" s="61" t="s">
        <v>403</v>
      </c>
      <c r="C306" s="62" t="s">
        <v>4688</v>
      </c>
      <c r="D306" s="63">
        <v>5</v>
      </c>
      <c r="E306" s="62"/>
      <c r="F306" s="65">
        <v>50</v>
      </c>
      <c r="G306" s="62"/>
      <c r="H306" s="66"/>
      <c r="I306" s="67"/>
      <c r="J306" s="67"/>
      <c r="K306" s="31" t="s">
        <v>65</v>
      </c>
      <c r="L306" s="68">
        <v>306</v>
      </c>
      <c r="M306" s="68"/>
      <c r="N306" s="69"/>
      <c r="O306" s="76" t="s">
        <v>219</v>
      </c>
      <c r="P306" s="78">
        <v>44819.01291666667</v>
      </c>
      <c r="Q306" s="76" t="s">
        <v>717</v>
      </c>
      <c r="R306" s="79" t="str">
        <f>HYPERLINK("https://twitter.com/AriSL2022/status/1569952276776714240")</f>
        <v>https://twitter.com/AriSL2022/status/1569952276776714240</v>
      </c>
      <c r="S306" s="76" t="s">
        <v>783</v>
      </c>
      <c r="T306" s="81" t="s">
        <v>795</v>
      </c>
      <c r="U306" s="76"/>
      <c r="V306" s="79" t="str">
        <f>HYPERLINK("https://pbs.twimg.com/profile_images/1515746353204408330/g2iiRyHU_normal.jpg")</f>
        <v>https://pbs.twimg.com/profile_images/1515746353204408330/g2iiRyHU_normal.jpg</v>
      </c>
      <c r="W306" s="78">
        <v>44819.01291666667</v>
      </c>
      <c r="X306" s="84">
        <v>44819</v>
      </c>
      <c r="Y306" s="81" t="s">
        <v>1090</v>
      </c>
      <c r="Z306" s="79" t="str">
        <f>HYPERLINK("https://twitter.com/24_yuvi/status/1570205405468409856")</f>
        <v>https://twitter.com/24_yuvi/status/1570205405468409856</v>
      </c>
      <c r="AA306" s="76"/>
      <c r="AB306" s="76"/>
      <c r="AC306" s="81" t="s">
        <v>1421</v>
      </c>
      <c r="AD306" s="76"/>
      <c r="AE306" s="76" t="b">
        <v>0</v>
      </c>
      <c r="AF306" s="76">
        <v>1</v>
      </c>
      <c r="AG306" s="81" t="s">
        <v>1674</v>
      </c>
      <c r="AH306" s="76" t="b">
        <v>1</v>
      </c>
      <c r="AI306" s="76" t="s">
        <v>1784</v>
      </c>
      <c r="AJ306" s="76"/>
      <c r="AK306" s="81" t="s">
        <v>1803</v>
      </c>
      <c r="AL306" s="76" t="b">
        <v>0</v>
      </c>
      <c r="AM306" s="76">
        <v>0</v>
      </c>
      <c r="AN306" s="81" t="s">
        <v>1674</v>
      </c>
      <c r="AO306" s="81" t="s">
        <v>1807</v>
      </c>
      <c r="AP306" s="76" t="b">
        <v>0</v>
      </c>
      <c r="AQ306" s="81" t="s">
        <v>1421</v>
      </c>
      <c r="AR306" s="76" t="s">
        <v>219</v>
      </c>
      <c r="AS306" s="76">
        <v>0</v>
      </c>
      <c r="AT306" s="76">
        <v>0</v>
      </c>
      <c r="AU306" s="76"/>
      <c r="AV306" s="76"/>
      <c r="AW306" s="76"/>
      <c r="AX306" s="76"/>
      <c r="AY306" s="76"/>
      <c r="AZ306" s="76"/>
      <c r="BA306" s="76"/>
      <c r="BB306" s="76"/>
      <c r="BC306">
        <v>1</v>
      </c>
      <c r="BD306" s="75" t="str">
        <f>REPLACE(INDEX(GroupVertices[Group],MATCH(Edges[[#This Row],[Vertex 1]],GroupVertices[Vertex],0)),1,1,"")</f>
        <v>2</v>
      </c>
      <c r="BE306" s="75" t="str">
        <f>REPLACE(INDEX(GroupVertices[Group],MATCH(Edges[[#This Row],[Vertex 2]],GroupVertices[Vertex],0)),1,1,"")</f>
        <v>2</v>
      </c>
      <c r="BF306" s="45">
        <v>0</v>
      </c>
      <c r="BG306" s="46">
        <v>0</v>
      </c>
      <c r="BH306" s="45">
        <v>0</v>
      </c>
      <c r="BI306" s="46">
        <v>0</v>
      </c>
      <c r="BJ306" s="45">
        <v>0</v>
      </c>
      <c r="BK306" s="46">
        <v>0</v>
      </c>
      <c r="BL306" s="45">
        <v>16</v>
      </c>
      <c r="BM306" s="46">
        <v>100</v>
      </c>
      <c r="BN306" s="45">
        <v>16</v>
      </c>
    </row>
    <row r="307" spans="1:66" ht="15">
      <c r="A307" s="61" t="s">
        <v>404</v>
      </c>
      <c r="B307" s="61" t="s">
        <v>414</v>
      </c>
      <c r="C307" s="62" t="s">
        <v>4688</v>
      </c>
      <c r="D307" s="63">
        <v>5</v>
      </c>
      <c r="E307" s="62"/>
      <c r="F307" s="65">
        <v>50</v>
      </c>
      <c r="G307" s="62"/>
      <c r="H307" s="66"/>
      <c r="I307" s="67"/>
      <c r="J307" s="67"/>
      <c r="K307" s="31" t="s">
        <v>65</v>
      </c>
      <c r="L307" s="68">
        <v>307</v>
      </c>
      <c r="M307" s="68"/>
      <c r="N307" s="69"/>
      <c r="O307" s="76" t="s">
        <v>586</v>
      </c>
      <c r="P307" s="78">
        <v>44819.024513888886</v>
      </c>
      <c r="Q307" s="76" t="s">
        <v>716</v>
      </c>
      <c r="R307" s="76"/>
      <c r="S307" s="76"/>
      <c r="T307" s="81" t="s">
        <v>819</v>
      </c>
      <c r="U307" s="79" t="str">
        <f>HYPERLINK("https://pbs.twimg.com/media/FcpmLrCWQAEizKT.jpg")</f>
        <v>https://pbs.twimg.com/media/FcpmLrCWQAEizKT.jpg</v>
      </c>
      <c r="V307" s="79" t="str">
        <f>HYPERLINK("https://pbs.twimg.com/media/FcpmLrCWQAEizKT.jpg")</f>
        <v>https://pbs.twimg.com/media/FcpmLrCWQAEizKT.jpg</v>
      </c>
      <c r="W307" s="78">
        <v>44819.024513888886</v>
      </c>
      <c r="X307" s="84">
        <v>44819</v>
      </c>
      <c r="Y307" s="81" t="s">
        <v>1091</v>
      </c>
      <c r="Z307" s="79" t="str">
        <f>HYPERLINK("https://twitter.com/cnyana322/status/1570209609507565569")</f>
        <v>https://twitter.com/cnyana322/status/1570209609507565569</v>
      </c>
      <c r="AA307" s="76"/>
      <c r="AB307" s="76"/>
      <c r="AC307" s="81" t="s">
        <v>1422</v>
      </c>
      <c r="AD307" s="76"/>
      <c r="AE307" s="76" t="b">
        <v>0</v>
      </c>
      <c r="AF307" s="76">
        <v>0</v>
      </c>
      <c r="AG307" s="81" t="s">
        <v>1674</v>
      </c>
      <c r="AH307" s="76" t="b">
        <v>0</v>
      </c>
      <c r="AI307" s="76" t="s">
        <v>1771</v>
      </c>
      <c r="AJ307" s="76"/>
      <c r="AK307" s="81" t="s">
        <v>1674</v>
      </c>
      <c r="AL307" s="76" t="b">
        <v>0</v>
      </c>
      <c r="AM307" s="76">
        <v>3</v>
      </c>
      <c r="AN307" s="81" t="s">
        <v>1460</v>
      </c>
      <c r="AO307" s="81" t="s">
        <v>1808</v>
      </c>
      <c r="AP307" s="76" t="b">
        <v>0</v>
      </c>
      <c r="AQ307" s="81" t="s">
        <v>1460</v>
      </c>
      <c r="AR307" s="76" t="s">
        <v>219</v>
      </c>
      <c r="AS307" s="76">
        <v>0</v>
      </c>
      <c r="AT307" s="76">
        <v>0</v>
      </c>
      <c r="AU307" s="76"/>
      <c r="AV307" s="76"/>
      <c r="AW307" s="76"/>
      <c r="AX307" s="76"/>
      <c r="AY307" s="76"/>
      <c r="AZ307" s="76"/>
      <c r="BA307" s="76"/>
      <c r="BB307" s="76"/>
      <c r="BC307">
        <v>1</v>
      </c>
      <c r="BD307" s="75" t="str">
        <f>REPLACE(INDEX(GroupVertices[Group],MATCH(Edges[[#This Row],[Vertex 1]],GroupVertices[Vertex],0)),1,1,"")</f>
        <v>3</v>
      </c>
      <c r="BE307" s="75" t="str">
        <f>REPLACE(INDEX(GroupVertices[Group],MATCH(Edges[[#This Row],[Vertex 2]],GroupVertices[Vertex],0)),1,1,"")</f>
        <v>3</v>
      </c>
      <c r="BF307" s="45">
        <v>0</v>
      </c>
      <c r="BG307" s="46">
        <v>0</v>
      </c>
      <c r="BH307" s="45">
        <v>0</v>
      </c>
      <c r="BI307" s="46">
        <v>0</v>
      </c>
      <c r="BJ307" s="45">
        <v>0</v>
      </c>
      <c r="BK307" s="46">
        <v>0</v>
      </c>
      <c r="BL307" s="45">
        <v>10</v>
      </c>
      <c r="BM307" s="46">
        <v>100</v>
      </c>
      <c r="BN307" s="45">
        <v>10</v>
      </c>
    </row>
    <row r="308" spans="1:66" ht="15">
      <c r="A308" s="61" t="s">
        <v>405</v>
      </c>
      <c r="B308" s="61" t="s">
        <v>544</v>
      </c>
      <c r="C308" s="62" t="s">
        <v>4688</v>
      </c>
      <c r="D308" s="63">
        <v>5</v>
      </c>
      <c r="E308" s="62"/>
      <c r="F308" s="65">
        <v>50</v>
      </c>
      <c r="G308" s="62"/>
      <c r="H308" s="66"/>
      <c r="I308" s="67"/>
      <c r="J308" s="67"/>
      <c r="K308" s="31" t="s">
        <v>65</v>
      </c>
      <c r="L308" s="68">
        <v>308</v>
      </c>
      <c r="M308" s="68"/>
      <c r="N308" s="69"/>
      <c r="O308" s="76" t="s">
        <v>587</v>
      </c>
      <c r="P308" s="78">
        <v>44819.34898148148</v>
      </c>
      <c r="Q308" s="76" t="s">
        <v>718</v>
      </c>
      <c r="R308" s="76"/>
      <c r="S308" s="76"/>
      <c r="T308" s="81" t="s">
        <v>795</v>
      </c>
      <c r="U308" s="76"/>
      <c r="V308" s="79" t="str">
        <f>HYPERLINK("https://pbs.twimg.com/profile_images/1568827986241011713/IP20qKm__normal.jpg")</f>
        <v>https://pbs.twimg.com/profile_images/1568827986241011713/IP20qKm__normal.jpg</v>
      </c>
      <c r="W308" s="78">
        <v>44819.34898148148</v>
      </c>
      <c r="X308" s="84">
        <v>44819</v>
      </c>
      <c r="Y308" s="81" t="s">
        <v>1092</v>
      </c>
      <c r="Z308" s="79" t="str">
        <f>HYPERLINK("https://twitter.com/tuk95993809/status/1570327193804234756")</f>
        <v>https://twitter.com/tuk95993809/status/1570327193804234756</v>
      </c>
      <c r="AA308" s="76"/>
      <c r="AB308" s="76"/>
      <c r="AC308" s="81" t="s">
        <v>1423</v>
      </c>
      <c r="AD308" s="81" t="s">
        <v>1627</v>
      </c>
      <c r="AE308" s="76" t="b">
        <v>0</v>
      </c>
      <c r="AF308" s="76">
        <v>0</v>
      </c>
      <c r="AG308" s="81" t="s">
        <v>1735</v>
      </c>
      <c r="AH308" s="76" t="b">
        <v>0</v>
      </c>
      <c r="AI308" s="76" t="s">
        <v>1772</v>
      </c>
      <c r="AJ308" s="76"/>
      <c r="AK308" s="81" t="s">
        <v>1674</v>
      </c>
      <c r="AL308" s="76" t="b">
        <v>0</v>
      </c>
      <c r="AM308" s="76">
        <v>0</v>
      </c>
      <c r="AN308" s="81" t="s">
        <v>1674</v>
      </c>
      <c r="AO308" s="81" t="s">
        <v>1809</v>
      </c>
      <c r="AP308" s="76" t="b">
        <v>0</v>
      </c>
      <c r="AQ308" s="81" t="s">
        <v>1627</v>
      </c>
      <c r="AR308" s="76" t="s">
        <v>219</v>
      </c>
      <c r="AS308" s="76">
        <v>0</v>
      </c>
      <c r="AT308" s="76">
        <v>0</v>
      </c>
      <c r="AU308" s="76"/>
      <c r="AV308" s="76"/>
      <c r="AW308" s="76"/>
      <c r="AX308" s="76"/>
      <c r="AY308" s="76"/>
      <c r="AZ308" s="76"/>
      <c r="BA308" s="76"/>
      <c r="BB308" s="76"/>
      <c r="BC308">
        <v>1</v>
      </c>
      <c r="BD308" s="75" t="str">
        <f>REPLACE(INDEX(GroupVertices[Group],MATCH(Edges[[#This Row],[Vertex 1]],GroupVertices[Vertex],0)),1,1,"")</f>
        <v>39</v>
      </c>
      <c r="BE308" s="75" t="str">
        <f>REPLACE(INDEX(GroupVertices[Group],MATCH(Edges[[#This Row],[Vertex 2]],GroupVertices[Vertex],0)),1,1,"")</f>
        <v>39</v>
      </c>
      <c r="BF308" s="45">
        <v>0</v>
      </c>
      <c r="BG308" s="46">
        <v>0</v>
      </c>
      <c r="BH308" s="45">
        <v>0</v>
      </c>
      <c r="BI308" s="46">
        <v>0</v>
      </c>
      <c r="BJ308" s="45">
        <v>0</v>
      </c>
      <c r="BK308" s="46">
        <v>0</v>
      </c>
      <c r="BL308" s="45">
        <v>17</v>
      </c>
      <c r="BM308" s="46">
        <v>100</v>
      </c>
      <c r="BN308" s="45">
        <v>17</v>
      </c>
    </row>
    <row r="309" spans="1:66" ht="15">
      <c r="A309" s="61" t="s">
        <v>406</v>
      </c>
      <c r="B309" s="61" t="s">
        <v>414</v>
      </c>
      <c r="C309" s="62" t="s">
        <v>4688</v>
      </c>
      <c r="D309" s="63">
        <v>5</v>
      </c>
      <c r="E309" s="62"/>
      <c r="F309" s="65">
        <v>50</v>
      </c>
      <c r="G309" s="62"/>
      <c r="H309" s="66"/>
      <c r="I309" s="67"/>
      <c r="J309" s="67"/>
      <c r="K309" s="31" t="s">
        <v>65</v>
      </c>
      <c r="L309" s="68">
        <v>309</v>
      </c>
      <c r="M309" s="68"/>
      <c r="N309" s="69"/>
      <c r="O309" s="76" t="s">
        <v>586</v>
      </c>
      <c r="P309" s="78">
        <v>44819.356307870374</v>
      </c>
      <c r="Q309" s="76" t="s">
        <v>714</v>
      </c>
      <c r="R309" s="76"/>
      <c r="S309" s="76"/>
      <c r="T309" s="81" t="s">
        <v>857</v>
      </c>
      <c r="U309" s="79" t="str">
        <f>HYPERLINK("https://pbs.twimg.com/media/Fco1Im5WAAwCNtd.jpg")</f>
        <v>https://pbs.twimg.com/media/Fco1Im5WAAwCNtd.jpg</v>
      </c>
      <c r="V309" s="79" t="str">
        <f>HYPERLINK("https://pbs.twimg.com/media/Fco1Im5WAAwCNtd.jpg")</f>
        <v>https://pbs.twimg.com/media/Fco1Im5WAAwCNtd.jpg</v>
      </c>
      <c r="W309" s="78">
        <v>44819.356307870374</v>
      </c>
      <c r="X309" s="84">
        <v>44819</v>
      </c>
      <c r="Y309" s="81" t="s">
        <v>1093</v>
      </c>
      <c r="Z309" s="79" t="str">
        <f>HYPERLINK("https://twitter.com/arasdal7/status/1570329845804011525")</f>
        <v>https://twitter.com/arasdal7/status/1570329845804011525</v>
      </c>
      <c r="AA309" s="76"/>
      <c r="AB309" s="76"/>
      <c r="AC309" s="81" t="s">
        <v>1424</v>
      </c>
      <c r="AD309" s="76"/>
      <c r="AE309" s="76" t="b">
        <v>0</v>
      </c>
      <c r="AF309" s="76">
        <v>0</v>
      </c>
      <c r="AG309" s="81" t="s">
        <v>1674</v>
      </c>
      <c r="AH309" s="76" t="b">
        <v>0</v>
      </c>
      <c r="AI309" s="76" t="s">
        <v>1783</v>
      </c>
      <c r="AJ309" s="76"/>
      <c r="AK309" s="81" t="s">
        <v>1674</v>
      </c>
      <c r="AL309" s="76" t="b">
        <v>0</v>
      </c>
      <c r="AM309" s="76">
        <v>3</v>
      </c>
      <c r="AN309" s="81" t="s">
        <v>1459</v>
      </c>
      <c r="AO309" s="81" t="s">
        <v>1808</v>
      </c>
      <c r="AP309" s="76" t="b">
        <v>0</v>
      </c>
      <c r="AQ309" s="81" t="s">
        <v>1459</v>
      </c>
      <c r="AR309" s="76" t="s">
        <v>219</v>
      </c>
      <c r="AS309" s="76">
        <v>0</v>
      </c>
      <c r="AT309" s="76">
        <v>0</v>
      </c>
      <c r="AU309" s="76"/>
      <c r="AV309" s="76"/>
      <c r="AW309" s="76"/>
      <c r="AX309" s="76"/>
      <c r="AY309" s="76"/>
      <c r="AZ309" s="76"/>
      <c r="BA309" s="76"/>
      <c r="BB309" s="76"/>
      <c r="BC309">
        <v>1</v>
      </c>
      <c r="BD309" s="75" t="str">
        <f>REPLACE(INDEX(GroupVertices[Group],MATCH(Edges[[#This Row],[Vertex 1]],GroupVertices[Vertex],0)),1,1,"")</f>
        <v>3</v>
      </c>
      <c r="BE309" s="75" t="str">
        <f>REPLACE(INDEX(GroupVertices[Group],MATCH(Edges[[#This Row],[Vertex 2]],GroupVertices[Vertex],0)),1,1,"")</f>
        <v>3</v>
      </c>
      <c r="BF309" s="45">
        <v>0</v>
      </c>
      <c r="BG309" s="46">
        <v>0</v>
      </c>
      <c r="BH309" s="45">
        <v>0</v>
      </c>
      <c r="BI309" s="46">
        <v>0</v>
      </c>
      <c r="BJ309" s="45">
        <v>0</v>
      </c>
      <c r="BK309" s="46">
        <v>0</v>
      </c>
      <c r="BL309" s="45">
        <v>5</v>
      </c>
      <c r="BM309" s="46">
        <v>100</v>
      </c>
      <c r="BN309" s="45">
        <v>5</v>
      </c>
    </row>
    <row r="310" spans="1:66" ht="15">
      <c r="A310" s="61" t="s">
        <v>407</v>
      </c>
      <c r="B310" s="61" t="s">
        <v>407</v>
      </c>
      <c r="C310" s="62" t="s">
        <v>4688</v>
      </c>
      <c r="D310" s="63">
        <v>5</v>
      </c>
      <c r="E310" s="62"/>
      <c r="F310" s="65">
        <v>50</v>
      </c>
      <c r="G310" s="62"/>
      <c r="H310" s="66"/>
      <c r="I310" s="67"/>
      <c r="J310" s="67"/>
      <c r="K310" s="31" t="s">
        <v>65</v>
      </c>
      <c r="L310" s="68">
        <v>310</v>
      </c>
      <c r="M310" s="68"/>
      <c r="N310" s="69"/>
      <c r="O310" s="76" t="s">
        <v>219</v>
      </c>
      <c r="P310" s="78">
        <v>44819.36394675926</v>
      </c>
      <c r="Q310" s="76" t="s">
        <v>719</v>
      </c>
      <c r="R310" s="79" t="str">
        <f>HYPERLINK("https://twitter.com/DmitryEvic/status/1570320429495226371")</f>
        <v>https://twitter.com/DmitryEvic/status/1570320429495226371</v>
      </c>
      <c r="S310" s="76" t="s">
        <v>783</v>
      </c>
      <c r="T310" s="81" t="s">
        <v>795</v>
      </c>
      <c r="U310" s="76"/>
      <c r="V310" s="79" t="str">
        <f>HYPERLINK("https://pbs.twimg.com/profile_images/1242761071749890048/s64OEQOZ_normal.jpg")</f>
        <v>https://pbs.twimg.com/profile_images/1242761071749890048/s64OEQOZ_normal.jpg</v>
      </c>
      <c r="W310" s="78">
        <v>44819.36394675926</v>
      </c>
      <c r="X310" s="84">
        <v>44819</v>
      </c>
      <c r="Y310" s="81" t="s">
        <v>1094</v>
      </c>
      <c r="Z310" s="79" t="str">
        <f>HYPERLINK("https://twitter.com/evabergamo/status/1570332613533118464")</f>
        <v>https://twitter.com/evabergamo/status/1570332613533118464</v>
      </c>
      <c r="AA310" s="76"/>
      <c r="AB310" s="76"/>
      <c r="AC310" s="81" t="s">
        <v>1425</v>
      </c>
      <c r="AD310" s="76"/>
      <c r="AE310" s="76" t="b">
        <v>0</v>
      </c>
      <c r="AF310" s="76">
        <v>0</v>
      </c>
      <c r="AG310" s="81" t="s">
        <v>1674</v>
      </c>
      <c r="AH310" s="76" t="b">
        <v>1</v>
      </c>
      <c r="AI310" s="76" t="s">
        <v>1773</v>
      </c>
      <c r="AJ310" s="76"/>
      <c r="AK310" s="81" t="s">
        <v>1804</v>
      </c>
      <c r="AL310" s="76" t="b">
        <v>0</v>
      </c>
      <c r="AM310" s="76">
        <v>0</v>
      </c>
      <c r="AN310" s="81" t="s">
        <v>1674</v>
      </c>
      <c r="AO310" s="81" t="s">
        <v>1808</v>
      </c>
      <c r="AP310" s="76" t="b">
        <v>0</v>
      </c>
      <c r="AQ310" s="81" t="s">
        <v>1425</v>
      </c>
      <c r="AR310" s="76" t="s">
        <v>219</v>
      </c>
      <c r="AS310" s="76">
        <v>0</v>
      </c>
      <c r="AT310" s="76">
        <v>0</v>
      </c>
      <c r="AU310" s="76"/>
      <c r="AV310" s="76"/>
      <c r="AW310" s="76"/>
      <c r="AX310" s="76"/>
      <c r="AY310" s="76"/>
      <c r="AZ310" s="76"/>
      <c r="BA310" s="76"/>
      <c r="BB310" s="76"/>
      <c r="BC310">
        <v>1</v>
      </c>
      <c r="BD310" s="75" t="str">
        <f>REPLACE(INDEX(GroupVertices[Group],MATCH(Edges[[#This Row],[Vertex 1]],GroupVertices[Vertex],0)),1,1,"")</f>
        <v>2</v>
      </c>
      <c r="BE310" s="75" t="str">
        <f>REPLACE(INDEX(GroupVertices[Group],MATCH(Edges[[#This Row],[Vertex 2]],GroupVertices[Vertex],0)),1,1,"")</f>
        <v>2</v>
      </c>
      <c r="BF310" s="45">
        <v>0</v>
      </c>
      <c r="BG310" s="46">
        <v>0</v>
      </c>
      <c r="BH310" s="45">
        <v>0</v>
      </c>
      <c r="BI310" s="46">
        <v>0</v>
      </c>
      <c r="BJ310" s="45">
        <v>0</v>
      </c>
      <c r="BK310" s="46">
        <v>0</v>
      </c>
      <c r="BL310" s="45">
        <v>1</v>
      </c>
      <c r="BM310" s="46">
        <v>100</v>
      </c>
      <c r="BN310" s="45">
        <v>1</v>
      </c>
    </row>
    <row r="311" spans="1:66" ht="15">
      <c r="A311" s="61" t="s">
        <v>408</v>
      </c>
      <c r="B311" s="61" t="s">
        <v>414</v>
      </c>
      <c r="C311" s="62" t="s">
        <v>4694</v>
      </c>
      <c r="D311" s="63">
        <v>9.583333333333332</v>
      </c>
      <c r="E311" s="62"/>
      <c r="F311" s="65">
        <v>17.916666666666664</v>
      </c>
      <c r="G311" s="62"/>
      <c r="H311" s="66"/>
      <c r="I311" s="67"/>
      <c r="J311" s="67"/>
      <c r="K311" s="31" t="s">
        <v>65</v>
      </c>
      <c r="L311" s="68">
        <v>311</v>
      </c>
      <c r="M311" s="68"/>
      <c r="N311" s="69"/>
      <c r="O311" s="76" t="s">
        <v>586</v>
      </c>
      <c r="P311" s="78">
        <v>44811.77967592593</v>
      </c>
      <c r="Q311" s="76" t="s">
        <v>590</v>
      </c>
      <c r="R311" s="76"/>
      <c r="S311" s="76"/>
      <c r="T311" s="81" t="s">
        <v>793</v>
      </c>
      <c r="U311" s="79" t="str">
        <f>HYPERLINK("https://pbs.twimg.com/media/FcCNOtRX0AMZ0JE.jpg")</f>
        <v>https://pbs.twimg.com/media/FcCNOtRX0AMZ0JE.jpg</v>
      </c>
      <c r="V311" s="79" t="str">
        <f>HYPERLINK("https://pbs.twimg.com/media/FcCNOtRX0AMZ0JE.jpg")</f>
        <v>https://pbs.twimg.com/media/FcCNOtRX0AMZ0JE.jpg</v>
      </c>
      <c r="W311" s="78">
        <v>44811.77967592593</v>
      </c>
      <c r="X311" s="84">
        <v>44811</v>
      </c>
      <c r="Y311" s="81" t="s">
        <v>1095</v>
      </c>
      <c r="Z311" s="79" t="str">
        <f>HYPERLINK("https://twitter.com/star48625796202/status/1567584166719492096")</f>
        <v>https://twitter.com/star48625796202/status/1567584166719492096</v>
      </c>
      <c r="AA311" s="76"/>
      <c r="AB311" s="76"/>
      <c r="AC311" s="81" t="s">
        <v>1426</v>
      </c>
      <c r="AD311" s="76"/>
      <c r="AE311" s="76" t="b">
        <v>0</v>
      </c>
      <c r="AF311" s="76">
        <v>0</v>
      </c>
      <c r="AG311" s="81" t="s">
        <v>1674</v>
      </c>
      <c r="AH311" s="76" t="b">
        <v>0</v>
      </c>
      <c r="AI311" s="76" t="s">
        <v>1771</v>
      </c>
      <c r="AJ311" s="76"/>
      <c r="AK311" s="81" t="s">
        <v>1674</v>
      </c>
      <c r="AL311" s="76" t="b">
        <v>0</v>
      </c>
      <c r="AM311" s="76">
        <v>3</v>
      </c>
      <c r="AN311" s="81" t="s">
        <v>1447</v>
      </c>
      <c r="AO311" s="81" t="s">
        <v>1809</v>
      </c>
      <c r="AP311" s="76" t="b">
        <v>0</v>
      </c>
      <c r="AQ311" s="81" t="s">
        <v>1447</v>
      </c>
      <c r="AR311" s="76" t="s">
        <v>219</v>
      </c>
      <c r="AS311" s="76">
        <v>0</v>
      </c>
      <c r="AT311" s="76">
        <v>0</v>
      </c>
      <c r="AU311" s="76"/>
      <c r="AV311" s="76"/>
      <c r="AW311" s="76"/>
      <c r="AX311" s="76"/>
      <c r="AY311" s="76"/>
      <c r="AZ311" s="76"/>
      <c r="BA311" s="76"/>
      <c r="BB311" s="76"/>
      <c r="BC311">
        <v>12</v>
      </c>
      <c r="BD311" s="75" t="str">
        <f>REPLACE(INDEX(GroupVertices[Group],MATCH(Edges[[#This Row],[Vertex 1]],GroupVertices[Vertex],0)),1,1,"")</f>
        <v>3</v>
      </c>
      <c r="BE311" s="75" t="str">
        <f>REPLACE(INDEX(GroupVertices[Group],MATCH(Edges[[#This Row],[Vertex 2]],GroupVertices[Vertex],0)),1,1,"")</f>
        <v>3</v>
      </c>
      <c r="BF311" s="45">
        <v>0</v>
      </c>
      <c r="BG311" s="46">
        <v>0</v>
      </c>
      <c r="BH311" s="45">
        <v>0</v>
      </c>
      <c r="BI311" s="46">
        <v>0</v>
      </c>
      <c r="BJ311" s="45">
        <v>0</v>
      </c>
      <c r="BK311" s="46">
        <v>0</v>
      </c>
      <c r="BL311" s="45">
        <v>12</v>
      </c>
      <c r="BM311" s="46">
        <v>100</v>
      </c>
      <c r="BN311" s="45">
        <v>12</v>
      </c>
    </row>
    <row r="312" spans="1:66" ht="15">
      <c r="A312" s="61" t="s">
        <v>408</v>
      </c>
      <c r="B312" s="61" t="s">
        <v>414</v>
      </c>
      <c r="C312" s="62" t="s">
        <v>4694</v>
      </c>
      <c r="D312" s="63">
        <v>9.583333333333332</v>
      </c>
      <c r="E312" s="62"/>
      <c r="F312" s="65">
        <v>17.916666666666664</v>
      </c>
      <c r="G312" s="62"/>
      <c r="H312" s="66"/>
      <c r="I312" s="67"/>
      <c r="J312" s="67"/>
      <c r="K312" s="31" t="s">
        <v>65</v>
      </c>
      <c r="L312" s="68">
        <v>312</v>
      </c>
      <c r="M312" s="68"/>
      <c r="N312" s="69"/>
      <c r="O312" s="76" t="s">
        <v>586</v>
      </c>
      <c r="P312" s="78">
        <v>44814.89787037037</v>
      </c>
      <c r="Q312" s="76" t="s">
        <v>632</v>
      </c>
      <c r="R312" s="76"/>
      <c r="S312" s="76"/>
      <c r="T312" s="81" t="s">
        <v>819</v>
      </c>
      <c r="U312" s="76"/>
      <c r="V312" s="79" t="str">
        <f>HYPERLINK("https://abs.twimg.com/sticky/default_profile_images/default_profile_normal.png")</f>
        <v>https://abs.twimg.com/sticky/default_profile_images/default_profile_normal.png</v>
      </c>
      <c r="W312" s="78">
        <v>44814.89787037037</v>
      </c>
      <c r="X312" s="84">
        <v>44814</v>
      </c>
      <c r="Y312" s="81" t="s">
        <v>1096</v>
      </c>
      <c r="Z312" s="79" t="str">
        <f>HYPERLINK("https://twitter.com/star48625796202/status/1568714165241487363")</f>
        <v>https://twitter.com/star48625796202/status/1568714165241487363</v>
      </c>
      <c r="AA312" s="76"/>
      <c r="AB312" s="76"/>
      <c r="AC312" s="81" t="s">
        <v>1427</v>
      </c>
      <c r="AD312" s="76"/>
      <c r="AE312" s="76" t="b">
        <v>0</v>
      </c>
      <c r="AF312" s="76">
        <v>0</v>
      </c>
      <c r="AG312" s="81" t="s">
        <v>1674</v>
      </c>
      <c r="AH312" s="76" t="b">
        <v>0</v>
      </c>
      <c r="AI312" s="76" t="s">
        <v>1771</v>
      </c>
      <c r="AJ312" s="76"/>
      <c r="AK312" s="81" t="s">
        <v>1674</v>
      </c>
      <c r="AL312" s="76" t="b">
        <v>0</v>
      </c>
      <c r="AM312" s="76">
        <v>4</v>
      </c>
      <c r="AN312" s="81" t="s">
        <v>1450</v>
      </c>
      <c r="AO312" s="81" t="s">
        <v>1809</v>
      </c>
      <c r="AP312" s="76" t="b">
        <v>0</v>
      </c>
      <c r="AQ312" s="81" t="s">
        <v>1450</v>
      </c>
      <c r="AR312" s="76" t="s">
        <v>219</v>
      </c>
      <c r="AS312" s="76">
        <v>0</v>
      </c>
      <c r="AT312" s="76">
        <v>0</v>
      </c>
      <c r="AU312" s="76"/>
      <c r="AV312" s="76"/>
      <c r="AW312" s="76"/>
      <c r="AX312" s="76"/>
      <c r="AY312" s="76"/>
      <c r="AZ312" s="76"/>
      <c r="BA312" s="76"/>
      <c r="BB312" s="76"/>
      <c r="BC312">
        <v>12</v>
      </c>
      <c r="BD312" s="75" t="str">
        <f>REPLACE(INDEX(GroupVertices[Group],MATCH(Edges[[#This Row],[Vertex 1]],GroupVertices[Vertex],0)),1,1,"")</f>
        <v>3</v>
      </c>
      <c r="BE312" s="75" t="str">
        <f>REPLACE(INDEX(GroupVertices[Group],MATCH(Edges[[#This Row],[Vertex 2]],GroupVertices[Vertex],0)),1,1,"")</f>
        <v>3</v>
      </c>
      <c r="BF312" s="45">
        <v>0</v>
      </c>
      <c r="BG312" s="46">
        <v>0</v>
      </c>
      <c r="BH312" s="45">
        <v>0</v>
      </c>
      <c r="BI312" s="46">
        <v>0</v>
      </c>
      <c r="BJ312" s="45">
        <v>0</v>
      </c>
      <c r="BK312" s="46">
        <v>0</v>
      </c>
      <c r="BL312" s="45">
        <v>5</v>
      </c>
      <c r="BM312" s="46">
        <v>100</v>
      </c>
      <c r="BN312" s="45">
        <v>5</v>
      </c>
    </row>
    <row r="313" spans="1:66" ht="15">
      <c r="A313" s="61" t="s">
        <v>408</v>
      </c>
      <c r="B313" s="61" t="s">
        <v>414</v>
      </c>
      <c r="C313" s="62" t="s">
        <v>4694</v>
      </c>
      <c r="D313" s="63">
        <v>9.583333333333332</v>
      </c>
      <c r="E313" s="62"/>
      <c r="F313" s="65">
        <v>17.916666666666664</v>
      </c>
      <c r="G313" s="62"/>
      <c r="H313" s="66"/>
      <c r="I313" s="67"/>
      <c r="J313" s="67"/>
      <c r="K313" s="31" t="s">
        <v>65</v>
      </c>
      <c r="L313" s="68">
        <v>313</v>
      </c>
      <c r="M313" s="68"/>
      <c r="N313" s="69"/>
      <c r="O313" s="76" t="s">
        <v>586</v>
      </c>
      <c r="P313" s="78">
        <v>44816.36386574074</v>
      </c>
      <c r="Q313" s="76" t="s">
        <v>657</v>
      </c>
      <c r="R313" s="76"/>
      <c r="S313" s="76"/>
      <c r="T313" s="81" t="s">
        <v>819</v>
      </c>
      <c r="U313" s="76"/>
      <c r="V313" s="79" t="str">
        <f>HYPERLINK("https://abs.twimg.com/sticky/default_profile_images/default_profile_normal.png")</f>
        <v>https://abs.twimg.com/sticky/default_profile_images/default_profile_normal.png</v>
      </c>
      <c r="W313" s="78">
        <v>44816.36386574074</v>
      </c>
      <c r="X313" s="84">
        <v>44816</v>
      </c>
      <c r="Y313" s="81" t="s">
        <v>1097</v>
      </c>
      <c r="Z313" s="79" t="str">
        <f>HYPERLINK("https://twitter.com/star48625796202/status/1569245422165655555")</f>
        <v>https://twitter.com/star48625796202/status/1569245422165655555</v>
      </c>
      <c r="AA313" s="76"/>
      <c r="AB313" s="76"/>
      <c r="AC313" s="81" t="s">
        <v>1428</v>
      </c>
      <c r="AD313" s="76"/>
      <c r="AE313" s="76" t="b">
        <v>0</v>
      </c>
      <c r="AF313" s="76">
        <v>0</v>
      </c>
      <c r="AG313" s="81" t="s">
        <v>1674</v>
      </c>
      <c r="AH313" s="76" t="b">
        <v>0</v>
      </c>
      <c r="AI313" s="76" t="s">
        <v>1771</v>
      </c>
      <c r="AJ313" s="76"/>
      <c r="AK313" s="81" t="s">
        <v>1674</v>
      </c>
      <c r="AL313" s="76" t="b">
        <v>0</v>
      </c>
      <c r="AM313" s="76">
        <v>2</v>
      </c>
      <c r="AN313" s="81" t="s">
        <v>1451</v>
      </c>
      <c r="AO313" s="81" t="s">
        <v>1809</v>
      </c>
      <c r="AP313" s="76" t="b">
        <v>0</v>
      </c>
      <c r="AQ313" s="81" t="s">
        <v>1451</v>
      </c>
      <c r="AR313" s="76" t="s">
        <v>219</v>
      </c>
      <c r="AS313" s="76">
        <v>0</v>
      </c>
      <c r="AT313" s="76">
        <v>0</v>
      </c>
      <c r="AU313" s="76"/>
      <c r="AV313" s="76"/>
      <c r="AW313" s="76"/>
      <c r="AX313" s="76"/>
      <c r="AY313" s="76"/>
      <c r="AZ313" s="76"/>
      <c r="BA313" s="76"/>
      <c r="BB313" s="76"/>
      <c r="BC313">
        <v>12</v>
      </c>
      <c r="BD313" s="75" t="str">
        <f>REPLACE(INDEX(GroupVertices[Group],MATCH(Edges[[#This Row],[Vertex 1]],GroupVertices[Vertex],0)),1,1,"")</f>
        <v>3</v>
      </c>
      <c r="BE313" s="75" t="str">
        <f>REPLACE(INDEX(GroupVertices[Group],MATCH(Edges[[#This Row],[Vertex 2]],GroupVertices[Vertex],0)),1,1,"")</f>
        <v>3</v>
      </c>
      <c r="BF313" s="45">
        <v>0</v>
      </c>
      <c r="BG313" s="46">
        <v>0</v>
      </c>
      <c r="BH313" s="45">
        <v>0</v>
      </c>
      <c r="BI313" s="46">
        <v>0</v>
      </c>
      <c r="BJ313" s="45">
        <v>0</v>
      </c>
      <c r="BK313" s="46">
        <v>0</v>
      </c>
      <c r="BL313" s="45">
        <v>20</v>
      </c>
      <c r="BM313" s="46">
        <v>100</v>
      </c>
      <c r="BN313" s="45">
        <v>20</v>
      </c>
    </row>
    <row r="314" spans="1:66" ht="15">
      <c r="A314" s="61" t="s">
        <v>408</v>
      </c>
      <c r="B314" s="61" t="s">
        <v>414</v>
      </c>
      <c r="C314" s="62" t="s">
        <v>4694</v>
      </c>
      <c r="D314" s="63">
        <v>9.583333333333332</v>
      </c>
      <c r="E314" s="62"/>
      <c r="F314" s="65">
        <v>17.916666666666664</v>
      </c>
      <c r="G314" s="62"/>
      <c r="H314" s="66"/>
      <c r="I314" s="67"/>
      <c r="J314" s="67"/>
      <c r="K314" s="31" t="s">
        <v>65</v>
      </c>
      <c r="L314" s="68">
        <v>314</v>
      </c>
      <c r="M314" s="68"/>
      <c r="N314" s="69"/>
      <c r="O314" s="76" t="s">
        <v>586</v>
      </c>
      <c r="P314" s="78">
        <v>44816.55152777778</v>
      </c>
      <c r="Q314" s="76" t="s">
        <v>713</v>
      </c>
      <c r="R314" s="76"/>
      <c r="S314" s="76"/>
      <c r="T314" s="81" t="s">
        <v>819</v>
      </c>
      <c r="U314" s="79" t="str">
        <f>HYPERLINK("https://pbs.twimg.com/ext_tw_video_thumb/1569282039861452802/pu/img/hpYkNNY2FvFNCj_Q.jpg")</f>
        <v>https://pbs.twimg.com/ext_tw_video_thumb/1569282039861452802/pu/img/hpYkNNY2FvFNCj_Q.jpg</v>
      </c>
      <c r="V314" s="79" t="str">
        <f>HYPERLINK("https://pbs.twimg.com/ext_tw_video_thumb/1569282039861452802/pu/img/hpYkNNY2FvFNCj_Q.jpg")</f>
        <v>https://pbs.twimg.com/ext_tw_video_thumb/1569282039861452802/pu/img/hpYkNNY2FvFNCj_Q.jpg</v>
      </c>
      <c r="W314" s="78">
        <v>44816.55152777778</v>
      </c>
      <c r="X314" s="84">
        <v>44816</v>
      </c>
      <c r="Y314" s="81" t="s">
        <v>1098</v>
      </c>
      <c r="Z314" s="79" t="str">
        <f>HYPERLINK("https://twitter.com/star48625796202/status/1569313428002447360")</f>
        <v>https://twitter.com/star48625796202/status/1569313428002447360</v>
      </c>
      <c r="AA314" s="76"/>
      <c r="AB314" s="76"/>
      <c r="AC314" s="81" t="s">
        <v>1429</v>
      </c>
      <c r="AD314" s="76"/>
      <c r="AE314" s="76" t="b">
        <v>0</v>
      </c>
      <c r="AF314" s="76">
        <v>0</v>
      </c>
      <c r="AG314" s="81" t="s">
        <v>1674</v>
      </c>
      <c r="AH314" s="76" t="b">
        <v>0</v>
      </c>
      <c r="AI314" s="76" t="s">
        <v>1771</v>
      </c>
      <c r="AJ314" s="76"/>
      <c r="AK314" s="81" t="s">
        <v>1674</v>
      </c>
      <c r="AL314" s="76" t="b">
        <v>0</v>
      </c>
      <c r="AM314" s="76">
        <v>3</v>
      </c>
      <c r="AN314" s="81" t="s">
        <v>1452</v>
      </c>
      <c r="AO314" s="81" t="s">
        <v>1809</v>
      </c>
      <c r="AP314" s="76" t="b">
        <v>0</v>
      </c>
      <c r="AQ314" s="81" t="s">
        <v>1452</v>
      </c>
      <c r="AR314" s="76" t="s">
        <v>219</v>
      </c>
      <c r="AS314" s="76">
        <v>0</v>
      </c>
      <c r="AT314" s="76">
        <v>0</v>
      </c>
      <c r="AU314" s="76"/>
      <c r="AV314" s="76"/>
      <c r="AW314" s="76"/>
      <c r="AX314" s="76"/>
      <c r="AY314" s="76"/>
      <c r="AZ314" s="76"/>
      <c r="BA314" s="76"/>
      <c r="BB314" s="76"/>
      <c r="BC314">
        <v>12</v>
      </c>
      <c r="BD314" s="75" t="str">
        <f>REPLACE(INDEX(GroupVertices[Group],MATCH(Edges[[#This Row],[Vertex 1]],GroupVertices[Vertex],0)),1,1,"")</f>
        <v>3</v>
      </c>
      <c r="BE314" s="75" t="str">
        <f>REPLACE(INDEX(GroupVertices[Group],MATCH(Edges[[#This Row],[Vertex 2]],GroupVertices[Vertex],0)),1,1,"")</f>
        <v>3</v>
      </c>
      <c r="BF314" s="45">
        <v>0</v>
      </c>
      <c r="BG314" s="46">
        <v>0</v>
      </c>
      <c r="BH314" s="45">
        <v>0</v>
      </c>
      <c r="BI314" s="46">
        <v>0</v>
      </c>
      <c r="BJ314" s="45">
        <v>0</v>
      </c>
      <c r="BK314" s="46">
        <v>0</v>
      </c>
      <c r="BL314" s="45">
        <v>12</v>
      </c>
      <c r="BM314" s="46">
        <v>100</v>
      </c>
      <c r="BN314" s="45">
        <v>12</v>
      </c>
    </row>
    <row r="315" spans="1:66" ht="15">
      <c r="A315" s="61" t="s">
        <v>408</v>
      </c>
      <c r="B315" s="61" t="s">
        <v>497</v>
      </c>
      <c r="C315" s="62" t="s">
        <v>4688</v>
      </c>
      <c r="D315" s="63">
        <v>5</v>
      </c>
      <c r="E315" s="62"/>
      <c r="F315" s="65">
        <v>50</v>
      </c>
      <c r="G315" s="62"/>
      <c r="H315" s="66"/>
      <c r="I315" s="67"/>
      <c r="J315" s="67"/>
      <c r="K315" s="31" t="s">
        <v>65</v>
      </c>
      <c r="L315" s="68">
        <v>315</v>
      </c>
      <c r="M315" s="68"/>
      <c r="N315" s="69"/>
      <c r="O315" s="76" t="s">
        <v>585</v>
      </c>
      <c r="P315" s="78">
        <v>44816.64712962963</v>
      </c>
      <c r="Q315" s="76" t="s">
        <v>686</v>
      </c>
      <c r="R315" s="76"/>
      <c r="S315" s="76"/>
      <c r="T315" s="81" t="s">
        <v>842</v>
      </c>
      <c r="U315" s="79" t="str">
        <f>HYPERLINK("https://pbs.twimg.com/ext_tw_video_thumb/1569314489102630913/pu/img/BR0KDvRYMz2wMx5y.jpg")</f>
        <v>https://pbs.twimg.com/ext_tw_video_thumb/1569314489102630913/pu/img/BR0KDvRYMz2wMx5y.jpg</v>
      </c>
      <c r="V315" s="79" t="str">
        <f>HYPERLINK("https://pbs.twimg.com/ext_tw_video_thumb/1569314489102630913/pu/img/BR0KDvRYMz2wMx5y.jpg")</f>
        <v>https://pbs.twimg.com/ext_tw_video_thumb/1569314489102630913/pu/img/BR0KDvRYMz2wMx5y.jpg</v>
      </c>
      <c r="W315" s="78">
        <v>44816.64712962963</v>
      </c>
      <c r="X315" s="84">
        <v>44816</v>
      </c>
      <c r="Y315" s="81" t="s">
        <v>1099</v>
      </c>
      <c r="Z315" s="79" t="str">
        <f>HYPERLINK("https://twitter.com/star48625796202/status/1569348073012490240")</f>
        <v>https://twitter.com/star48625796202/status/1569348073012490240</v>
      </c>
      <c r="AA315" s="76"/>
      <c r="AB315" s="76"/>
      <c r="AC315" s="81" t="s">
        <v>1430</v>
      </c>
      <c r="AD315" s="76"/>
      <c r="AE315" s="76" t="b">
        <v>0</v>
      </c>
      <c r="AF315" s="76">
        <v>0</v>
      </c>
      <c r="AG315" s="81" t="s">
        <v>1674</v>
      </c>
      <c r="AH315" s="76" t="b">
        <v>0</v>
      </c>
      <c r="AI315" s="76" t="s">
        <v>1771</v>
      </c>
      <c r="AJ315" s="76"/>
      <c r="AK315" s="81" t="s">
        <v>1674</v>
      </c>
      <c r="AL315" s="76" t="b">
        <v>0</v>
      </c>
      <c r="AM315" s="76">
        <v>2</v>
      </c>
      <c r="AN315" s="81" t="s">
        <v>1453</v>
      </c>
      <c r="AO315" s="81" t="s">
        <v>1809</v>
      </c>
      <c r="AP315" s="76" t="b">
        <v>0</v>
      </c>
      <c r="AQ315" s="81" t="s">
        <v>1453</v>
      </c>
      <c r="AR315" s="76" t="s">
        <v>219</v>
      </c>
      <c r="AS315" s="76">
        <v>0</v>
      </c>
      <c r="AT315" s="76">
        <v>0</v>
      </c>
      <c r="AU315" s="76"/>
      <c r="AV315" s="76"/>
      <c r="AW315" s="76"/>
      <c r="AX315" s="76"/>
      <c r="AY315" s="76"/>
      <c r="AZ315" s="76"/>
      <c r="BA315" s="76"/>
      <c r="BB315" s="76"/>
      <c r="BC315">
        <v>1</v>
      </c>
      <c r="BD315" s="75" t="str">
        <f>REPLACE(INDEX(GroupVertices[Group],MATCH(Edges[[#This Row],[Vertex 1]],GroupVertices[Vertex],0)),1,1,"")</f>
        <v>3</v>
      </c>
      <c r="BE315" s="75" t="str">
        <f>REPLACE(INDEX(GroupVertices[Group],MATCH(Edges[[#This Row],[Vertex 2]],GroupVertices[Vertex],0)),1,1,"")</f>
        <v>3</v>
      </c>
      <c r="BF315" s="45"/>
      <c r="BG315" s="46"/>
      <c r="BH315" s="45"/>
      <c r="BI315" s="46"/>
      <c r="BJ315" s="45"/>
      <c r="BK315" s="46"/>
      <c r="BL315" s="45"/>
      <c r="BM315" s="46"/>
      <c r="BN315" s="45"/>
    </row>
    <row r="316" spans="1:66" ht="15">
      <c r="A316" s="61" t="s">
        <v>408</v>
      </c>
      <c r="B316" s="61" t="s">
        <v>414</v>
      </c>
      <c r="C316" s="62" t="s">
        <v>4694</v>
      </c>
      <c r="D316" s="63">
        <v>9.583333333333332</v>
      </c>
      <c r="E316" s="62"/>
      <c r="F316" s="65">
        <v>17.916666666666664</v>
      </c>
      <c r="G316" s="62"/>
      <c r="H316" s="66"/>
      <c r="I316" s="67"/>
      <c r="J316" s="67"/>
      <c r="K316" s="31" t="s">
        <v>65</v>
      </c>
      <c r="L316" s="68">
        <v>316</v>
      </c>
      <c r="M316" s="68"/>
      <c r="N316" s="69"/>
      <c r="O316" s="76" t="s">
        <v>586</v>
      </c>
      <c r="P316" s="78">
        <v>44816.64712962963</v>
      </c>
      <c r="Q316" s="76" t="s">
        <v>686</v>
      </c>
      <c r="R316" s="76"/>
      <c r="S316" s="76"/>
      <c r="T316" s="81" t="s">
        <v>842</v>
      </c>
      <c r="U316" s="79" t="str">
        <f>HYPERLINK("https://pbs.twimg.com/ext_tw_video_thumb/1569314489102630913/pu/img/BR0KDvRYMz2wMx5y.jpg")</f>
        <v>https://pbs.twimg.com/ext_tw_video_thumb/1569314489102630913/pu/img/BR0KDvRYMz2wMx5y.jpg</v>
      </c>
      <c r="V316" s="79" t="str">
        <f>HYPERLINK("https://pbs.twimg.com/ext_tw_video_thumb/1569314489102630913/pu/img/BR0KDvRYMz2wMx5y.jpg")</f>
        <v>https://pbs.twimg.com/ext_tw_video_thumb/1569314489102630913/pu/img/BR0KDvRYMz2wMx5y.jpg</v>
      </c>
      <c r="W316" s="78">
        <v>44816.64712962963</v>
      </c>
      <c r="X316" s="84">
        <v>44816</v>
      </c>
      <c r="Y316" s="81" t="s">
        <v>1099</v>
      </c>
      <c r="Z316" s="79" t="str">
        <f>HYPERLINK("https://twitter.com/star48625796202/status/1569348073012490240")</f>
        <v>https://twitter.com/star48625796202/status/1569348073012490240</v>
      </c>
      <c r="AA316" s="76"/>
      <c r="AB316" s="76"/>
      <c r="AC316" s="81" t="s">
        <v>1430</v>
      </c>
      <c r="AD316" s="76"/>
      <c r="AE316" s="76" t="b">
        <v>0</v>
      </c>
      <c r="AF316" s="76">
        <v>0</v>
      </c>
      <c r="AG316" s="81" t="s">
        <v>1674</v>
      </c>
      <c r="AH316" s="76" t="b">
        <v>0</v>
      </c>
      <c r="AI316" s="76" t="s">
        <v>1771</v>
      </c>
      <c r="AJ316" s="76"/>
      <c r="AK316" s="81" t="s">
        <v>1674</v>
      </c>
      <c r="AL316" s="76" t="b">
        <v>0</v>
      </c>
      <c r="AM316" s="76">
        <v>2</v>
      </c>
      <c r="AN316" s="81" t="s">
        <v>1453</v>
      </c>
      <c r="AO316" s="81" t="s">
        <v>1809</v>
      </c>
      <c r="AP316" s="76" t="b">
        <v>0</v>
      </c>
      <c r="AQ316" s="81" t="s">
        <v>1453</v>
      </c>
      <c r="AR316" s="76" t="s">
        <v>219</v>
      </c>
      <c r="AS316" s="76">
        <v>0</v>
      </c>
      <c r="AT316" s="76">
        <v>0</v>
      </c>
      <c r="AU316" s="76"/>
      <c r="AV316" s="76"/>
      <c r="AW316" s="76"/>
      <c r="AX316" s="76"/>
      <c r="AY316" s="76"/>
      <c r="AZ316" s="76"/>
      <c r="BA316" s="76"/>
      <c r="BB316" s="76"/>
      <c r="BC316">
        <v>12</v>
      </c>
      <c r="BD316" s="75" t="str">
        <f>REPLACE(INDEX(GroupVertices[Group],MATCH(Edges[[#This Row],[Vertex 1]],GroupVertices[Vertex],0)),1,1,"")</f>
        <v>3</v>
      </c>
      <c r="BE316" s="75" t="str">
        <f>REPLACE(INDEX(GroupVertices[Group],MATCH(Edges[[#This Row],[Vertex 2]],GroupVertices[Vertex],0)),1,1,"")</f>
        <v>3</v>
      </c>
      <c r="BF316" s="45">
        <v>0</v>
      </c>
      <c r="BG316" s="46">
        <v>0</v>
      </c>
      <c r="BH316" s="45">
        <v>0</v>
      </c>
      <c r="BI316" s="46">
        <v>0</v>
      </c>
      <c r="BJ316" s="45">
        <v>0</v>
      </c>
      <c r="BK316" s="46">
        <v>0</v>
      </c>
      <c r="BL316" s="45">
        <v>9</v>
      </c>
      <c r="BM316" s="46">
        <v>100</v>
      </c>
      <c r="BN316" s="45">
        <v>9</v>
      </c>
    </row>
    <row r="317" spans="1:66" ht="15">
      <c r="A317" s="61" t="s">
        <v>408</v>
      </c>
      <c r="B317" s="61" t="s">
        <v>414</v>
      </c>
      <c r="C317" s="62" t="s">
        <v>4694</v>
      </c>
      <c r="D317" s="63">
        <v>9.583333333333332</v>
      </c>
      <c r="E317" s="62"/>
      <c r="F317" s="65">
        <v>17.916666666666664</v>
      </c>
      <c r="G317" s="62"/>
      <c r="H317" s="66"/>
      <c r="I317" s="67"/>
      <c r="J317" s="67"/>
      <c r="K317" s="31" t="s">
        <v>65</v>
      </c>
      <c r="L317" s="68">
        <v>317</v>
      </c>
      <c r="M317" s="68"/>
      <c r="N317" s="69"/>
      <c r="O317" s="76" t="s">
        <v>586</v>
      </c>
      <c r="P317" s="78">
        <v>44818.208645833336</v>
      </c>
      <c r="Q317" s="76" t="s">
        <v>720</v>
      </c>
      <c r="R317" s="76"/>
      <c r="S317" s="76"/>
      <c r="T317" s="81" t="s">
        <v>842</v>
      </c>
      <c r="U317" s="76"/>
      <c r="V317" s="79" t="str">
        <f>HYPERLINK("https://abs.twimg.com/sticky/default_profile_images/default_profile_normal.png")</f>
        <v>https://abs.twimg.com/sticky/default_profile_images/default_profile_normal.png</v>
      </c>
      <c r="W317" s="78">
        <v>44818.208645833336</v>
      </c>
      <c r="X317" s="84">
        <v>44818</v>
      </c>
      <c r="Y317" s="81" t="s">
        <v>1100</v>
      </c>
      <c r="Z317" s="79" t="str">
        <f>HYPERLINK("https://twitter.com/star48625796202/status/1569913947133812737")</f>
        <v>https://twitter.com/star48625796202/status/1569913947133812737</v>
      </c>
      <c r="AA317" s="76"/>
      <c r="AB317" s="76"/>
      <c r="AC317" s="81" t="s">
        <v>1431</v>
      </c>
      <c r="AD317" s="76"/>
      <c r="AE317" s="76" t="b">
        <v>0</v>
      </c>
      <c r="AF317" s="76">
        <v>0</v>
      </c>
      <c r="AG317" s="81" t="s">
        <v>1674</v>
      </c>
      <c r="AH317" s="76" t="b">
        <v>0</v>
      </c>
      <c r="AI317" s="76" t="s">
        <v>1771</v>
      </c>
      <c r="AJ317" s="76"/>
      <c r="AK317" s="81" t="s">
        <v>1674</v>
      </c>
      <c r="AL317" s="76" t="b">
        <v>0</v>
      </c>
      <c r="AM317" s="76">
        <v>2</v>
      </c>
      <c r="AN317" s="81" t="s">
        <v>1455</v>
      </c>
      <c r="AO317" s="81" t="s">
        <v>1809</v>
      </c>
      <c r="AP317" s="76" t="b">
        <v>0</v>
      </c>
      <c r="AQ317" s="81" t="s">
        <v>1455</v>
      </c>
      <c r="AR317" s="76" t="s">
        <v>219</v>
      </c>
      <c r="AS317" s="76">
        <v>0</v>
      </c>
      <c r="AT317" s="76">
        <v>0</v>
      </c>
      <c r="AU317" s="76"/>
      <c r="AV317" s="76"/>
      <c r="AW317" s="76"/>
      <c r="AX317" s="76"/>
      <c r="AY317" s="76"/>
      <c r="AZ317" s="76"/>
      <c r="BA317" s="76"/>
      <c r="BB317" s="76"/>
      <c r="BC317">
        <v>12</v>
      </c>
      <c r="BD317" s="75" t="str">
        <f>REPLACE(INDEX(GroupVertices[Group],MATCH(Edges[[#This Row],[Vertex 1]],GroupVertices[Vertex],0)),1,1,"")</f>
        <v>3</v>
      </c>
      <c r="BE317" s="75" t="str">
        <f>REPLACE(INDEX(GroupVertices[Group],MATCH(Edges[[#This Row],[Vertex 2]],GroupVertices[Vertex],0)),1,1,"")</f>
        <v>3</v>
      </c>
      <c r="BF317" s="45">
        <v>0</v>
      </c>
      <c r="BG317" s="46">
        <v>0</v>
      </c>
      <c r="BH317" s="45">
        <v>0</v>
      </c>
      <c r="BI317" s="46">
        <v>0</v>
      </c>
      <c r="BJ317" s="45">
        <v>0</v>
      </c>
      <c r="BK317" s="46">
        <v>0</v>
      </c>
      <c r="BL317" s="45">
        <v>31</v>
      </c>
      <c r="BM317" s="46">
        <v>100</v>
      </c>
      <c r="BN317" s="45">
        <v>31</v>
      </c>
    </row>
    <row r="318" spans="1:66" ht="15">
      <c r="A318" s="61" t="s">
        <v>408</v>
      </c>
      <c r="B318" s="61" t="s">
        <v>414</v>
      </c>
      <c r="C318" s="62" t="s">
        <v>4694</v>
      </c>
      <c r="D318" s="63">
        <v>9.583333333333332</v>
      </c>
      <c r="E318" s="62"/>
      <c r="F318" s="65">
        <v>17.916666666666664</v>
      </c>
      <c r="G318" s="62"/>
      <c r="H318" s="66"/>
      <c r="I318" s="67"/>
      <c r="J318" s="67"/>
      <c r="K318" s="31" t="s">
        <v>65</v>
      </c>
      <c r="L318" s="68">
        <v>318</v>
      </c>
      <c r="M318" s="68"/>
      <c r="N318" s="69"/>
      <c r="O318" s="76" t="s">
        <v>586</v>
      </c>
      <c r="P318" s="78">
        <v>44818.20894675926</v>
      </c>
      <c r="Q318" s="76" t="s">
        <v>687</v>
      </c>
      <c r="R318" s="76"/>
      <c r="S318" s="76"/>
      <c r="T318" s="81" t="s">
        <v>843</v>
      </c>
      <c r="U318" s="79" t="str">
        <f>HYPERLINK("https://pbs.twimg.com/media/FciVAscX0AA7C40.jpg")</f>
        <v>https://pbs.twimg.com/media/FciVAscX0AA7C40.jpg</v>
      </c>
      <c r="V318" s="79" t="str">
        <f>HYPERLINK("https://pbs.twimg.com/media/FciVAscX0AA7C40.jpg")</f>
        <v>https://pbs.twimg.com/media/FciVAscX0AA7C40.jpg</v>
      </c>
      <c r="W318" s="78">
        <v>44818.20894675926</v>
      </c>
      <c r="X318" s="84">
        <v>44818</v>
      </c>
      <c r="Y318" s="81" t="s">
        <v>1101</v>
      </c>
      <c r="Z318" s="79" t="str">
        <f>HYPERLINK("https://twitter.com/star48625796202/status/1569914056672440323")</f>
        <v>https://twitter.com/star48625796202/status/1569914056672440323</v>
      </c>
      <c r="AA318" s="76"/>
      <c r="AB318" s="76"/>
      <c r="AC318" s="81" t="s">
        <v>1432</v>
      </c>
      <c r="AD318" s="76"/>
      <c r="AE318" s="76" t="b">
        <v>0</v>
      </c>
      <c r="AF318" s="76">
        <v>0</v>
      </c>
      <c r="AG318" s="81" t="s">
        <v>1674</v>
      </c>
      <c r="AH318" s="76" t="b">
        <v>0</v>
      </c>
      <c r="AI318" s="76" t="s">
        <v>1771</v>
      </c>
      <c r="AJ318" s="76"/>
      <c r="AK318" s="81" t="s">
        <v>1674</v>
      </c>
      <c r="AL318" s="76" t="b">
        <v>0</v>
      </c>
      <c r="AM318" s="76">
        <v>2</v>
      </c>
      <c r="AN318" s="81" t="s">
        <v>1454</v>
      </c>
      <c r="AO318" s="81" t="s">
        <v>1809</v>
      </c>
      <c r="AP318" s="76" t="b">
        <v>0</v>
      </c>
      <c r="AQ318" s="81" t="s">
        <v>1454</v>
      </c>
      <c r="AR318" s="76" t="s">
        <v>219</v>
      </c>
      <c r="AS318" s="76">
        <v>0</v>
      </c>
      <c r="AT318" s="76">
        <v>0</v>
      </c>
      <c r="AU318" s="76"/>
      <c r="AV318" s="76"/>
      <c r="AW318" s="76"/>
      <c r="AX318" s="76"/>
      <c r="AY318" s="76"/>
      <c r="AZ318" s="76"/>
      <c r="BA318" s="76"/>
      <c r="BB318" s="76"/>
      <c r="BC318">
        <v>12</v>
      </c>
      <c r="BD318" s="75" t="str">
        <f>REPLACE(INDEX(GroupVertices[Group],MATCH(Edges[[#This Row],[Vertex 1]],GroupVertices[Vertex],0)),1,1,"")</f>
        <v>3</v>
      </c>
      <c r="BE318" s="75" t="str">
        <f>REPLACE(INDEX(GroupVertices[Group],MATCH(Edges[[#This Row],[Vertex 2]],GroupVertices[Vertex],0)),1,1,"")</f>
        <v>3</v>
      </c>
      <c r="BF318" s="45">
        <v>0</v>
      </c>
      <c r="BG318" s="46">
        <v>0</v>
      </c>
      <c r="BH318" s="45">
        <v>0</v>
      </c>
      <c r="BI318" s="46">
        <v>0</v>
      </c>
      <c r="BJ318" s="45">
        <v>0</v>
      </c>
      <c r="BK318" s="46">
        <v>0</v>
      </c>
      <c r="BL318" s="45">
        <v>13</v>
      </c>
      <c r="BM318" s="46">
        <v>100</v>
      </c>
      <c r="BN318" s="45">
        <v>13</v>
      </c>
    </row>
    <row r="319" spans="1:66" ht="15">
      <c r="A319" s="61" t="s">
        <v>408</v>
      </c>
      <c r="B319" s="61" t="s">
        <v>414</v>
      </c>
      <c r="C319" s="62" t="s">
        <v>4694</v>
      </c>
      <c r="D319" s="63">
        <v>9.583333333333332</v>
      </c>
      <c r="E319" s="62"/>
      <c r="F319" s="65">
        <v>17.916666666666664</v>
      </c>
      <c r="G319" s="62"/>
      <c r="H319" s="66"/>
      <c r="I319" s="67"/>
      <c r="J319" s="67"/>
      <c r="K319" s="31" t="s">
        <v>65</v>
      </c>
      <c r="L319" s="68">
        <v>319</v>
      </c>
      <c r="M319" s="68"/>
      <c r="N319" s="69"/>
      <c r="O319" s="76" t="s">
        <v>586</v>
      </c>
      <c r="P319" s="78">
        <v>44818.8191087963</v>
      </c>
      <c r="Q319" s="76" t="s">
        <v>714</v>
      </c>
      <c r="R319" s="76"/>
      <c r="S319" s="76"/>
      <c r="T319" s="81" t="s">
        <v>857</v>
      </c>
      <c r="U319" s="79" t="str">
        <f>HYPERLINK("https://pbs.twimg.com/media/Fco1Im5WAAwCNtd.jpg")</f>
        <v>https://pbs.twimg.com/media/Fco1Im5WAAwCNtd.jpg</v>
      </c>
      <c r="V319" s="79" t="str">
        <f>HYPERLINK("https://pbs.twimg.com/media/Fco1Im5WAAwCNtd.jpg")</f>
        <v>https://pbs.twimg.com/media/Fco1Im5WAAwCNtd.jpg</v>
      </c>
      <c r="W319" s="78">
        <v>44818.8191087963</v>
      </c>
      <c r="X319" s="84">
        <v>44818</v>
      </c>
      <c r="Y319" s="81" t="s">
        <v>1102</v>
      </c>
      <c r="Z319" s="79" t="str">
        <f>HYPERLINK("https://twitter.com/star48625796202/status/1570135173198663680")</f>
        <v>https://twitter.com/star48625796202/status/1570135173198663680</v>
      </c>
      <c r="AA319" s="76"/>
      <c r="AB319" s="76"/>
      <c r="AC319" s="81" t="s">
        <v>1433</v>
      </c>
      <c r="AD319" s="76"/>
      <c r="AE319" s="76" t="b">
        <v>0</v>
      </c>
      <c r="AF319" s="76">
        <v>0</v>
      </c>
      <c r="AG319" s="81" t="s">
        <v>1674</v>
      </c>
      <c r="AH319" s="76" t="b">
        <v>0</v>
      </c>
      <c r="AI319" s="76" t="s">
        <v>1783</v>
      </c>
      <c r="AJ319" s="76"/>
      <c r="AK319" s="81" t="s">
        <v>1674</v>
      </c>
      <c r="AL319" s="76" t="b">
        <v>0</v>
      </c>
      <c r="AM319" s="76">
        <v>3</v>
      </c>
      <c r="AN319" s="81" t="s">
        <v>1459</v>
      </c>
      <c r="AO319" s="81" t="s">
        <v>1809</v>
      </c>
      <c r="AP319" s="76" t="b">
        <v>0</v>
      </c>
      <c r="AQ319" s="81" t="s">
        <v>1459</v>
      </c>
      <c r="AR319" s="76" t="s">
        <v>219</v>
      </c>
      <c r="AS319" s="76">
        <v>0</v>
      </c>
      <c r="AT319" s="76">
        <v>0</v>
      </c>
      <c r="AU319" s="76"/>
      <c r="AV319" s="76"/>
      <c r="AW319" s="76"/>
      <c r="AX319" s="76"/>
      <c r="AY319" s="76"/>
      <c r="AZ319" s="76"/>
      <c r="BA319" s="76"/>
      <c r="BB319" s="76"/>
      <c r="BC319">
        <v>12</v>
      </c>
      <c r="BD319" s="75" t="str">
        <f>REPLACE(INDEX(GroupVertices[Group],MATCH(Edges[[#This Row],[Vertex 1]],GroupVertices[Vertex],0)),1,1,"")</f>
        <v>3</v>
      </c>
      <c r="BE319" s="75" t="str">
        <f>REPLACE(INDEX(GroupVertices[Group],MATCH(Edges[[#This Row],[Vertex 2]],GroupVertices[Vertex],0)),1,1,"")</f>
        <v>3</v>
      </c>
      <c r="BF319" s="45">
        <v>0</v>
      </c>
      <c r="BG319" s="46">
        <v>0</v>
      </c>
      <c r="BH319" s="45">
        <v>0</v>
      </c>
      <c r="BI319" s="46">
        <v>0</v>
      </c>
      <c r="BJ319" s="45">
        <v>0</v>
      </c>
      <c r="BK319" s="46">
        <v>0</v>
      </c>
      <c r="BL319" s="45">
        <v>5</v>
      </c>
      <c r="BM319" s="46">
        <v>100</v>
      </c>
      <c r="BN319" s="45">
        <v>5</v>
      </c>
    </row>
    <row r="320" spans="1:66" ht="15">
      <c r="A320" s="61" t="s">
        <v>408</v>
      </c>
      <c r="B320" s="61" t="s">
        <v>414</v>
      </c>
      <c r="C320" s="62" t="s">
        <v>4694</v>
      </c>
      <c r="D320" s="63">
        <v>9.583333333333332</v>
      </c>
      <c r="E320" s="62"/>
      <c r="F320" s="65">
        <v>17.916666666666664</v>
      </c>
      <c r="G320" s="62"/>
      <c r="H320" s="66"/>
      <c r="I320" s="67"/>
      <c r="J320" s="67"/>
      <c r="K320" s="31" t="s">
        <v>65</v>
      </c>
      <c r="L320" s="68">
        <v>320</v>
      </c>
      <c r="M320" s="68"/>
      <c r="N320" s="69"/>
      <c r="O320" s="76" t="s">
        <v>586</v>
      </c>
      <c r="P320" s="78">
        <v>44818.819398148145</v>
      </c>
      <c r="Q320" s="76" t="s">
        <v>711</v>
      </c>
      <c r="R320" s="76"/>
      <c r="S320" s="76"/>
      <c r="T320" s="81" t="s">
        <v>795</v>
      </c>
      <c r="U320" s="79" t="str">
        <f>HYPERLINK("https://pbs.twimg.com/ext_tw_video_thumb/1570079315068424192/pu/img/yVxrXvHEmivLuWgt.jpg")</f>
        <v>https://pbs.twimg.com/ext_tw_video_thumb/1570079315068424192/pu/img/yVxrXvHEmivLuWgt.jpg</v>
      </c>
      <c r="V320" s="79" t="str">
        <f>HYPERLINK("https://pbs.twimg.com/ext_tw_video_thumb/1570079315068424192/pu/img/yVxrXvHEmivLuWgt.jpg")</f>
        <v>https://pbs.twimg.com/ext_tw_video_thumb/1570079315068424192/pu/img/yVxrXvHEmivLuWgt.jpg</v>
      </c>
      <c r="W320" s="78">
        <v>44818.819398148145</v>
      </c>
      <c r="X320" s="84">
        <v>44818</v>
      </c>
      <c r="Y320" s="81" t="s">
        <v>1103</v>
      </c>
      <c r="Z320" s="79" t="str">
        <f>HYPERLINK("https://twitter.com/star48625796202/status/1570135276290469888")</f>
        <v>https://twitter.com/star48625796202/status/1570135276290469888</v>
      </c>
      <c r="AA320" s="76"/>
      <c r="AB320" s="76"/>
      <c r="AC320" s="81" t="s">
        <v>1434</v>
      </c>
      <c r="AD320" s="76"/>
      <c r="AE320" s="76" t="b">
        <v>0</v>
      </c>
      <c r="AF320" s="76">
        <v>0</v>
      </c>
      <c r="AG320" s="81" t="s">
        <v>1674</v>
      </c>
      <c r="AH320" s="76" t="b">
        <v>0</v>
      </c>
      <c r="AI320" s="76" t="s">
        <v>1771</v>
      </c>
      <c r="AJ320" s="76"/>
      <c r="AK320" s="81" t="s">
        <v>1674</v>
      </c>
      <c r="AL320" s="76" t="b">
        <v>0</v>
      </c>
      <c r="AM320" s="76">
        <v>2</v>
      </c>
      <c r="AN320" s="81" t="s">
        <v>1458</v>
      </c>
      <c r="AO320" s="81" t="s">
        <v>1809</v>
      </c>
      <c r="AP320" s="76" t="b">
        <v>0</v>
      </c>
      <c r="AQ320" s="81" t="s">
        <v>1458</v>
      </c>
      <c r="AR320" s="76" t="s">
        <v>219</v>
      </c>
      <c r="AS320" s="76">
        <v>0</v>
      </c>
      <c r="AT320" s="76">
        <v>0</v>
      </c>
      <c r="AU320" s="76"/>
      <c r="AV320" s="76"/>
      <c r="AW320" s="76"/>
      <c r="AX320" s="76"/>
      <c r="AY320" s="76"/>
      <c r="AZ320" s="76"/>
      <c r="BA320" s="76"/>
      <c r="BB320" s="76"/>
      <c r="BC320">
        <v>12</v>
      </c>
      <c r="BD320" s="75" t="str">
        <f>REPLACE(INDEX(GroupVertices[Group],MATCH(Edges[[#This Row],[Vertex 1]],GroupVertices[Vertex],0)),1,1,"")</f>
        <v>3</v>
      </c>
      <c r="BE320" s="75" t="str">
        <f>REPLACE(INDEX(GroupVertices[Group],MATCH(Edges[[#This Row],[Vertex 2]],GroupVertices[Vertex],0)),1,1,"")</f>
        <v>3</v>
      </c>
      <c r="BF320" s="45">
        <v>0</v>
      </c>
      <c r="BG320" s="46">
        <v>0</v>
      </c>
      <c r="BH320" s="45">
        <v>0</v>
      </c>
      <c r="BI320" s="46">
        <v>0</v>
      </c>
      <c r="BJ320" s="45">
        <v>0</v>
      </c>
      <c r="BK320" s="46">
        <v>0</v>
      </c>
      <c r="BL320" s="45">
        <v>36</v>
      </c>
      <c r="BM320" s="46">
        <v>100</v>
      </c>
      <c r="BN320" s="45">
        <v>36</v>
      </c>
    </row>
    <row r="321" spans="1:66" ht="15">
      <c r="A321" s="61" t="s">
        <v>408</v>
      </c>
      <c r="B321" s="61" t="s">
        <v>414</v>
      </c>
      <c r="C321" s="62" t="s">
        <v>4694</v>
      </c>
      <c r="D321" s="63">
        <v>9.583333333333332</v>
      </c>
      <c r="E321" s="62"/>
      <c r="F321" s="65">
        <v>17.916666666666664</v>
      </c>
      <c r="G321" s="62"/>
      <c r="H321" s="66"/>
      <c r="I321" s="67"/>
      <c r="J321" s="67"/>
      <c r="K321" s="31" t="s">
        <v>65</v>
      </c>
      <c r="L321" s="68">
        <v>321</v>
      </c>
      <c r="M321" s="68"/>
      <c r="N321" s="69"/>
      <c r="O321" s="76" t="s">
        <v>586</v>
      </c>
      <c r="P321" s="78">
        <v>44818.81952546296</v>
      </c>
      <c r="Q321" s="76" t="s">
        <v>703</v>
      </c>
      <c r="R321" s="76"/>
      <c r="S321" s="76"/>
      <c r="T321" s="81" t="s">
        <v>842</v>
      </c>
      <c r="U321" s="79" t="str">
        <f>HYPERLINK("https://pbs.twimg.com/ext_tw_video_thumb/1570062212479287298/pu/img/ECVQJFVi9S35pAcj.jpg")</f>
        <v>https://pbs.twimg.com/ext_tw_video_thumb/1570062212479287298/pu/img/ECVQJFVi9S35pAcj.jpg</v>
      </c>
      <c r="V321" s="79" t="str">
        <f>HYPERLINK("https://pbs.twimg.com/ext_tw_video_thumb/1570062212479287298/pu/img/ECVQJFVi9S35pAcj.jpg")</f>
        <v>https://pbs.twimg.com/ext_tw_video_thumb/1570062212479287298/pu/img/ECVQJFVi9S35pAcj.jpg</v>
      </c>
      <c r="W321" s="78">
        <v>44818.81952546296</v>
      </c>
      <c r="X321" s="84">
        <v>44818</v>
      </c>
      <c r="Y321" s="81" t="s">
        <v>1104</v>
      </c>
      <c r="Z321" s="79" t="str">
        <f>HYPERLINK("https://twitter.com/star48625796202/status/1570135325070209025")</f>
        <v>https://twitter.com/star48625796202/status/1570135325070209025</v>
      </c>
      <c r="AA321" s="76"/>
      <c r="AB321" s="76"/>
      <c r="AC321" s="81" t="s">
        <v>1435</v>
      </c>
      <c r="AD321" s="76"/>
      <c r="AE321" s="76" t="b">
        <v>0</v>
      </c>
      <c r="AF321" s="76">
        <v>0</v>
      </c>
      <c r="AG321" s="81" t="s">
        <v>1674</v>
      </c>
      <c r="AH321" s="76" t="b">
        <v>0</v>
      </c>
      <c r="AI321" s="76" t="s">
        <v>1771</v>
      </c>
      <c r="AJ321" s="76"/>
      <c r="AK321" s="81" t="s">
        <v>1674</v>
      </c>
      <c r="AL321" s="76" t="b">
        <v>0</v>
      </c>
      <c r="AM321" s="76">
        <v>8</v>
      </c>
      <c r="AN321" s="81" t="s">
        <v>1457</v>
      </c>
      <c r="AO321" s="81" t="s">
        <v>1809</v>
      </c>
      <c r="AP321" s="76" t="b">
        <v>0</v>
      </c>
      <c r="AQ321" s="81" t="s">
        <v>1457</v>
      </c>
      <c r="AR321" s="76" t="s">
        <v>219</v>
      </c>
      <c r="AS321" s="76">
        <v>0</v>
      </c>
      <c r="AT321" s="76">
        <v>0</v>
      </c>
      <c r="AU321" s="76"/>
      <c r="AV321" s="76"/>
      <c r="AW321" s="76"/>
      <c r="AX321" s="76"/>
      <c r="AY321" s="76"/>
      <c r="AZ321" s="76"/>
      <c r="BA321" s="76"/>
      <c r="BB321" s="76"/>
      <c r="BC321">
        <v>12</v>
      </c>
      <c r="BD321" s="75" t="str">
        <f>REPLACE(INDEX(GroupVertices[Group],MATCH(Edges[[#This Row],[Vertex 1]],GroupVertices[Vertex],0)),1,1,"")</f>
        <v>3</v>
      </c>
      <c r="BE321" s="75" t="str">
        <f>REPLACE(INDEX(GroupVertices[Group],MATCH(Edges[[#This Row],[Vertex 2]],GroupVertices[Vertex],0)),1,1,"")</f>
        <v>3</v>
      </c>
      <c r="BF321" s="45">
        <v>0</v>
      </c>
      <c r="BG321" s="46">
        <v>0</v>
      </c>
      <c r="BH321" s="45">
        <v>0</v>
      </c>
      <c r="BI321" s="46">
        <v>0</v>
      </c>
      <c r="BJ321" s="45">
        <v>0</v>
      </c>
      <c r="BK321" s="46">
        <v>0</v>
      </c>
      <c r="BL321" s="45">
        <v>7</v>
      </c>
      <c r="BM321" s="46">
        <v>100</v>
      </c>
      <c r="BN321" s="45">
        <v>7</v>
      </c>
    </row>
    <row r="322" spans="1:66" ht="15">
      <c r="A322" s="61" t="s">
        <v>408</v>
      </c>
      <c r="B322" s="61" t="s">
        <v>414</v>
      </c>
      <c r="C322" s="62" t="s">
        <v>4694</v>
      </c>
      <c r="D322" s="63">
        <v>9.583333333333332</v>
      </c>
      <c r="E322" s="62"/>
      <c r="F322" s="65">
        <v>17.916666666666664</v>
      </c>
      <c r="G322" s="62"/>
      <c r="H322" s="66"/>
      <c r="I322" s="67"/>
      <c r="J322" s="67"/>
      <c r="K322" s="31" t="s">
        <v>65</v>
      </c>
      <c r="L322" s="68">
        <v>322</v>
      </c>
      <c r="M322" s="68"/>
      <c r="N322" s="69"/>
      <c r="O322" s="76" t="s">
        <v>586</v>
      </c>
      <c r="P322" s="78">
        <v>44818.81962962963</v>
      </c>
      <c r="Q322" s="76" t="s">
        <v>702</v>
      </c>
      <c r="R322" s="76"/>
      <c r="S322" s="76"/>
      <c r="T322" s="81" t="s">
        <v>850</v>
      </c>
      <c r="U322" s="79" t="str">
        <f>HYPERLINK("https://pbs.twimg.com/media/FcnDhrKWQAAs5gQ.jpg")</f>
        <v>https://pbs.twimg.com/media/FcnDhrKWQAAs5gQ.jpg</v>
      </c>
      <c r="V322" s="79" t="str">
        <f>HYPERLINK("https://pbs.twimg.com/media/FcnDhrKWQAAs5gQ.jpg")</f>
        <v>https://pbs.twimg.com/media/FcnDhrKWQAAs5gQ.jpg</v>
      </c>
      <c r="W322" s="78">
        <v>44818.81962962963</v>
      </c>
      <c r="X322" s="84">
        <v>44818</v>
      </c>
      <c r="Y322" s="81" t="s">
        <v>1105</v>
      </c>
      <c r="Z322" s="79" t="str">
        <f>HYPERLINK("https://twitter.com/star48625796202/status/1570135360046333952")</f>
        <v>https://twitter.com/star48625796202/status/1570135360046333952</v>
      </c>
      <c r="AA322" s="76"/>
      <c r="AB322" s="76"/>
      <c r="AC322" s="81" t="s">
        <v>1436</v>
      </c>
      <c r="AD322" s="76"/>
      <c r="AE322" s="76" t="b">
        <v>0</v>
      </c>
      <c r="AF322" s="76">
        <v>0</v>
      </c>
      <c r="AG322" s="81" t="s">
        <v>1674</v>
      </c>
      <c r="AH322" s="76" t="b">
        <v>0</v>
      </c>
      <c r="AI322" s="76" t="s">
        <v>1771</v>
      </c>
      <c r="AJ322" s="76"/>
      <c r="AK322" s="81" t="s">
        <v>1674</v>
      </c>
      <c r="AL322" s="76" t="b">
        <v>0</v>
      </c>
      <c r="AM322" s="76">
        <v>2</v>
      </c>
      <c r="AN322" s="81" t="s">
        <v>1456</v>
      </c>
      <c r="AO322" s="81" t="s">
        <v>1809</v>
      </c>
      <c r="AP322" s="76" t="b">
        <v>0</v>
      </c>
      <c r="AQ322" s="81" t="s">
        <v>1456</v>
      </c>
      <c r="AR322" s="76" t="s">
        <v>219</v>
      </c>
      <c r="AS322" s="76">
        <v>0</v>
      </c>
      <c r="AT322" s="76">
        <v>0</v>
      </c>
      <c r="AU322" s="76"/>
      <c r="AV322" s="76"/>
      <c r="AW322" s="76"/>
      <c r="AX322" s="76"/>
      <c r="AY322" s="76"/>
      <c r="AZ322" s="76"/>
      <c r="BA322" s="76"/>
      <c r="BB322" s="76"/>
      <c r="BC322">
        <v>12</v>
      </c>
      <c r="BD322" s="75" t="str">
        <f>REPLACE(INDEX(GroupVertices[Group],MATCH(Edges[[#This Row],[Vertex 1]],GroupVertices[Vertex],0)),1,1,"")</f>
        <v>3</v>
      </c>
      <c r="BE322" s="75" t="str">
        <f>REPLACE(INDEX(GroupVertices[Group],MATCH(Edges[[#This Row],[Vertex 2]],GroupVertices[Vertex],0)),1,1,"")</f>
        <v>3</v>
      </c>
      <c r="BF322" s="45">
        <v>0</v>
      </c>
      <c r="BG322" s="46">
        <v>0</v>
      </c>
      <c r="BH322" s="45">
        <v>0</v>
      </c>
      <c r="BI322" s="46">
        <v>0</v>
      </c>
      <c r="BJ322" s="45">
        <v>0</v>
      </c>
      <c r="BK322" s="46">
        <v>0</v>
      </c>
      <c r="BL322" s="45">
        <v>17</v>
      </c>
      <c r="BM322" s="46">
        <v>100</v>
      </c>
      <c r="BN322" s="45">
        <v>17</v>
      </c>
    </row>
    <row r="323" spans="1:66" ht="15">
      <c r="A323" s="61" t="s">
        <v>408</v>
      </c>
      <c r="B323" s="61" t="s">
        <v>414</v>
      </c>
      <c r="C323" s="62" t="s">
        <v>4694</v>
      </c>
      <c r="D323" s="63">
        <v>9.583333333333332</v>
      </c>
      <c r="E323" s="62"/>
      <c r="F323" s="65">
        <v>17.916666666666664</v>
      </c>
      <c r="G323" s="62"/>
      <c r="H323" s="66"/>
      <c r="I323" s="67"/>
      <c r="J323" s="67"/>
      <c r="K323" s="31" t="s">
        <v>65</v>
      </c>
      <c r="L323" s="68">
        <v>323</v>
      </c>
      <c r="M323" s="68"/>
      <c r="N323" s="69"/>
      <c r="O323" s="76" t="s">
        <v>586</v>
      </c>
      <c r="P323" s="78">
        <v>44819.367789351854</v>
      </c>
      <c r="Q323" s="76" t="s">
        <v>716</v>
      </c>
      <c r="R323" s="76"/>
      <c r="S323" s="76"/>
      <c r="T323" s="81" t="s">
        <v>819</v>
      </c>
      <c r="U323" s="79" t="str">
        <f>HYPERLINK("https://pbs.twimg.com/media/FcpmLrCWQAEizKT.jpg")</f>
        <v>https://pbs.twimg.com/media/FcpmLrCWQAEizKT.jpg</v>
      </c>
      <c r="V323" s="79" t="str">
        <f>HYPERLINK("https://pbs.twimg.com/media/FcpmLrCWQAEizKT.jpg")</f>
        <v>https://pbs.twimg.com/media/FcpmLrCWQAEizKT.jpg</v>
      </c>
      <c r="W323" s="78">
        <v>44819.367789351854</v>
      </c>
      <c r="X323" s="84">
        <v>44819</v>
      </c>
      <c r="Y323" s="81" t="s">
        <v>1106</v>
      </c>
      <c r="Z323" s="79" t="str">
        <f>HYPERLINK("https://twitter.com/star48625796202/status/1570334006415081473")</f>
        <v>https://twitter.com/star48625796202/status/1570334006415081473</v>
      </c>
      <c r="AA323" s="76"/>
      <c r="AB323" s="76"/>
      <c r="AC323" s="81" t="s">
        <v>1437</v>
      </c>
      <c r="AD323" s="76"/>
      <c r="AE323" s="76" t="b">
        <v>0</v>
      </c>
      <c r="AF323" s="76">
        <v>0</v>
      </c>
      <c r="AG323" s="81" t="s">
        <v>1674</v>
      </c>
      <c r="AH323" s="76" t="b">
        <v>0</v>
      </c>
      <c r="AI323" s="76" t="s">
        <v>1771</v>
      </c>
      <c r="AJ323" s="76"/>
      <c r="AK323" s="81" t="s">
        <v>1674</v>
      </c>
      <c r="AL323" s="76" t="b">
        <v>0</v>
      </c>
      <c r="AM323" s="76">
        <v>3</v>
      </c>
      <c r="AN323" s="81" t="s">
        <v>1460</v>
      </c>
      <c r="AO323" s="81" t="s">
        <v>1809</v>
      </c>
      <c r="AP323" s="76" t="b">
        <v>0</v>
      </c>
      <c r="AQ323" s="81" t="s">
        <v>1460</v>
      </c>
      <c r="AR323" s="76" t="s">
        <v>219</v>
      </c>
      <c r="AS323" s="76">
        <v>0</v>
      </c>
      <c r="AT323" s="76">
        <v>0</v>
      </c>
      <c r="AU323" s="76"/>
      <c r="AV323" s="76"/>
      <c r="AW323" s="76"/>
      <c r="AX323" s="76"/>
      <c r="AY323" s="76"/>
      <c r="AZ323" s="76"/>
      <c r="BA323" s="76"/>
      <c r="BB323" s="76"/>
      <c r="BC323">
        <v>12</v>
      </c>
      <c r="BD323" s="75" t="str">
        <f>REPLACE(INDEX(GroupVertices[Group],MATCH(Edges[[#This Row],[Vertex 1]],GroupVertices[Vertex],0)),1,1,"")</f>
        <v>3</v>
      </c>
      <c r="BE323" s="75" t="str">
        <f>REPLACE(INDEX(GroupVertices[Group],MATCH(Edges[[#This Row],[Vertex 2]],GroupVertices[Vertex],0)),1,1,"")</f>
        <v>3</v>
      </c>
      <c r="BF323" s="45">
        <v>0</v>
      </c>
      <c r="BG323" s="46">
        <v>0</v>
      </c>
      <c r="BH323" s="45">
        <v>0</v>
      </c>
      <c r="BI323" s="46">
        <v>0</v>
      </c>
      <c r="BJ323" s="45">
        <v>0</v>
      </c>
      <c r="BK323" s="46">
        <v>0</v>
      </c>
      <c r="BL323" s="45">
        <v>10</v>
      </c>
      <c r="BM323" s="46">
        <v>100</v>
      </c>
      <c r="BN323" s="45">
        <v>10</v>
      </c>
    </row>
    <row r="324" spans="1:66" ht="15">
      <c r="A324" s="61" t="s">
        <v>409</v>
      </c>
      <c r="B324" s="61" t="s">
        <v>532</v>
      </c>
      <c r="C324" s="62" t="s">
        <v>4688</v>
      </c>
      <c r="D324" s="63">
        <v>5</v>
      </c>
      <c r="E324" s="62"/>
      <c r="F324" s="65">
        <v>50</v>
      </c>
      <c r="G324" s="62"/>
      <c r="H324" s="66"/>
      <c r="I324" s="67"/>
      <c r="J324" s="67"/>
      <c r="K324" s="31" t="s">
        <v>65</v>
      </c>
      <c r="L324" s="68">
        <v>324</v>
      </c>
      <c r="M324" s="68"/>
      <c r="N324" s="69"/>
      <c r="O324" s="76" t="s">
        <v>585</v>
      </c>
      <c r="P324" s="78">
        <v>44819.38222222222</v>
      </c>
      <c r="Q324" s="76" t="s">
        <v>721</v>
      </c>
      <c r="R324" s="76"/>
      <c r="S324" s="76"/>
      <c r="T324" s="81" t="s">
        <v>859</v>
      </c>
      <c r="U324" s="76"/>
      <c r="V324" s="79" t="str">
        <f>HYPERLINK("https://pbs.twimg.com/profile_images/808273775905087488/6GlIevjV_normal.jpg")</f>
        <v>https://pbs.twimg.com/profile_images/808273775905087488/6GlIevjV_normal.jpg</v>
      </c>
      <c r="W324" s="78">
        <v>44819.38222222222</v>
      </c>
      <c r="X324" s="84">
        <v>44819</v>
      </c>
      <c r="Y324" s="81" t="s">
        <v>1107</v>
      </c>
      <c r="Z324" s="79" t="str">
        <f>HYPERLINK("https://twitter.com/tkelic/status/1570339236540284930")</f>
        <v>https://twitter.com/tkelic/status/1570339236540284930</v>
      </c>
      <c r="AA324" s="76"/>
      <c r="AB324" s="76"/>
      <c r="AC324" s="81" t="s">
        <v>1438</v>
      </c>
      <c r="AD324" s="76"/>
      <c r="AE324" s="76" t="b">
        <v>0</v>
      </c>
      <c r="AF324" s="76">
        <v>0</v>
      </c>
      <c r="AG324" s="81" t="s">
        <v>1674</v>
      </c>
      <c r="AH324" s="76" t="b">
        <v>0</v>
      </c>
      <c r="AI324" s="76" t="s">
        <v>1774</v>
      </c>
      <c r="AJ324" s="76"/>
      <c r="AK324" s="81" t="s">
        <v>1674</v>
      </c>
      <c r="AL324" s="76" t="b">
        <v>0</v>
      </c>
      <c r="AM324" s="76">
        <v>1</v>
      </c>
      <c r="AN324" s="81" t="s">
        <v>1557</v>
      </c>
      <c r="AO324" s="81" t="s">
        <v>1809</v>
      </c>
      <c r="AP324" s="76" t="b">
        <v>0</v>
      </c>
      <c r="AQ324" s="81" t="s">
        <v>1557</v>
      </c>
      <c r="AR324" s="76" t="s">
        <v>219</v>
      </c>
      <c r="AS324" s="76">
        <v>0</v>
      </c>
      <c r="AT324" s="76">
        <v>0</v>
      </c>
      <c r="AU324" s="76"/>
      <c r="AV324" s="76"/>
      <c r="AW324" s="76"/>
      <c r="AX324" s="76"/>
      <c r="AY324" s="76"/>
      <c r="AZ324" s="76"/>
      <c r="BA324" s="76"/>
      <c r="BB324" s="76"/>
      <c r="BC324">
        <v>1</v>
      </c>
      <c r="BD324" s="75" t="str">
        <f>REPLACE(INDEX(GroupVertices[Group],MATCH(Edges[[#This Row],[Vertex 1]],GroupVertices[Vertex],0)),1,1,"")</f>
        <v>1</v>
      </c>
      <c r="BE324" s="75" t="str">
        <f>REPLACE(INDEX(GroupVertices[Group],MATCH(Edges[[#This Row],[Vertex 2]],GroupVertices[Vertex],0)),1,1,"")</f>
        <v>1</v>
      </c>
      <c r="BF324" s="45"/>
      <c r="BG324" s="46"/>
      <c r="BH324" s="45"/>
      <c r="BI324" s="46"/>
      <c r="BJ324" s="45"/>
      <c r="BK324" s="46"/>
      <c r="BL324" s="45"/>
      <c r="BM324" s="46"/>
      <c r="BN324" s="45"/>
    </row>
    <row r="325" spans="1:66" ht="15">
      <c r="A325" s="61" t="s">
        <v>409</v>
      </c>
      <c r="B325" s="61" t="s">
        <v>428</v>
      </c>
      <c r="C325" s="62" t="s">
        <v>4688</v>
      </c>
      <c r="D325" s="63">
        <v>5</v>
      </c>
      <c r="E325" s="62"/>
      <c r="F325" s="65">
        <v>50</v>
      </c>
      <c r="G325" s="62"/>
      <c r="H325" s="66"/>
      <c r="I325" s="67"/>
      <c r="J325" s="67"/>
      <c r="K325" s="31" t="s">
        <v>65</v>
      </c>
      <c r="L325" s="68">
        <v>325</v>
      </c>
      <c r="M325" s="68"/>
      <c r="N325" s="69"/>
      <c r="O325" s="76" t="s">
        <v>586</v>
      </c>
      <c r="P325" s="78">
        <v>44819.38222222222</v>
      </c>
      <c r="Q325" s="76" t="s">
        <v>721</v>
      </c>
      <c r="R325" s="76"/>
      <c r="S325" s="76"/>
      <c r="T325" s="81" t="s">
        <v>859</v>
      </c>
      <c r="U325" s="76"/>
      <c r="V325" s="79" t="str">
        <f>HYPERLINK("https://pbs.twimg.com/profile_images/808273775905087488/6GlIevjV_normal.jpg")</f>
        <v>https://pbs.twimg.com/profile_images/808273775905087488/6GlIevjV_normal.jpg</v>
      </c>
      <c r="W325" s="78">
        <v>44819.38222222222</v>
      </c>
      <c r="X325" s="84">
        <v>44819</v>
      </c>
      <c r="Y325" s="81" t="s">
        <v>1107</v>
      </c>
      <c r="Z325" s="79" t="str">
        <f>HYPERLINK("https://twitter.com/tkelic/status/1570339236540284930")</f>
        <v>https://twitter.com/tkelic/status/1570339236540284930</v>
      </c>
      <c r="AA325" s="76"/>
      <c r="AB325" s="76"/>
      <c r="AC325" s="81" t="s">
        <v>1438</v>
      </c>
      <c r="AD325" s="76"/>
      <c r="AE325" s="76" t="b">
        <v>0</v>
      </c>
      <c r="AF325" s="76">
        <v>0</v>
      </c>
      <c r="AG325" s="81" t="s">
        <v>1674</v>
      </c>
      <c r="AH325" s="76" t="b">
        <v>0</v>
      </c>
      <c r="AI325" s="76" t="s">
        <v>1774</v>
      </c>
      <c r="AJ325" s="76"/>
      <c r="AK325" s="81" t="s">
        <v>1674</v>
      </c>
      <c r="AL325" s="76" t="b">
        <v>0</v>
      </c>
      <c r="AM325" s="76">
        <v>1</v>
      </c>
      <c r="AN325" s="81" t="s">
        <v>1557</v>
      </c>
      <c r="AO325" s="81" t="s">
        <v>1809</v>
      </c>
      <c r="AP325" s="76" t="b">
        <v>0</v>
      </c>
      <c r="AQ325" s="81" t="s">
        <v>1557</v>
      </c>
      <c r="AR325" s="76" t="s">
        <v>219</v>
      </c>
      <c r="AS325" s="76">
        <v>0</v>
      </c>
      <c r="AT325" s="76">
        <v>0</v>
      </c>
      <c r="AU325" s="76"/>
      <c r="AV325" s="76"/>
      <c r="AW325" s="76"/>
      <c r="AX325" s="76"/>
      <c r="AY325" s="76"/>
      <c r="AZ325" s="76"/>
      <c r="BA325" s="76"/>
      <c r="BB325" s="76"/>
      <c r="BC325">
        <v>1</v>
      </c>
      <c r="BD325" s="75" t="str">
        <f>REPLACE(INDEX(GroupVertices[Group],MATCH(Edges[[#This Row],[Vertex 1]],GroupVertices[Vertex],0)),1,1,"")</f>
        <v>1</v>
      </c>
      <c r="BE325" s="75" t="str">
        <f>REPLACE(INDEX(GroupVertices[Group],MATCH(Edges[[#This Row],[Vertex 2]],GroupVertices[Vertex],0)),1,1,"")</f>
        <v>1</v>
      </c>
      <c r="BF325" s="45"/>
      <c r="BG325" s="46"/>
      <c r="BH325" s="45"/>
      <c r="BI325" s="46"/>
      <c r="BJ325" s="45"/>
      <c r="BK325" s="46"/>
      <c r="BL325" s="45"/>
      <c r="BM325" s="46"/>
      <c r="BN325" s="45"/>
    </row>
    <row r="326" spans="1:66" ht="15">
      <c r="A326" s="61" t="s">
        <v>409</v>
      </c>
      <c r="B326" s="61" t="s">
        <v>545</v>
      </c>
      <c r="C326" s="62" t="s">
        <v>4688</v>
      </c>
      <c r="D326" s="63">
        <v>5</v>
      </c>
      <c r="E326" s="62"/>
      <c r="F326" s="65">
        <v>50</v>
      </c>
      <c r="G326" s="62"/>
      <c r="H326" s="66"/>
      <c r="I326" s="67"/>
      <c r="J326" s="67"/>
      <c r="K326" s="31" t="s">
        <v>65</v>
      </c>
      <c r="L326" s="68">
        <v>326</v>
      </c>
      <c r="M326" s="68"/>
      <c r="N326" s="69"/>
      <c r="O326" s="76" t="s">
        <v>587</v>
      </c>
      <c r="P326" s="78">
        <v>44819.38222222222</v>
      </c>
      <c r="Q326" s="76" t="s">
        <v>721</v>
      </c>
      <c r="R326" s="76"/>
      <c r="S326" s="76"/>
      <c r="T326" s="81" t="s">
        <v>859</v>
      </c>
      <c r="U326" s="76"/>
      <c r="V326" s="79" t="str">
        <f>HYPERLINK("https://pbs.twimg.com/profile_images/808273775905087488/6GlIevjV_normal.jpg")</f>
        <v>https://pbs.twimg.com/profile_images/808273775905087488/6GlIevjV_normal.jpg</v>
      </c>
      <c r="W326" s="78">
        <v>44819.38222222222</v>
      </c>
      <c r="X326" s="84">
        <v>44819</v>
      </c>
      <c r="Y326" s="81" t="s">
        <v>1107</v>
      </c>
      <c r="Z326" s="79" t="str">
        <f>HYPERLINK("https://twitter.com/tkelic/status/1570339236540284930")</f>
        <v>https://twitter.com/tkelic/status/1570339236540284930</v>
      </c>
      <c r="AA326" s="76"/>
      <c r="AB326" s="76"/>
      <c r="AC326" s="81" t="s">
        <v>1438</v>
      </c>
      <c r="AD326" s="76"/>
      <c r="AE326" s="76" t="b">
        <v>0</v>
      </c>
      <c r="AF326" s="76">
        <v>0</v>
      </c>
      <c r="AG326" s="81" t="s">
        <v>1674</v>
      </c>
      <c r="AH326" s="76" t="b">
        <v>0</v>
      </c>
      <c r="AI326" s="76" t="s">
        <v>1774</v>
      </c>
      <c r="AJ326" s="76"/>
      <c r="AK326" s="81" t="s">
        <v>1674</v>
      </c>
      <c r="AL326" s="76" t="b">
        <v>0</v>
      </c>
      <c r="AM326" s="76">
        <v>1</v>
      </c>
      <c r="AN326" s="81" t="s">
        <v>1557</v>
      </c>
      <c r="AO326" s="81" t="s">
        <v>1809</v>
      </c>
      <c r="AP326" s="76" t="b">
        <v>0</v>
      </c>
      <c r="AQ326" s="81" t="s">
        <v>1557</v>
      </c>
      <c r="AR326" s="76" t="s">
        <v>219</v>
      </c>
      <c r="AS326" s="76">
        <v>0</v>
      </c>
      <c r="AT326" s="76">
        <v>0</v>
      </c>
      <c r="AU326" s="76"/>
      <c r="AV326" s="76"/>
      <c r="AW326" s="76"/>
      <c r="AX326" s="76"/>
      <c r="AY326" s="76"/>
      <c r="AZ326" s="76"/>
      <c r="BA326" s="76"/>
      <c r="BB326" s="76"/>
      <c r="BC326">
        <v>1</v>
      </c>
      <c r="BD326" s="75" t="str">
        <f>REPLACE(INDEX(GroupVertices[Group],MATCH(Edges[[#This Row],[Vertex 1]],GroupVertices[Vertex],0)),1,1,"")</f>
        <v>1</v>
      </c>
      <c r="BE326" s="75" t="str">
        <f>REPLACE(INDEX(GroupVertices[Group],MATCH(Edges[[#This Row],[Vertex 2]],GroupVertices[Vertex],0)),1,1,"")</f>
        <v>1</v>
      </c>
      <c r="BF326" s="45">
        <v>0</v>
      </c>
      <c r="BG326" s="46">
        <v>0</v>
      </c>
      <c r="BH326" s="45">
        <v>0</v>
      </c>
      <c r="BI326" s="46">
        <v>0</v>
      </c>
      <c r="BJ326" s="45">
        <v>0</v>
      </c>
      <c r="BK326" s="46">
        <v>0</v>
      </c>
      <c r="BL326" s="45">
        <v>33</v>
      </c>
      <c r="BM326" s="46">
        <v>100</v>
      </c>
      <c r="BN326" s="45">
        <v>33</v>
      </c>
    </row>
    <row r="327" spans="1:66" ht="15">
      <c r="A327" s="61" t="s">
        <v>410</v>
      </c>
      <c r="B327" s="61" t="s">
        <v>410</v>
      </c>
      <c r="C327" s="62" t="s">
        <v>4688</v>
      </c>
      <c r="D327" s="63">
        <v>5</v>
      </c>
      <c r="E327" s="62"/>
      <c r="F327" s="65">
        <v>50</v>
      </c>
      <c r="G327" s="62"/>
      <c r="H327" s="66"/>
      <c r="I327" s="67"/>
      <c r="J327" s="67"/>
      <c r="K327" s="31" t="s">
        <v>65</v>
      </c>
      <c r="L327" s="68">
        <v>327</v>
      </c>
      <c r="M327" s="68"/>
      <c r="N327" s="69"/>
      <c r="O327" s="76" t="s">
        <v>219</v>
      </c>
      <c r="P327" s="78">
        <v>44819.394733796296</v>
      </c>
      <c r="Q327" s="76" t="s">
        <v>722</v>
      </c>
      <c r="R327" s="76"/>
      <c r="S327" s="76"/>
      <c r="T327" s="81" t="s">
        <v>795</v>
      </c>
      <c r="U327" s="79" t="str">
        <f>HYPERLINK("https://pbs.twimg.com/media/Fcr7G46WYAIk1PT.jpg")</f>
        <v>https://pbs.twimg.com/media/Fcr7G46WYAIk1PT.jpg</v>
      </c>
      <c r="V327" s="79" t="str">
        <f>HYPERLINK("https://pbs.twimg.com/media/Fcr7G46WYAIk1PT.jpg")</f>
        <v>https://pbs.twimg.com/media/Fcr7G46WYAIk1PT.jpg</v>
      </c>
      <c r="W327" s="78">
        <v>44819.394733796296</v>
      </c>
      <c r="X327" s="84">
        <v>44819</v>
      </c>
      <c r="Y327" s="81" t="s">
        <v>1108</v>
      </c>
      <c r="Z327" s="79" t="str">
        <f>HYPERLINK("https://twitter.com/augusto40982091/status/1570343772172713984")</f>
        <v>https://twitter.com/augusto40982091/status/1570343772172713984</v>
      </c>
      <c r="AA327" s="76"/>
      <c r="AB327" s="76"/>
      <c r="AC327" s="81" t="s">
        <v>1439</v>
      </c>
      <c r="AD327" s="76"/>
      <c r="AE327" s="76" t="b">
        <v>0</v>
      </c>
      <c r="AF327" s="76">
        <v>8</v>
      </c>
      <c r="AG327" s="81" t="s">
        <v>1674</v>
      </c>
      <c r="AH327" s="76" t="b">
        <v>0</v>
      </c>
      <c r="AI327" s="76" t="s">
        <v>1773</v>
      </c>
      <c r="AJ327" s="76"/>
      <c r="AK327" s="81" t="s">
        <v>1674</v>
      </c>
      <c r="AL327" s="76" t="b">
        <v>0</v>
      </c>
      <c r="AM327" s="76">
        <v>1</v>
      </c>
      <c r="AN327" s="81" t="s">
        <v>1674</v>
      </c>
      <c r="AO327" s="81" t="s">
        <v>1808</v>
      </c>
      <c r="AP327" s="76" t="b">
        <v>0</v>
      </c>
      <c r="AQ327" s="81" t="s">
        <v>1439</v>
      </c>
      <c r="AR327" s="76" t="s">
        <v>219</v>
      </c>
      <c r="AS327" s="76">
        <v>0</v>
      </c>
      <c r="AT327" s="76">
        <v>0</v>
      </c>
      <c r="AU327" s="76"/>
      <c r="AV327" s="76"/>
      <c r="AW327" s="76"/>
      <c r="AX327" s="76"/>
      <c r="AY327" s="76"/>
      <c r="AZ327" s="76"/>
      <c r="BA327" s="76"/>
      <c r="BB327" s="76"/>
      <c r="BC327">
        <v>1</v>
      </c>
      <c r="BD327" s="75" t="str">
        <f>REPLACE(INDEX(GroupVertices[Group],MATCH(Edges[[#This Row],[Vertex 1]],GroupVertices[Vertex],0)),1,1,"")</f>
        <v>2</v>
      </c>
      <c r="BE327" s="75" t="str">
        <f>REPLACE(INDEX(GroupVertices[Group],MATCH(Edges[[#This Row],[Vertex 2]],GroupVertices[Vertex],0)),1,1,"")</f>
        <v>2</v>
      </c>
      <c r="BF327" s="45">
        <v>0</v>
      </c>
      <c r="BG327" s="46">
        <v>0</v>
      </c>
      <c r="BH327" s="45">
        <v>0</v>
      </c>
      <c r="BI327" s="46">
        <v>0</v>
      </c>
      <c r="BJ327" s="45">
        <v>0</v>
      </c>
      <c r="BK327" s="46">
        <v>0</v>
      </c>
      <c r="BL327" s="45">
        <v>1</v>
      </c>
      <c r="BM327" s="46">
        <v>100</v>
      </c>
      <c r="BN327" s="45">
        <v>1</v>
      </c>
    </row>
    <row r="328" spans="1:66" ht="15">
      <c r="A328" s="61" t="s">
        <v>411</v>
      </c>
      <c r="B328" s="61" t="s">
        <v>411</v>
      </c>
      <c r="C328" s="62" t="s">
        <v>4688</v>
      </c>
      <c r="D328" s="63">
        <v>5</v>
      </c>
      <c r="E328" s="62"/>
      <c r="F328" s="65">
        <v>50</v>
      </c>
      <c r="G328" s="62"/>
      <c r="H328" s="66"/>
      <c r="I328" s="67"/>
      <c r="J328" s="67"/>
      <c r="K328" s="31" t="s">
        <v>65</v>
      </c>
      <c r="L328" s="68">
        <v>328</v>
      </c>
      <c r="M328" s="68"/>
      <c r="N328" s="69"/>
      <c r="O328" s="76" t="s">
        <v>219</v>
      </c>
      <c r="P328" s="78">
        <v>44819.428148148145</v>
      </c>
      <c r="Q328" s="76" t="s">
        <v>723</v>
      </c>
      <c r="R328" s="76"/>
      <c r="S328" s="76"/>
      <c r="T328" s="81" t="s">
        <v>860</v>
      </c>
      <c r="U328" s="76"/>
      <c r="V328" s="79" t="str">
        <f>HYPERLINK("https://pbs.twimg.com/profile_images/1570086566189465601/Z8qxRX8h_normal.jpg")</f>
        <v>https://pbs.twimg.com/profile_images/1570086566189465601/Z8qxRX8h_normal.jpg</v>
      </c>
      <c r="W328" s="78">
        <v>44819.428148148145</v>
      </c>
      <c r="X328" s="84">
        <v>44819</v>
      </c>
      <c r="Y328" s="81" t="s">
        <v>1109</v>
      </c>
      <c r="Z328" s="79" t="str">
        <f>HYPERLINK("https://twitter.com/neo8emmanuel/status/1570355879194816513")</f>
        <v>https://twitter.com/neo8emmanuel/status/1570355879194816513</v>
      </c>
      <c r="AA328" s="76"/>
      <c r="AB328" s="76"/>
      <c r="AC328" s="81" t="s">
        <v>1440</v>
      </c>
      <c r="AD328" s="76"/>
      <c r="AE328" s="76" t="b">
        <v>0</v>
      </c>
      <c r="AF328" s="76">
        <v>0</v>
      </c>
      <c r="AG328" s="81" t="s">
        <v>1674</v>
      </c>
      <c r="AH328" s="76" t="b">
        <v>0</v>
      </c>
      <c r="AI328" s="76" t="s">
        <v>1772</v>
      </c>
      <c r="AJ328" s="76"/>
      <c r="AK328" s="81" t="s">
        <v>1674</v>
      </c>
      <c r="AL328" s="76" t="b">
        <v>0</v>
      </c>
      <c r="AM328" s="76">
        <v>0</v>
      </c>
      <c r="AN328" s="81" t="s">
        <v>1674</v>
      </c>
      <c r="AO328" s="81" t="s">
        <v>1808</v>
      </c>
      <c r="AP328" s="76" t="b">
        <v>0</v>
      </c>
      <c r="AQ328" s="81" t="s">
        <v>1440</v>
      </c>
      <c r="AR328" s="76" t="s">
        <v>219</v>
      </c>
      <c r="AS328" s="76">
        <v>0</v>
      </c>
      <c r="AT328" s="76">
        <v>0</v>
      </c>
      <c r="AU328" s="76"/>
      <c r="AV328" s="76"/>
      <c r="AW328" s="76"/>
      <c r="AX328" s="76"/>
      <c r="AY328" s="76"/>
      <c r="AZ328" s="76"/>
      <c r="BA328" s="76"/>
      <c r="BB328" s="76"/>
      <c r="BC328">
        <v>1</v>
      </c>
      <c r="BD328" s="75" t="str">
        <f>REPLACE(INDEX(GroupVertices[Group],MATCH(Edges[[#This Row],[Vertex 1]],GroupVertices[Vertex],0)),1,1,"")</f>
        <v>2</v>
      </c>
      <c r="BE328" s="75" t="str">
        <f>REPLACE(INDEX(GroupVertices[Group],MATCH(Edges[[#This Row],[Vertex 2]],GroupVertices[Vertex],0)),1,1,"")</f>
        <v>2</v>
      </c>
      <c r="BF328" s="45">
        <v>0</v>
      </c>
      <c r="BG328" s="46">
        <v>0</v>
      </c>
      <c r="BH328" s="45">
        <v>0</v>
      </c>
      <c r="BI328" s="46">
        <v>0</v>
      </c>
      <c r="BJ328" s="45">
        <v>0</v>
      </c>
      <c r="BK328" s="46">
        <v>0</v>
      </c>
      <c r="BL328" s="45">
        <v>13</v>
      </c>
      <c r="BM328" s="46">
        <v>100</v>
      </c>
      <c r="BN328" s="45">
        <v>13</v>
      </c>
    </row>
    <row r="329" spans="1:66" ht="15">
      <c r="A329" s="61" t="s">
        <v>412</v>
      </c>
      <c r="B329" s="61" t="s">
        <v>426</v>
      </c>
      <c r="C329" s="62" t="s">
        <v>4688</v>
      </c>
      <c r="D329" s="63">
        <v>5</v>
      </c>
      <c r="E329" s="62"/>
      <c r="F329" s="65">
        <v>50</v>
      </c>
      <c r="G329" s="62"/>
      <c r="H329" s="66"/>
      <c r="I329" s="67"/>
      <c r="J329" s="67"/>
      <c r="K329" s="31" t="s">
        <v>65</v>
      </c>
      <c r="L329" s="68">
        <v>329</v>
      </c>
      <c r="M329" s="68"/>
      <c r="N329" s="69"/>
      <c r="O329" s="76" t="s">
        <v>586</v>
      </c>
      <c r="P329" s="78">
        <v>44819.44414351852</v>
      </c>
      <c r="Q329" s="76" t="s">
        <v>724</v>
      </c>
      <c r="R329" s="76"/>
      <c r="S329" s="76"/>
      <c r="T329" s="81" t="s">
        <v>795</v>
      </c>
      <c r="U329" s="79" t="str">
        <f>HYPERLINK("https://pbs.twimg.com/media/FcsKLa1WAAAi_cQ.jpg")</f>
        <v>https://pbs.twimg.com/media/FcsKLa1WAAAi_cQ.jpg</v>
      </c>
      <c r="V329" s="79" t="str">
        <f>HYPERLINK("https://pbs.twimg.com/media/FcsKLa1WAAAi_cQ.jpg")</f>
        <v>https://pbs.twimg.com/media/FcsKLa1WAAAi_cQ.jpg</v>
      </c>
      <c r="W329" s="78">
        <v>44819.44414351852</v>
      </c>
      <c r="X329" s="84">
        <v>44819</v>
      </c>
      <c r="Y329" s="81" t="s">
        <v>1110</v>
      </c>
      <c r="Z329" s="79" t="str">
        <f>HYPERLINK("https://twitter.com/dalev82/status/1570361678067535873")</f>
        <v>https://twitter.com/dalev82/status/1570361678067535873</v>
      </c>
      <c r="AA329" s="76"/>
      <c r="AB329" s="76"/>
      <c r="AC329" s="81" t="s">
        <v>1441</v>
      </c>
      <c r="AD329" s="76"/>
      <c r="AE329" s="76" t="b">
        <v>0</v>
      </c>
      <c r="AF329" s="76">
        <v>0</v>
      </c>
      <c r="AG329" s="81" t="s">
        <v>1674</v>
      </c>
      <c r="AH329" s="76" t="b">
        <v>0</v>
      </c>
      <c r="AI329" s="76" t="s">
        <v>1775</v>
      </c>
      <c r="AJ329" s="76"/>
      <c r="AK329" s="81" t="s">
        <v>1674</v>
      </c>
      <c r="AL329" s="76" t="b">
        <v>0</v>
      </c>
      <c r="AM329" s="76">
        <v>3</v>
      </c>
      <c r="AN329" s="81" t="s">
        <v>1545</v>
      </c>
      <c r="AO329" s="81" t="s">
        <v>1807</v>
      </c>
      <c r="AP329" s="76" t="b">
        <v>0</v>
      </c>
      <c r="AQ329" s="81" t="s">
        <v>1545</v>
      </c>
      <c r="AR329" s="76" t="s">
        <v>219</v>
      </c>
      <c r="AS329" s="76">
        <v>0</v>
      </c>
      <c r="AT329" s="76">
        <v>0</v>
      </c>
      <c r="AU329" s="76"/>
      <c r="AV329" s="76"/>
      <c r="AW329" s="76"/>
      <c r="AX329" s="76"/>
      <c r="AY329" s="76"/>
      <c r="AZ329" s="76"/>
      <c r="BA329" s="76"/>
      <c r="BB329" s="76"/>
      <c r="BC329">
        <v>1</v>
      </c>
      <c r="BD329" s="75" t="str">
        <f>REPLACE(INDEX(GroupVertices[Group],MATCH(Edges[[#This Row],[Vertex 1]],GroupVertices[Vertex],0)),1,1,"")</f>
        <v>20</v>
      </c>
      <c r="BE329" s="75" t="str">
        <f>REPLACE(INDEX(GroupVertices[Group],MATCH(Edges[[#This Row],[Vertex 2]],GroupVertices[Vertex],0)),1,1,"")</f>
        <v>20</v>
      </c>
      <c r="BF329" s="45">
        <v>0</v>
      </c>
      <c r="BG329" s="46">
        <v>0</v>
      </c>
      <c r="BH329" s="45">
        <v>0</v>
      </c>
      <c r="BI329" s="46">
        <v>0</v>
      </c>
      <c r="BJ329" s="45">
        <v>0</v>
      </c>
      <c r="BK329" s="46">
        <v>0</v>
      </c>
      <c r="BL329" s="45">
        <v>13</v>
      </c>
      <c r="BM329" s="46">
        <v>100</v>
      </c>
      <c r="BN329" s="45">
        <v>13</v>
      </c>
    </row>
    <row r="330" spans="1:66" ht="15">
      <c r="A330" s="61" t="s">
        <v>413</v>
      </c>
      <c r="B330" s="61" t="s">
        <v>546</v>
      </c>
      <c r="C330" s="62" t="s">
        <v>4693</v>
      </c>
      <c r="D330" s="63">
        <v>6.25</v>
      </c>
      <c r="E330" s="62"/>
      <c r="F330" s="65">
        <v>41.25</v>
      </c>
      <c r="G330" s="62"/>
      <c r="H330" s="66"/>
      <c r="I330" s="67"/>
      <c r="J330" s="67"/>
      <c r="K330" s="31" t="s">
        <v>65</v>
      </c>
      <c r="L330" s="68">
        <v>330</v>
      </c>
      <c r="M330" s="68"/>
      <c r="N330" s="69"/>
      <c r="O330" s="76" t="s">
        <v>587</v>
      </c>
      <c r="P330" s="78">
        <v>44818.322222222225</v>
      </c>
      <c r="Q330" s="76" t="s">
        <v>725</v>
      </c>
      <c r="R330" s="76"/>
      <c r="S330" s="76"/>
      <c r="T330" s="81" t="s">
        <v>795</v>
      </c>
      <c r="U330" s="76"/>
      <c r="V330" s="79" t="str">
        <f>HYPERLINK("https://pbs.twimg.com/profile_images/1560723548540489739/Cp800W5O_normal.jpg")</f>
        <v>https://pbs.twimg.com/profile_images/1560723548540489739/Cp800W5O_normal.jpg</v>
      </c>
      <c r="W330" s="78">
        <v>44818.322222222225</v>
      </c>
      <c r="X330" s="84">
        <v>44818</v>
      </c>
      <c r="Y330" s="81" t="s">
        <v>1111</v>
      </c>
      <c r="Z330" s="79" t="str">
        <f>HYPERLINK("https://twitter.com/bobmozg/status/1569955105021075456")</f>
        <v>https://twitter.com/bobmozg/status/1569955105021075456</v>
      </c>
      <c r="AA330" s="76"/>
      <c r="AB330" s="76"/>
      <c r="AC330" s="81" t="s">
        <v>1442</v>
      </c>
      <c r="AD330" s="81" t="s">
        <v>1628</v>
      </c>
      <c r="AE330" s="76" t="b">
        <v>0</v>
      </c>
      <c r="AF330" s="76">
        <v>0</v>
      </c>
      <c r="AG330" s="81" t="s">
        <v>1736</v>
      </c>
      <c r="AH330" s="76" t="b">
        <v>0</v>
      </c>
      <c r="AI330" s="76" t="s">
        <v>1773</v>
      </c>
      <c r="AJ330" s="76"/>
      <c r="AK330" s="81" t="s">
        <v>1674</v>
      </c>
      <c r="AL330" s="76" t="b">
        <v>0</v>
      </c>
      <c r="AM330" s="76">
        <v>0</v>
      </c>
      <c r="AN330" s="81" t="s">
        <v>1674</v>
      </c>
      <c r="AO330" s="81" t="s">
        <v>1808</v>
      </c>
      <c r="AP330" s="76" t="b">
        <v>0</v>
      </c>
      <c r="AQ330" s="81" t="s">
        <v>1628</v>
      </c>
      <c r="AR330" s="76" t="s">
        <v>219</v>
      </c>
      <c r="AS330" s="76">
        <v>0</v>
      </c>
      <c r="AT330" s="76">
        <v>0</v>
      </c>
      <c r="AU330" s="76"/>
      <c r="AV330" s="76"/>
      <c r="AW330" s="76"/>
      <c r="AX330" s="76"/>
      <c r="AY330" s="76"/>
      <c r="AZ330" s="76"/>
      <c r="BA330" s="76"/>
      <c r="BB330" s="76"/>
      <c r="BC330">
        <v>4</v>
      </c>
      <c r="BD330" s="75" t="str">
        <f>REPLACE(INDEX(GroupVertices[Group],MATCH(Edges[[#This Row],[Vertex 1]],GroupVertices[Vertex],0)),1,1,"")</f>
        <v>15</v>
      </c>
      <c r="BE330" s="75" t="str">
        <f>REPLACE(INDEX(GroupVertices[Group],MATCH(Edges[[#This Row],[Vertex 2]],GroupVertices[Vertex],0)),1,1,"")</f>
        <v>15</v>
      </c>
      <c r="BF330" s="45">
        <v>0</v>
      </c>
      <c r="BG330" s="46">
        <v>0</v>
      </c>
      <c r="BH330" s="45">
        <v>0</v>
      </c>
      <c r="BI330" s="46">
        <v>0</v>
      </c>
      <c r="BJ330" s="45">
        <v>0</v>
      </c>
      <c r="BK330" s="46">
        <v>0</v>
      </c>
      <c r="BL330" s="45">
        <v>2</v>
      </c>
      <c r="BM330" s="46">
        <v>100</v>
      </c>
      <c r="BN330" s="45">
        <v>2</v>
      </c>
    </row>
    <row r="331" spans="1:66" ht="15">
      <c r="A331" s="61" t="s">
        <v>413</v>
      </c>
      <c r="B331" s="61" t="s">
        <v>546</v>
      </c>
      <c r="C331" s="62" t="s">
        <v>4693</v>
      </c>
      <c r="D331" s="63">
        <v>6.25</v>
      </c>
      <c r="E331" s="62"/>
      <c r="F331" s="65">
        <v>41.25</v>
      </c>
      <c r="G331" s="62"/>
      <c r="H331" s="66"/>
      <c r="I331" s="67"/>
      <c r="J331" s="67"/>
      <c r="K331" s="31" t="s">
        <v>65</v>
      </c>
      <c r="L331" s="68">
        <v>331</v>
      </c>
      <c r="M331" s="68"/>
      <c r="N331" s="69"/>
      <c r="O331" s="76" t="s">
        <v>587</v>
      </c>
      <c r="P331" s="78">
        <v>44818.32244212963</v>
      </c>
      <c r="Q331" s="76" t="s">
        <v>725</v>
      </c>
      <c r="R331" s="76"/>
      <c r="S331" s="76"/>
      <c r="T331" s="81" t="s">
        <v>795</v>
      </c>
      <c r="U331" s="76"/>
      <c r="V331" s="79" t="str">
        <f>HYPERLINK("https://pbs.twimg.com/profile_images/1560723548540489739/Cp800W5O_normal.jpg")</f>
        <v>https://pbs.twimg.com/profile_images/1560723548540489739/Cp800W5O_normal.jpg</v>
      </c>
      <c r="W331" s="78">
        <v>44818.32244212963</v>
      </c>
      <c r="X331" s="84">
        <v>44818</v>
      </c>
      <c r="Y331" s="81" t="s">
        <v>1112</v>
      </c>
      <c r="Z331" s="79" t="str">
        <f>HYPERLINK("https://twitter.com/bobmozg/status/1569955187732942848")</f>
        <v>https://twitter.com/bobmozg/status/1569955187732942848</v>
      </c>
      <c r="AA331" s="76"/>
      <c r="AB331" s="76"/>
      <c r="AC331" s="81" t="s">
        <v>1443</v>
      </c>
      <c r="AD331" s="81" t="s">
        <v>1629</v>
      </c>
      <c r="AE331" s="76" t="b">
        <v>0</v>
      </c>
      <c r="AF331" s="76">
        <v>0</v>
      </c>
      <c r="AG331" s="81" t="s">
        <v>1736</v>
      </c>
      <c r="AH331" s="76" t="b">
        <v>0</v>
      </c>
      <c r="AI331" s="76" t="s">
        <v>1773</v>
      </c>
      <c r="AJ331" s="76"/>
      <c r="AK331" s="81" t="s">
        <v>1674</v>
      </c>
      <c r="AL331" s="76" t="b">
        <v>0</v>
      </c>
      <c r="AM331" s="76">
        <v>0</v>
      </c>
      <c r="AN331" s="81" t="s">
        <v>1674</v>
      </c>
      <c r="AO331" s="81" t="s">
        <v>1808</v>
      </c>
      <c r="AP331" s="76" t="b">
        <v>0</v>
      </c>
      <c r="AQ331" s="81" t="s">
        <v>1629</v>
      </c>
      <c r="AR331" s="76" t="s">
        <v>219</v>
      </c>
      <c r="AS331" s="76">
        <v>0</v>
      </c>
      <c r="AT331" s="76">
        <v>0</v>
      </c>
      <c r="AU331" s="76"/>
      <c r="AV331" s="76"/>
      <c r="AW331" s="76"/>
      <c r="AX331" s="76"/>
      <c r="AY331" s="76"/>
      <c r="AZ331" s="76"/>
      <c r="BA331" s="76"/>
      <c r="BB331" s="76"/>
      <c r="BC331">
        <v>4</v>
      </c>
      <c r="BD331" s="75" t="str">
        <f>REPLACE(INDEX(GroupVertices[Group],MATCH(Edges[[#This Row],[Vertex 1]],GroupVertices[Vertex],0)),1,1,"")</f>
        <v>15</v>
      </c>
      <c r="BE331" s="75" t="str">
        <f>REPLACE(INDEX(GroupVertices[Group],MATCH(Edges[[#This Row],[Vertex 2]],GroupVertices[Vertex],0)),1,1,"")</f>
        <v>15</v>
      </c>
      <c r="BF331" s="45">
        <v>0</v>
      </c>
      <c r="BG331" s="46">
        <v>0</v>
      </c>
      <c r="BH331" s="45">
        <v>0</v>
      </c>
      <c r="BI331" s="46">
        <v>0</v>
      </c>
      <c r="BJ331" s="45">
        <v>0</v>
      </c>
      <c r="BK331" s="46">
        <v>0</v>
      </c>
      <c r="BL331" s="45">
        <v>2</v>
      </c>
      <c r="BM331" s="46">
        <v>100</v>
      </c>
      <c r="BN331" s="45">
        <v>2</v>
      </c>
    </row>
    <row r="332" spans="1:66" ht="15">
      <c r="A332" s="61" t="s">
        <v>413</v>
      </c>
      <c r="B332" s="61" t="s">
        <v>546</v>
      </c>
      <c r="C332" s="62" t="s">
        <v>4693</v>
      </c>
      <c r="D332" s="63">
        <v>6.25</v>
      </c>
      <c r="E332" s="62"/>
      <c r="F332" s="65">
        <v>41.25</v>
      </c>
      <c r="G332" s="62"/>
      <c r="H332" s="66"/>
      <c r="I332" s="67"/>
      <c r="J332" s="67"/>
      <c r="K332" s="31" t="s">
        <v>65</v>
      </c>
      <c r="L332" s="68">
        <v>332</v>
      </c>
      <c r="M332" s="68"/>
      <c r="N332" s="69"/>
      <c r="O332" s="76" t="s">
        <v>587</v>
      </c>
      <c r="P332" s="78">
        <v>44818.32262731482</v>
      </c>
      <c r="Q332" s="76" t="s">
        <v>725</v>
      </c>
      <c r="R332" s="76"/>
      <c r="S332" s="76"/>
      <c r="T332" s="81" t="s">
        <v>795</v>
      </c>
      <c r="U332" s="76"/>
      <c r="V332" s="79" t="str">
        <f>HYPERLINK("https://pbs.twimg.com/profile_images/1560723548540489739/Cp800W5O_normal.jpg")</f>
        <v>https://pbs.twimg.com/profile_images/1560723548540489739/Cp800W5O_normal.jpg</v>
      </c>
      <c r="W332" s="78">
        <v>44818.32262731482</v>
      </c>
      <c r="X332" s="84">
        <v>44818</v>
      </c>
      <c r="Y332" s="81" t="s">
        <v>1113</v>
      </c>
      <c r="Z332" s="79" t="str">
        <f>HYPERLINK("https://twitter.com/bobmozg/status/1569955252853407744")</f>
        <v>https://twitter.com/bobmozg/status/1569955252853407744</v>
      </c>
      <c r="AA332" s="76"/>
      <c r="AB332" s="76"/>
      <c r="AC332" s="81" t="s">
        <v>1444</v>
      </c>
      <c r="AD332" s="81" t="s">
        <v>1630</v>
      </c>
      <c r="AE332" s="76" t="b">
        <v>0</v>
      </c>
      <c r="AF332" s="76">
        <v>0</v>
      </c>
      <c r="AG332" s="81" t="s">
        <v>1736</v>
      </c>
      <c r="AH332" s="76" t="b">
        <v>0</v>
      </c>
      <c r="AI332" s="76" t="s">
        <v>1773</v>
      </c>
      <c r="AJ332" s="76"/>
      <c r="AK332" s="81" t="s">
        <v>1674</v>
      </c>
      <c r="AL332" s="76" t="b">
        <v>0</v>
      </c>
      <c r="AM332" s="76">
        <v>0</v>
      </c>
      <c r="AN332" s="81" t="s">
        <v>1674</v>
      </c>
      <c r="AO332" s="81" t="s">
        <v>1808</v>
      </c>
      <c r="AP332" s="76" t="b">
        <v>0</v>
      </c>
      <c r="AQ332" s="81" t="s">
        <v>1630</v>
      </c>
      <c r="AR332" s="76" t="s">
        <v>219</v>
      </c>
      <c r="AS332" s="76">
        <v>0</v>
      </c>
      <c r="AT332" s="76">
        <v>0</v>
      </c>
      <c r="AU332" s="76"/>
      <c r="AV332" s="76"/>
      <c r="AW332" s="76"/>
      <c r="AX332" s="76"/>
      <c r="AY332" s="76"/>
      <c r="AZ332" s="76"/>
      <c r="BA332" s="76"/>
      <c r="BB332" s="76"/>
      <c r="BC332">
        <v>4</v>
      </c>
      <c r="BD332" s="75" t="str">
        <f>REPLACE(INDEX(GroupVertices[Group],MATCH(Edges[[#This Row],[Vertex 1]],GroupVertices[Vertex],0)),1,1,"")</f>
        <v>15</v>
      </c>
      <c r="BE332" s="75" t="str">
        <f>REPLACE(INDEX(GroupVertices[Group],MATCH(Edges[[#This Row],[Vertex 2]],GroupVertices[Vertex],0)),1,1,"")</f>
        <v>15</v>
      </c>
      <c r="BF332" s="45">
        <v>0</v>
      </c>
      <c r="BG332" s="46">
        <v>0</v>
      </c>
      <c r="BH332" s="45">
        <v>0</v>
      </c>
      <c r="BI332" s="46">
        <v>0</v>
      </c>
      <c r="BJ332" s="45">
        <v>0</v>
      </c>
      <c r="BK332" s="46">
        <v>0</v>
      </c>
      <c r="BL332" s="45">
        <v>2</v>
      </c>
      <c r="BM332" s="46">
        <v>100</v>
      </c>
      <c r="BN332" s="45">
        <v>2</v>
      </c>
    </row>
    <row r="333" spans="1:66" ht="15">
      <c r="A333" s="61" t="s">
        <v>413</v>
      </c>
      <c r="B333" s="61" t="s">
        <v>546</v>
      </c>
      <c r="C333" s="62" t="s">
        <v>4693</v>
      </c>
      <c r="D333" s="63">
        <v>6.25</v>
      </c>
      <c r="E333" s="62"/>
      <c r="F333" s="65">
        <v>41.25</v>
      </c>
      <c r="G333" s="62"/>
      <c r="H333" s="66"/>
      <c r="I333" s="67"/>
      <c r="J333" s="67"/>
      <c r="K333" s="31" t="s">
        <v>65</v>
      </c>
      <c r="L333" s="68">
        <v>333</v>
      </c>
      <c r="M333" s="68"/>
      <c r="N333" s="69"/>
      <c r="O333" s="76" t="s">
        <v>587</v>
      </c>
      <c r="P333" s="78">
        <v>44818.36344907407</v>
      </c>
      <c r="Q333" s="76" t="s">
        <v>725</v>
      </c>
      <c r="R333" s="76"/>
      <c r="S333" s="76"/>
      <c r="T333" s="81" t="s">
        <v>795</v>
      </c>
      <c r="U333" s="76"/>
      <c r="V333" s="79" t="str">
        <f>HYPERLINK("https://pbs.twimg.com/profile_images/1560723548540489739/Cp800W5O_normal.jpg")</f>
        <v>https://pbs.twimg.com/profile_images/1560723548540489739/Cp800W5O_normal.jpg</v>
      </c>
      <c r="W333" s="78">
        <v>44818.36344907407</v>
      </c>
      <c r="X333" s="84">
        <v>44818</v>
      </c>
      <c r="Y333" s="81" t="s">
        <v>1114</v>
      </c>
      <c r="Z333" s="79" t="str">
        <f>HYPERLINK("https://twitter.com/bobmozg/status/1569970048235884544")</f>
        <v>https://twitter.com/bobmozg/status/1569970048235884544</v>
      </c>
      <c r="AA333" s="76"/>
      <c r="AB333" s="76"/>
      <c r="AC333" s="81" t="s">
        <v>1445</v>
      </c>
      <c r="AD333" s="81" t="s">
        <v>1631</v>
      </c>
      <c r="AE333" s="76" t="b">
        <v>0</v>
      </c>
      <c r="AF333" s="76">
        <v>0</v>
      </c>
      <c r="AG333" s="81" t="s">
        <v>1736</v>
      </c>
      <c r="AH333" s="76" t="b">
        <v>0</v>
      </c>
      <c r="AI333" s="76" t="s">
        <v>1773</v>
      </c>
      <c r="AJ333" s="76"/>
      <c r="AK333" s="81" t="s">
        <v>1674</v>
      </c>
      <c r="AL333" s="76" t="b">
        <v>0</v>
      </c>
      <c r="AM333" s="76">
        <v>0</v>
      </c>
      <c r="AN333" s="81" t="s">
        <v>1674</v>
      </c>
      <c r="AO333" s="81" t="s">
        <v>1808</v>
      </c>
      <c r="AP333" s="76" t="b">
        <v>0</v>
      </c>
      <c r="AQ333" s="81" t="s">
        <v>1631</v>
      </c>
      <c r="AR333" s="76" t="s">
        <v>219</v>
      </c>
      <c r="AS333" s="76">
        <v>0</v>
      </c>
      <c r="AT333" s="76">
        <v>0</v>
      </c>
      <c r="AU333" s="76"/>
      <c r="AV333" s="76"/>
      <c r="AW333" s="76"/>
      <c r="AX333" s="76"/>
      <c r="AY333" s="76"/>
      <c r="AZ333" s="76"/>
      <c r="BA333" s="76"/>
      <c r="BB333" s="76"/>
      <c r="BC333">
        <v>4</v>
      </c>
      <c r="BD333" s="75" t="str">
        <f>REPLACE(INDEX(GroupVertices[Group],MATCH(Edges[[#This Row],[Vertex 1]],GroupVertices[Vertex],0)),1,1,"")</f>
        <v>15</v>
      </c>
      <c r="BE333" s="75" t="str">
        <f>REPLACE(INDEX(GroupVertices[Group],MATCH(Edges[[#This Row],[Vertex 2]],GroupVertices[Vertex],0)),1,1,"")</f>
        <v>15</v>
      </c>
      <c r="BF333" s="45">
        <v>0</v>
      </c>
      <c r="BG333" s="46">
        <v>0</v>
      </c>
      <c r="BH333" s="45">
        <v>0</v>
      </c>
      <c r="BI333" s="46">
        <v>0</v>
      </c>
      <c r="BJ333" s="45">
        <v>0</v>
      </c>
      <c r="BK333" s="46">
        <v>0</v>
      </c>
      <c r="BL333" s="45">
        <v>2</v>
      </c>
      <c r="BM333" s="46">
        <v>100</v>
      </c>
      <c r="BN333" s="45">
        <v>2</v>
      </c>
    </row>
    <row r="334" spans="1:66" ht="15">
      <c r="A334" s="61" t="s">
        <v>413</v>
      </c>
      <c r="B334" s="61" t="s">
        <v>547</v>
      </c>
      <c r="C334" s="62" t="s">
        <v>4688</v>
      </c>
      <c r="D334" s="63">
        <v>5</v>
      </c>
      <c r="E334" s="62"/>
      <c r="F334" s="65">
        <v>50</v>
      </c>
      <c r="G334" s="62"/>
      <c r="H334" s="66"/>
      <c r="I334" s="67"/>
      <c r="J334" s="67"/>
      <c r="K334" s="31" t="s">
        <v>65</v>
      </c>
      <c r="L334" s="68">
        <v>334</v>
      </c>
      <c r="M334" s="68"/>
      <c r="N334" s="69"/>
      <c r="O334" s="76" t="s">
        <v>587</v>
      </c>
      <c r="P334" s="78">
        <v>44819.47493055555</v>
      </c>
      <c r="Q334" s="76" t="s">
        <v>726</v>
      </c>
      <c r="R334" s="76"/>
      <c r="S334" s="76"/>
      <c r="T334" s="81" t="s">
        <v>795</v>
      </c>
      <c r="U334" s="76"/>
      <c r="V334" s="79" t="str">
        <f>HYPERLINK("https://pbs.twimg.com/profile_images/1560723548540489739/Cp800W5O_normal.jpg")</f>
        <v>https://pbs.twimg.com/profile_images/1560723548540489739/Cp800W5O_normal.jpg</v>
      </c>
      <c r="W334" s="78">
        <v>44819.47493055555</v>
      </c>
      <c r="X334" s="84">
        <v>44819</v>
      </c>
      <c r="Y334" s="81" t="s">
        <v>1115</v>
      </c>
      <c r="Z334" s="79" t="str">
        <f>HYPERLINK("https://twitter.com/bobmozg/status/1570372834349969408")</f>
        <v>https://twitter.com/bobmozg/status/1570372834349969408</v>
      </c>
      <c r="AA334" s="76"/>
      <c r="AB334" s="76"/>
      <c r="AC334" s="81" t="s">
        <v>1446</v>
      </c>
      <c r="AD334" s="81" t="s">
        <v>1632</v>
      </c>
      <c r="AE334" s="76" t="b">
        <v>0</v>
      </c>
      <c r="AF334" s="76">
        <v>1</v>
      </c>
      <c r="AG334" s="81" t="s">
        <v>1737</v>
      </c>
      <c r="AH334" s="76" t="b">
        <v>0</v>
      </c>
      <c r="AI334" s="76" t="s">
        <v>1773</v>
      </c>
      <c r="AJ334" s="76"/>
      <c r="AK334" s="81" t="s">
        <v>1674</v>
      </c>
      <c r="AL334" s="76" t="b">
        <v>0</v>
      </c>
      <c r="AM334" s="76">
        <v>0</v>
      </c>
      <c r="AN334" s="81" t="s">
        <v>1674</v>
      </c>
      <c r="AO334" s="81" t="s">
        <v>1808</v>
      </c>
      <c r="AP334" s="76" t="b">
        <v>0</v>
      </c>
      <c r="AQ334" s="81" t="s">
        <v>1632</v>
      </c>
      <c r="AR334" s="76" t="s">
        <v>219</v>
      </c>
      <c r="AS334" s="76">
        <v>0</v>
      </c>
      <c r="AT334" s="76">
        <v>0</v>
      </c>
      <c r="AU334" s="76"/>
      <c r="AV334" s="76"/>
      <c r="AW334" s="76"/>
      <c r="AX334" s="76"/>
      <c r="AY334" s="76"/>
      <c r="AZ334" s="76"/>
      <c r="BA334" s="76"/>
      <c r="BB334" s="76"/>
      <c r="BC334">
        <v>1</v>
      </c>
      <c r="BD334" s="75" t="str">
        <f>REPLACE(INDEX(GroupVertices[Group],MATCH(Edges[[#This Row],[Vertex 1]],GroupVertices[Vertex],0)),1,1,"")</f>
        <v>15</v>
      </c>
      <c r="BE334" s="75" t="str">
        <f>REPLACE(INDEX(GroupVertices[Group],MATCH(Edges[[#This Row],[Vertex 2]],GroupVertices[Vertex],0)),1,1,"")</f>
        <v>15</v>
      </c>
      <c r="BF334" s="45">
        <v>0</v>
      </c>
      <c r="BG334" s="46">
        <v>0</v>
      </c>
      <c r="BH334" s="45">
        <v>0</v>
      </c>
      <c r="BI334" s="46">
        <v>0</v>
      </c>
      <c r="BJ334" s="45">
        <v>0</v>
      </c>
      <c r="BK334" s="46">
        <v>0</v>
      </c>
      <c r="BL334" s="45">
        <v>2</v>
      </c>
      <c r="BM334" s="46">
        <v>100</v>
      </c>
      <c r="BN334" s="45">
        <v>2</v>
      </c>
    </row>
    <row r="335" spans="1:66" ht="15">
      <c r="A335" s="61" t="s">
        <v>414</v>
      </c>
      <c r="B335" s="61" t="s">
        <v>414</v>
      </c>
      <c r="C335" s="62" t="s">
        <v>4695</v>
      </c>
      <c r="D335" s="63">
        <v>10</v>
      </c>
      <c r="E335" s="62"/>
      <c r="F335" s="65">
        <v>15</v>
      </c>
      <c r="G335" s="62"/>
      <c r="H335" s="66"/>
      <c r="I335" s="67"/>
      <c r="J335" s="67"/>
      <c r="K335" s="31" t="s">
        <v>65</v>
      </c>
      <c r="L335" s="68">
        <v>335</v>
      </c>
      <c r="M335" s="68"/>
      <c r="N335" s="69"/>
      <c r="O335" s="76" t="s">
        <v>219</v>
      </c>
      <c r="P335" s="78">
        <v>44811.2934375</v>
      </c>
      <c r="Q335" s="76" t="s">
        <v>590</v>
      </c>
      <c r="R335" s="76"/>
      <c r="S335" s="76"/>
      <c r="T335" s="81" t="s">
        <v>793</v>
      </c>
      <c r="U335" s="79" t="str">
        <f>HYPERLINK("https://pbs.twimg.com/media/FcCNOtRX0AMZ0JE.jpg")</f>
        <v>https://pbs.twimg.com/media/FcCNOtRX0AMZ0JE.jpg</v>
      </c>
      <c r="V335" s="79" t="str">
        <f>HYPERLINK("https://pbs.twimg.com/media/FcCNOtRX0AMZ0JE.jpg")</f>
        <v>https://pbs.twimg.com/media/FcCNOtRX0AMZ0JE.jpg</v>
      </c>
      <c r="W335" s="78">
        <v>44811.2934375</v>
      </c>
      <c r="X335" s="84">
        <v>44811</v>
      </c>
      <c r="Y335" s="81" t="s">
        <v>1116</v>
      </c>
      <c r="Z335" s="79" t="str">
        <f>HYPERLINK("https://twitter.com/amaresyev/status/1567407959860252672")</f>
        <v>https://twitter.com/amaresyev/status/1567407959860252672</v>
      </c>
      <c r="AA335" s="76"/>
      <c r="AB335" s="76"/>
      <c r="AC335" s="81" t="s">
        <v>1447</v>
      </c>
      <c r="AD335" s="76"/>
      <c r="AE335" s="76" t="b">
        <v>0</v>
      </c>
      <c r="AF335" s="76">
        <v>13</v>
      </c>
      <c r="AG335" s="81" t="s">
        <v>1674</v>
      </c>
      <c r="AH335" s="76" t="b">
        <v>0</v>
      </c>
      <c r="AI335" s="76" t="s">
        <v>1771</v>
      </c>
      <c r="AJ335" s="76"/>
      <c r="AK335" s="81" t="s">
        <v>1674</v>
      </c>
      <c r="AL335" s="76" t="b">
        <v>0</v>
      </c>
      <c r="AM335" s="76">
        <v>3</v>
      </c>
      <c r="AN335" s="81" t="s">
        <v>1674</v>
      </c>
      <c r="AO335" s="81" t="s">
        <v>1809</v>
      </c>
      <c r="AP335" s="76" t="b">
        <v>0</v>
      </c>
      <c r="AQ335" s="81" t="s">
        <v>1447</v>
      </c>
      <c r="AR335" s="76" t="s">
        <v>219</v>
      </c>
      <c r="AS335" s="76">
        <v>0</v>
      </c>
      <c r="AT335" s="76">
        <v>0</v>
      </c>
      <c r="AU335" s="76"/>
      <c r="AV335" s="76"/>
      <c r="AW335" s="76"/>
      <c r="AX335" s="76"/>
      <c r="AY335" s="76"/>
      <c r="AZ335" s="76"/>
      <c r="BA335" s="76"/>
      <c r="BB335" s="76"/>
      <c r="BC335">
        <v>13</v>
      </c>
      <c r="BD335" s="75" t="str">
        <f>REPLACE(INDEX(GroupVertices[Group],MATCH(Edges[[#This Row],[Vertex 1]],GroupVertices[Vertex],0)),1,1,"")</f>
        <v>3</v>
      </c>
      <c r="BE335" s="75" t="str">
        <f>REPLACE(INDEX(GroupVertices[Group],MATCH(Edges[[#This Row],[Vertex 2]],GroupVertices[Vertex],0)),1,1,"")</f>
        <v>3</v>
      </c>
      <c r="BF335" s="45">
        <v>0</v>
      </c>
      <c r="BG335" s="46">
        <v>0</v>
      </c>
      <c r="BH335" s="45">
        <v>0</v>
      </c>
      <c r="BI335" s="46">
        <v>0</v>
      </c>
      <c r="BJ335" s="45">
        <v>0</v>
      </c>
      <c r="BK335" s="46">
        <v>0</v>
      </c>
      <c r="BL335" s="45">
        <v>12</v>
      </c>
      <c r="BM335" s="46">
        <v>100</v>
      </c>
      <c r="BN335" s="45">
        <v>12</v>
      </c>
    </row>
    <row r="336" spans="1:66" ht="15">
      <c r="A336" s="61" t="s">
        <v>414</v>
      </c>
      <c r="B336" s="61" t="s">
        <v>414</v>
      </c>
      <c r="C336" s="62" t="s">
        <v>4695</v>
      </c>
      <c r="D336" s="63">
        <v>10</v>
      </c>
      <c r="E336" s="62"/>
      <c r="F336" s="65">
        <v>15</v>
      </c>
      <c r="G336" s="62"/>
      <c r="H336" s="66"/>
      <c r="I336" s="67"/>
      <c r="J336" s="67"/>
      <c r="K336" s="31" t="s">
        <v>65</v>
      </c>
      <c r="L336" s="68">
        <v>336</v>
      </c>
      <c r="M336" s="68"/>
      <c r="N336" s="69"/>
      <c r="O336" s="76" t="s">
        <v>219</v>
      </c>
      <c r="P336" s="78">
        <v>44812.62965277778</v>
      </c>
      <c r="Q336" s="76" t="s">
        <v>727</v>
      </c>
      <c r="R336" s="76"/>
      <c r="S336" s="76"/>
      <c r="T336" s="81" t="s">
        <v>861</v>
      </c>
      <c r="U336" s="79" t="str">
        <f>HYPERLINK("https://pbs.twimg.com/ext_tw_video_thumb/1567891996022276102/pu/img/34zmVQTODZ5LX-eE.jpg")</f>
        <v>https://pbs.twimg.com/ext_tw_video_thumb/1567891996022276102/pu/img/34zmVQTODZ5LX-eE.jpg</v>
      </c>
      <c r="V336" s="79" t="str">
        <f>HYPERLINK("https://pbs.twimg.com/ext_tw_video_thumb/1567891996022276102/pu/img/34zmVQTODZ5LX-eE.jpg")</f>
        <v>https://pbs.twimg.com/ext_tw_video_thumb/1567891996022276102/pu/img/34zmVQTODZ5LX-eE.jpg</v>
      </c>
      <c r="W336" s="78">
        <v>44812.62965277778</v>
      </c>
      <c r="X336" s="84">
        <v>44812</v>
      </c>
      <c r="Y336" s="81" t="s">
        <v>1117</v>
      </c>
      <c r="Z336" s="79" t="str">
        <f>HYPERLINK("https://twitter.com/amaresyev/status/1567892187895025665")</f>
        <v>https://twitter.com/amaresyev/status/1567892187895025665</v>
      </c>
      <c r="AA336" s="76"/>
      <c r="AB336" s="76"/>
      <c r="AC336" s="81" t="s">
        <v>1448</v>
      </c>
      <c r="AD336" s="76"/>
      <c r="AE336" s="76" t="b">
        <v>0</v>
      </c>
      <c r="AF336" s="76">
        <v>8</v>
      </c>
      <c r="AG336" s="81" t="s">
        <v>1674</v>
      </c>
      <c r="AH336" s="76" t="b">
        <v>0</v>
      </c>
      <c r="AI336" s="76" t="s">
        <v>1773</v>
      </c>
      <c r="AJ336" s="76"/>
      <c r="AK336" s="81" t="s">
        <v>1674</v>
      </c>
      <c r="AL336" s="76" t="b">
        <v>0</v>
      </c>
      <c r="AM336" s="76">
        <v>0</v>
      </c>
      <c r="AN336" s="81" t="s">
        <v>1674</v>
      </c>
      <c r="AO336" s="81" t="s">
        <v>1809</v>
      </c>
      <c r="AP336" s="76" t="b">
        <v>0</v>
      </c>
      <c r="AQ336" s="81" t="s">
        <v>1448</v>
      </c>
      <c r="AR336" s="76" t="s">
        <v>219</v>
      </c>
      <c r="AS336" s="76">
        <v>0</v>
      </c>
      <c r="AT336" s="76">
        <v>0</v>
      </c>
      <c r="AU336" s="76"/>
      <c r="AV336" s="76"/>
      <c r="AW336" s="76"/>
      <c r="AX336" s="76"/>
      <c r="AY336" s="76"/>
      <c r="AZ336" s="76"/>
      <c r="BA336" s="76"/>
      <c r="BB336" s="76"/>
      <c r="BC336">
        <v>13</v>
      </c>
      <c r="BD336" s="75" t="str">
        <f>REPLACE(INDEX(GroupVertices[Group],MATCH(Edges[[#This Row],[Vertex 1]],GroupVertices[Vertex],0)),1,1,"")</f>
        <v>3</v>
      </c>
      <c r="BE336" s="75" t="str">
        <f>REPLACE(INDEX(GroupVertices[Group],MATCH(Edges[[#This Row],[Vertex 2]],GroupVertices[Vertex],0)),1,1,"")</f>
        <v>3</v>
      </c>
      <c r="BF336" s="45">
        <v>0</v>
      </c>
      <c r="BG336" s="46">
        <v>0</v>
      </c>
      <c r="BH336" s="45">
        <v>0</v>
      </c>
      <c r="BI336" s="46">
        <v>0</v>
      </c>
      <c r="BJ336" s="45">
        <v>0</v>
      </c>
      <c r="BK336" s="46">
        <v>0</v>
      </c>
      <c r="BL336" s="45">
        <v>4</v>
      </c>
      <c r="BM336" s="46">
        <v>100</v>
      </c>
      <c r="BN336" s="45">
        <v>4</v>
      </c>
    </row>
    <row r="337" spans="1:66" ht="15">
      <c r="A337" s="61" t="s">
        <v>414</v>
      </c>
      <c r="B337" s="61" t="s">
        <v>414</v>
      </c>
      <c r="C337" s="62" t="s">
        <v>4695</v>
      </c>
      <c r="D337" s="63">
        <v>10</v>
      </c>
      <c r="E337" s="62"/>
      <c r="F337" s="65">
        <v>15</v>
      </c>
      <c r="G337" s="62"/>
      <c r="H337" s="66"/>
      <c r="I337" s="67"/>
      <c r="J337" s="67"/>
      <c r="K337" s="31" t="s">
        <v>65</v>
      </c>
      <c r="L337" s="68">
        <v>337</v>
      </c>
      <c r="M337" s="68"/>
      <c r="N337" s="69"/>
      <c r="O337" s="76" t="s">
        <v>219</v>
      </c>
      <c r="P337" s="78">
        <v>44812.673726851855</v>
      </c>
      <c r="Q337" s="76" t="s">
        <v>728</v>
      </c>
      <c r="R337" s="76"/>
      <c r="S337" s="76"/>
      <c r="T337" s="81" t="s">
        <v>862</v>
      </c>
      <c r="U337" s="79" t="str">
        <f>HYPERLINK("https://pbs.twimg.com/media/FcJUKOsXoAIvzeZ.jpg")</f>
        <v>https://pbs.twimg.com/media/FcJUKOsXoAIvzeZ.jpg</v>
      </c>
      <c r="V337" s="79" t="str">
        <f>HYPERLINK("https://pbs.twimg.com/media/FcJUKOsXoAIvzeZ.jpg")</f>
        <v>https://pbs.twimg.com/media/FcJUKOsXoAIvzeZ.jpg</v>
      </c>
      <c r="W337" s="78">
        <v>44812.673726851855</v>
      </c>
      <c r="X337" s="84">
        <v>44812</v>
      </c>
      <c r="Y337" s="81" t="s">
        <v>1118</v>
      </c>
      <c r="Z337" s="79" t="str">
        <f>HYPERLINK("https://twitter.com/amaresyev/status/1567908159582257153")</f>
        <v>https://twitter.com/amaresyev/status/1567908159582257153</v>
      </c>
      <c r="AA337" s="76"/>
      <c r="AB337" s="76"/>
      <c r="AC337" s="81" t="s">
        <v>1449</v>
      </c>
      <c r="AD337" s="76"/>
      <c r="AE337" s="76" t="b">
        <v>0</v>
      </c>
      <c r="AF337" s="76">
        <v>4</v>
      </c>
      <c r="AG337" s="81" t="s">
        <v>1674</v>
      </c>
      <c r="AH337" s="76" t="b">
        <v>0</v>
      </c>
      <c r="AI337" s="76" t="s">
        <v>1771</v>
      </c>
      <c r="AJ337" s="76"/>
      <c r="AK337" s="81" t="s">
        <v>1674</v>
      </c>
      <c r="AL337" s="76" t="b">
        <v>0</v>
      </c>
      <c r="AM337" s="76">
        <v>0</v>
      </c>
      <c r="AN337" s="81" t="s">
        <v>1674</v>
      </c>
      <c r="AO337" s="81" t="s">
        <v>1809</v>
      </c>
      <c r="AP337" s="76" t="b">
        <v>0</v>
      </c>
      <c r="AQ337" s="81" t="s">
        <v>1449</v>
      </c>
      <c r="AR337" s="76" t="s">
        <v>219</v>
      </c>
      <c r="AS337" s="76">
        <v>0</v>
      </c>
      <c r="AT337" s="76">
        <v>0</v>
      </c>
      <c r="AU337" s="76"/>
      <c r="AV337" s="76"/>
      <c r="AW337" s="76"/>
      <c r="AX337" s="76"/>
      <c r="AY337" s="76"/>
      <c r="AZ337" s="76"/>
      <c r="BA337" s="76"/>
      <c r="BB337" s="76"/>
      <c r="BC337">
        <v>13</v>
      </c>
      <c r="BD337" s="75" t="str">
        <f>REPLACE(INDEX(GroupVertices[Group],MATCH(Edges[[#This Row],[Vertex 1]],GroupVertices[Vertex],0)),1,1,"")</f>
        <v>3</v>
      </c>
      <c r="BE337" s="75" t="str">
        <f>REPLACE(INDEX(GroupVertices[Group],MATCH(Edges[[#This Row],[Vertex 2]],GroupVertices[Vertex],0)),1,1,"")</f>
        <v>3</v>
      </c>
      <c r="BF337" s="45">
        <v>0</v>
      </c>
      <c r="BG337" s="46">
        <v>0</v>
      </c>
      <c r="BH337" s="45">
        <v>0</v>
      </c>
      <c r="BI337" s="46">
        <v>0</v>
      </c>
      <c r="BJ337" s="45">
        <v>0</v>
      </c>
      <c r="BK337" s="46">
        <v>0</v>
      </c>
      <c r="BL337" s="45">
        <v>12</v>
      </c>
      <c r="BM337" s="46">
        <v>100</v>
      </c>
      <c r="BN337" s="45">
        <v>12</v>
      </c>
    </row>
    <row r="338" spans="1:66" ht="15">
      <c r="A338" s="61" t="s">
        <v>414</v>
      </c>
      <c r="B338" s="61" t="s">
        <v>414</v>
      </c>
      <c r="C338" s="62" t="s">
        <v>4695</v>
      </c>
      <c r="D338" s="63">
        <v>10</v>
      </c>
      <c r="E338" s="62"/>
      <c r="F338" s="65">
        <v>15</v>
      </c>
      <c r="G338" s="62"/>
      <c r="H338" s="66"/>
      <c r="I338" s="67"/>
      <c r="J338" s="67"/>
      <c r="K338" s="31" t="s">
        <v>65</v>
      </c>
      <c r="L338" s="68">
        <v>338</v>
      </c>
      <c r="M338" s="68"/>
      <c r="N338" s="69"/>
      <c r="O338" s="76" t="s">
        <v>219</v>
      </c>
      <c r="P338" s="78">
        <v>44814.83221064815</v>
      </c>
      <c r="Q338" s="76" t="s">
        <v>632</v>
      </c>
      <c r="R338" s="76"/>
      <c r="S338" s="76"/>
      <c r="T338" s="81" t="s">
        <v>819</v>
      </c>
      <c r="U338" s="76"/>
      <c r="V338" s="79" t="str">
        <f>HYPERLINK("https://pbs.twimg.com/profile_images/1560409371443609601/2g7dKEs0_normal.jpg")</f>
        <v>https://pbs.twimg.com/profile_images/1560409371443609601/2g7dKEs0_normal.jpg</v>
      </c>
      <c r="W338" s="78">
        <v>44814.83221064815</v>
      </c>
      <c r="X338" s="84">
        <v>44814</v>
      </c>
      <c r="Y338" s="81" t="s">
        <v>1119</v>
      </c>
      <c r="Z338" s="79" t="str">
        <f>HYPERLINK("https://twitter.com/amaresyev/status/1568690370866978816")</f>
        <v>https://twitter.com/amaresyev/status/1568690370866978816</v>
      </c>
      <c r="AA338" s="76"/>
      <c r="AB338" s="76"/>
      <c r="AC338" s="81" t="s">
        <v>1450</v>
      </c>
      <c r="AD338" s="76"/>
      <c r="AE338" s="76" t="b">
        <v>0</v>
      </c>
      <c r="AF338" s="76">
        <v>24</v>
      </c>
      <c r="AG338" s="81" t="s">
        <v>1674</v>
      </c>
      <c r="AH338" s="76" t="b">
        <v>0</v>
      </c>
      <c r="AI338" s="76" t="s">
        <v>1771</v>
      </c>
      <c r="AJ338" s="76"/>
      <c r="AK338" s="81" t="s">
        <v>1674</v>
      </c>
      <c r="AL338" s="76" t="b">
        <v>0</v>
      </c>
      <c r="AM338" s="76">
        <v>4</v>
      </c>
      <c r="AN338" s="81" t="s">
        <v>1674</v>
      </c>
      <c r="AO338" s="81" t="s">
        <v>1809</v>
      </c>
      <c r="AP338" s="76" t="b">
        <v>0</v>
      </c>
      <c r="AQ338" s="81" t="s">
        <v>1450</v>
      </c>
      <c r="AR338" s="76" t="s">
        <v>219</v>
      </c>
      <c r="AS338" s="76">
        <v>0</v>
      </c>
      <c r="AT338" s="76">
        <v>0</v>
      </c>
      <c r="AU338" s="76"/>
      <c r="AV338" s="76"/>
      <c r="AW338" s="76"/>
      <c r="AX338" s="76"/>
      <c r="AY338" s="76"/>
      <c r="AZ338" s="76"/>
      <c r="BA338" s="76"/>
      <c r="BB338" s="76"/>
      <c r="BC338">
        <v>13</v>
      </c>
      <c r="BD338" s="75" t="str">
        <f>REPLACE(INDEX(GroupVertices[Group],MATCH(Edges[[#This Row],[Vertex 1]],GroupVertices[Vertex],0)),1,1,"")</f>
        <v>3</v>
      </c>
      <c r="BE338" s="75" t="str">
        <f>REPLACE(INDEX(GroupVertices[Group],MATCH(Edges[[#This Row],[Vertex 2]],GroupVertices[Vertex],0)),1,1,"")</f>
        <v>3</v>
      </c>
      <c r="BF338" s="45">
        <v>0</v>
      </c>
      <c r="BG338" s="46">
        <v>0</v>
      </c>
      <c r="BH338" s="45">
        <v>0</v>
      </c>
      <c r="BI338" s="46">
        <v>0</v>
      </c>
      <c r="BJ338" s="45">
        <v>0</v>
      </c>
      <c r="BK338" s="46">
        <v>0</v>
      </c>
      <c r="BL338" s="45">
        <v>5</v>
      </c>
      <c r="BM338" s="46">
        <v>100</v>
      </c>
      <c r="BN338" s="45">
        <v>5</v>
      </c>
    </row>
    <row r="339" spans="1:66" ht="15">
      <c r="A339" s="61" t="s">
        <v>414</v>
      </c>
      <c r="B339" s="61" t="s">
        <v>414</v>
      </c>
      <c r="C339" s="62" t="s">
        <v>4695</v>
      </c>
      <c r="D339" s="63">
        <v>10</v>
      </c>
      <c r="E339" s="62"/>
      <c r="F339" s="65">
        <v>15</v>
      </c>
      <c r="G339" s="62"/>
      <c r="H339" s="66"/>
      <c r="I339" s="67"/>
      <c r="J339" s="67"/>
      <c r="K339" s="31" t="s">
        <v>65</v>
      </c>
      <c r="L339" s="68">
        <v>339</v>
      </c>
      <c r="M339" s="68"/>
      <c r="N339" s="69"/>
      <c r="O339" s="76" t="s">
        <v>219</v>
      </c>
      <c r="P339" s="78">
        <v>44815.88650462963</v>
      </c>
      <c r="Q339" s="76" t="s">
        <v>657</v>
      </c>
      <c r="R339" s="76"/>
      <c r="S339" s="76"/>
      <c r="T339" s="81" t="s">
        <v>819</v>
      </c>
      <c r="U339" s="76"/>
      <c r="V339" s="79" t="str">
        <f>HYPERLINK("https://pbs.twimg.com/profile_images/1560409371443609601/2g7dKEs0_normal.jpg")</f>
        <v>https://pbs.twimg.com/profile_images/1560409371443609601/2g7dKEs0_normal.jpg</v>
      </c>
      <c r="W339" s="78">
        <v>44815.88650462963</v>
      </c>
      <c r="X339" s="84">
        <v>44815</v>
      </c>
      <c r="Y339" s="81" t="s">
        <v>1120</v>
      </c>
      <c r="Z339" s="79" t="str">
        <f>HYPERLINK("https://twitter.com/amaresyev/status/1569072430504902656")</f>
        <v>https://twitter.com/amaresyev/status/1569072430504902656</v>
      </c>
      <c r="AA339" s="76"/>
      <c r="AB339" s="76"/>
      <c r="AC339" s="81" t="s">
        <v>1451</v>
      </c>
      <c r="AD339" s="76"/>
      <c r="AE339" s="76" t="b">
        <v>0</v>
      </c>
      <c r="AF339" s="76">
        <v>5</v>
      </c>
      <c r="AG339" s="81" t="s">
        <v>1674</v>
      </c>
      <c r="AH339" s="76" t="b">
        <v>0</v>
      </c>
      <c r="AI339" s="76" t="s">
        <v>1771</v>
      </c>
      <c r="AJ339" s="76"/>
      <c r="AK339" s="81" t="s">
        <v>1674</v>
      </c>
      <c r="AL339" s="76" t="b">
        <v>0</v>
      </c>
      <c r="AM339" s="76">
        <v>2</v>
      </c>
      <c r="AN339" s="81" t="s">
        <v>1674</v>
      </c>
      <c r="AO339" s="81" t="s">
        <v>1809</v>
      </c>
      <c r="AP339" s="76" t="b">
        <v>0</v>
      </c>
      <c r="AQ339" s="81" t="s">
        <v>1451</v>
      </c>
      <c r="AR339" s="76" t="s">
        <v>219</v>
      </c>
      <c r="AS339" s="76">
        <v>0</v>
      </c>
      <c r="AT339" s="76">
        <v>0</v>
      </c>
      <c r="AU339" s="76"/>
      <c r="AV339" s="76"/>
      <c r="AW339" s="76"/>
      <c r="AX339" s="76"/>
      <c r="AY339" s="76"/>
      <c r="AZ339" s="76"/>
      <c r="BA339" s="76"/>
      <c r="BB339" s="76"/>
      <c r="BC339">
        <v>13</v>
      </c>
      <c r="BD339" s="75" t="str">
        <f>REPLACE(INDEX(GroupVertices[Group],MATCH(Edges[[#This Row],[Vertex 1]],GroupVertices[Vertex],0)),1,1,"")</f>
        <v>3</v>
      </c>
      <c r="BE339" s="75" t="str">
        <f>REPLACE(INDEX(GroupVertices[Group],MATCH(Edges[[#This Row],[Vertex 2]],GroupVertices[Vertex],0)),1,1,"")</f>
        <v>3</v>
      </c>
      <c r="BF339" s="45">
        <v>0</v>
      </c>
      <c r="BG339" s="46">
        <v>0</v>
      </c>
      <c r="BH339" s="45">
        <v>0</v>
      </c>
      <c r="BI339" s="46">
        <v>0</v>
      </c>
      <c r="BJ339" s="45">
        <v>0</v>
      </c>
      <c r="BK339" s="46">
        <v>0</v>
      </c>
      <c r="BL339" s="45">
        <v>20</v>
      </c>
      <c r="BM339" s="46">
        <v>100</v>
      </c>
      <c r="BN339" s="45">
        <v>20</v>
      </c>
    </row>
    <row r="340" spans="1:66" ht="15">
      <c r="A340" s="61" t="s">
        <v>414</v>
      </c>
      <c r="B340" s="61" t="s">
        <v>414</v>
      </c>
      <c r="C340" s="62" t="s">
        <v>4695</v>
      </c>
      <c r="D340" s="63">
        <v>10</v>
      </c>
      <c r="E340" s="62"/>
      <c r="F340" s="65">
        <v>15</v>
      </c>
      <c r="G340" s="62"/>
      <c r="H340" s="66"/>
      <c r="I340" s="67"/>
      <c r="J340" s="67"/>
      <c r="K340" s="31" t="s">
        <v>65</v>
      </c>
      <c r="L340" s="68">
        <v>340</v>
      </c>
      <c r="M340" s="68"/>
      <c r="N340" s="69"/>
      <c r="O340" s="76" t="s">
        <v>219</v>
      </c>
      <c r="P340" s="78">
        <v>44816.46512731481</v>
      </c>
      <c r="Q340" s="76" t="s">
        <v>713</v>
      </c>
      <c r="R340" s="76"/>
      <c r="S340" s="76"/>
      <c r="T340" s="81" t="s">
        <v>819</v>
      </c>
      <c r="U340" s="79" t="str">
        <f>HYPERLINK("https://pbs.twimg.com/ext_tw_video_thumb/1569282039861452802/pu/img/hpYkNNY2FvFNCj_Q.jpg")</f>
        <v>https://pbs.twimg.com/ext_tw_video_thumb/1569282039861452802/pu/img/hpYkNNY2FvFNCj_Q.jpg</v>
      </c>
      <c r="V340" s="79" t="str">
        <f>HYPERLINK("https://pbs.twimg.com/ext_tw_video_thumb/1569282039861452802/pu/img/hpYkNNY2FvFNCj_Q.jpg")</f>
        <v>https://pbs.twimg.com/ext_tw_video_thumb/1569282039861452802/pu/img/hpYkNNY2FvFNCj_Q.jpg</v>
      </c>
      <c r="W340" s="78">
        <v>44816.46512731481</v>
      </c>
      <c r="X340" s="84">
        <v>44816</v>
      </c>
      <c r="Y340" s="81" t="s">
        <v>1121</v>
      </c>
      <c r="Z340" s="79" t="str">
        <f>HYPERLINK("https://twitter.com/amaresyev/status/1569282120085913601")</f>
        <v>https://twitter.com/amaresyev/status/1569282120085913601</v>
      </c>
      <c r="AA340" s="76"/>
      <c r="AB340" s="76"/>
      <c r="AC340" s="81" t="s">
        <v>1452</v>
      </c>
      <c r="AD340" s="76"/>
      <c r="AE340" s="76" t="b">
        <v>0</v>
      </c>
      <c r="AF340" s="76">
        <v>17</v>
      </c>
      <c r="AG340" s="81" t="s">
        <v>1674</v>
      </c>
      <c r="AH340" s="76" t="b">
        <v>0</v>
      </c>
      <c r="AI340" s="76" t="s">
        <v>1771</v>
      </c>
      <c r="AJ340" s="76"/>
      <c r="AK340" s="81" t="s">
        <v>1674</v>
      </c>
      <c r="AL340" s="76" t="b">
        <v>0</v>
      </c>
      <c r="AM340" s="76">
        <v>3</v>
      </c>
      <c r="AN340" s="81" t="s">
        <v>1674</v>
      </c>
      <c r="AO340" s="81" t="s">
        <v>1809</v>
      </c>
      <c r="AP340" s="76" t="b">
        <v>0</v>
      </c>
      <c r="AQ340" s="81" t="s">
        <v>1452</v>
      </c>
      <c r="AR340" s="76" t="s">
        <v>219</v>
      </c>
      <c r="AS340" s="76">
        <v>0</v>
      </c>
      <c r="AT340" s="76">
        <v>0</v>
      </c>
      <c r="AU340" s="76"/>
      <c r="AV340" s="76"/>
      <c r="AW340" s="76"/>
      <c r="AX340" s="76"/>
      <c r="AY340" s="76"/>
      <c r="AZ340" s="76"/>
      <c r="BA340" s="76"/>
      <c r="BB340" s="76"/>
      <c r="BC340">
        <v>13</v>
      </c>
      <c r="BD340" s="75" t="str">
        <f>REPLACE(INDEX(GroupVertices[Group],MATCH(Edges[[#This Row],[Vertex 1]],GroupVertices[Vertex],0)),1,1,"")</f>
        <v>3</v>
      </c>
      <c r="BE340" s="75" t="str">
        <f>REPLACE(INDEX(GroupVertices[Group],MATCH(Edges[[#This Row],[Vertex 2]],GroupVertices[Vertex],0)),1,1,"")</f>
        <v>3</v>
      </c>
      <c r="BF340" s="45">
        <v>0</v>
      </c>
      <c r="BG340" s="46">
        <v>0</v>
      </c>
      <c r="BH340" s="45">
        <v>0</v>
      </c>
      <c r="BI340" s="46">
        <v>0</v>
      </c>
      <c r="BJ340" s="45">
        <v>0</v>
      </c>
      <c r="BK340" s="46">
        <v>0</v>
      </c>
      <c r="BL340" s="45">
        <v>12</v>
      </c>
      <c r="BM340" s="46">
        <v>100</v>
      </c>
      <c r="BN340" s="45">
        <v>12</v>
      </c>
    </row>
    <row r="341" spans="1:66" ht="15">
      <c r="A341" s="61" t="s">
        <v>414</v>
      </c>
      <c r="B341" s="61" t="s">
        <v>497</v>
      </c>
      <c r="C341" s="62" t="s">
        <v>4688</v>
      </c>
      <c r="D341" s="63">
        <v>5</v>
      </c>
      <c r="E341" s="62"/>
      <c r="F341" s="65">
        <v>50</v>
      </c>
      <c r="G341" s="62"/>
      <c r="H341" s="66"/>
      <c r="I341" s="67"/>
      <c r="J341" s="67"/>
      <c r="K341" s="31" t="s">
        <v>65</v>
      </c>
      <c r="L341" s="68">
        <v>341</v>
      </c>
      <c r="M341" s="68"/>
      <c r="N341" s="69"/>
      <c r="O341" s="76" t="s">
        <v>588</v>
      </c>
      <c r="P341" s="78">
        <v>44816.55459490741</v>
      </c>
      <c r="Q341" s="76" t="s">
        <v>686</v>
      </c>
      <c r="R341" s="76"/>
      <c r="S341" s="76"/>
      <c r="T341" s="81" t="s">
        <v>842</v>
      </c>
      <c r="U341" s="79" t="str">
        <f>HYPERLINK("https://pbs.twimg.com/ext_tw_video_thumb/1569314489102630913/pu/img/BR0KDvRYMz2wMx5y.jpg")</f>
        <v>https://pbs.twimg.com/ext_tw_video_thumb/1569314489102630913/pu/img/BR0KDvRYMz2wMx5y.jpg</v>
      </c>
      <c r="V341" s="79" t="str">
        <f>HYPERLINK("https://pbs.twimg.com/ext_tw_video_thumb/1569314489102630913/pu/img/BR0KDvRYMz2wMx5y.jpg")</f>
        <v>https://pbs.twimg.com/ext_tw_video_thumb/1569314489102630913/pu/img/BR0KDvRYMz2wMx5y.jpg</v>
      </c>
      <c r="W341" s="78">
        <v>44816.55459490741</v>
      </c>
      <c r="X341" s="84">
        <v>44816</v>
      </c>
      <c r="Y341" s="81" t="s">
        <v>1122</v>
      </c>
      <c r="Z341" s="79" t="str">
        <f>HYPERLINK("https://twitter.com/amaresyev/status/1569314539979653120")</f>
        <v>https://twitter.com/amaresyev/status/1569314539979653120</v>
      </c>
      <c r="AA341" s="76"/>
      <c r="AB341" s="76"/>
      <c r="AC341" s="81" t="s">
        <v>1453</v>
      </c>
      <c r="AD341" s="76"/>
      <c r="AE341" s="76" t="b">
        <v>0</v>
      </c>
      <c r="AF341" s="76">
        <v>2</v>
      </c>
      <c r="AG341" s="81" t="s">
        <v>1674</v>
      </c>
      <c r="AH341" s="76" t="b">
        <v>0</v>
      </c>
      <c r="AI341" s="76" t="s">
        <v>1771</v>
      </c>
      <c r="AJ341" s="76"/>
      <c r="AK341" s="81" t="s">
        <v>1674</v>
      </c>
      <c r="AL341" s="76" t="b">
        <v>0</v>
      </c>
      <c r="AM341" s="76">
        <v>2</v>
      </c>
      <c r="AN341" s="81" t="s">
        <v>1674</v>
      </c>
      <c r="AO341" s="81" t="s">
        <v>1809</v>
      </c>
      <c r="AP341" s="76" t="b">
        <v>0</v>
      </c>
      <c r="AQ341" s="81" t="s">
        <v>1453</v>
      </c>
      <c r="AR341" s="76" t="s">
        <v>219</v>
      </c>
      <c r="AS341" s="76">
        <v>0</v>
      </c>
      <c r="AT341" s="76">
        <v>0</v>
      </c>
      <c r="AU341" s="76"/>
      <c r="AV341" s="76"/>
      <c r="AW341" s="76"/>
      <c r="AX341" s="76"/>
      <c r="AY341" s="76"/>
      <c r="AZ341" s="76"/>
      <c r="BA341" s="76"/>
      <c r="BB341" s="76"/>
      <c r="BC341">
        <v>1</v>
      </c>
      <c r="BD341" s="75" t="str">
        <f>REPLACE(INDEX(GroupVertices[Group],MATCH(Edges[[#This Row],[Vertex 1]],GroupVertices[Vertex],0)),1,1,"")</f>
        <v>3</v>
      </c>
      <c r="BE341" s="75" t="str">
        <f>REPLACE(INDEX(GroupVertices[Group],MATCH(Edges[[#This Row],[Vertex 2]],GroupVertices[Vertex],0)),1,1,"")</f>
        <v>3</v>
      </c>
      <c r="BF341" s="45">
        <v>0</v>
      </c>
      <c r="BG341" s="46">
        <v>0</v>
      </c>
      <c r="BH341" s="45">
        <v>0</v>
      </c>
      <c r="BI341" s="46">
        <v>0</v>
      </c>
      <c r="BJ341" s="45">
        <v>0</v>
      </c>
      <c r="BK341" s="46">
        <v>0</v>
      </c>
      <c r="BL341" s="45">
        <v>9</v>
      </c>
      <c r="BM341" s="46">
        <v>100</v>
      </c>
      <c r="BN341" s="45">
        <v>9</v>
      </c>
    </row>
    <row r="342" spans="1:66" ht="15">
      <c r="A342" s="61" t="s">
        <v>414</v>
      </c>
      <c r="B342" s="61" t="s">
        <v>414</v>
      </c>
      <c r="C342" s="62" t="s">
        <v>4695</v>
      </c>
      <c r="D342" s="63">
        <v>10</v>
      </c>
      <c r="E342" s="62"/>
      <c r="F342" s="65">
        <v>15</v>
      </c>
      <c r="G342" s="62"/>
      <c r="H342" s="66"/>
      <c r="I342" s="67"/>
      <c r="J342" s="67"/>
      <c r="K342" s="31" t="s">
        <v>65</v>
      </c>
      <c r="L342" s="68">
        <v>342</v>
      </c>
      <c r="M342" s="68"/>
      <c r="N342" s="69"/>
      <c r="O342" s="76" t="s">
        <v>219</v>
      </c>
      <c r="P342" s="78">
        <v>44817.53082175926</v>
      </c>
      <c r="Q342" s="76" t="s">
        <v>687</v>
      </c>
      <c r="R342" s="76"/>
      <c r="S342" s="76"/>
      <c r="T342" s="81" t="s">
        <v>843</v>
      </c>
      <c r="U342" s="79" t="str">
        <f>HYPERLINK("https://pbs.twimg.com/media/FciVAscX0AA7C40.jpg")</f>
        <v>https://pbs.twimg.com/media/FciVAscX0AA7C40.jpg</v>
      </c>
      <c r="V342" s="79" t="str">
        <f>HYPERLINK("https://pbs.twimg.com/media/FciVAscX0AA7C40.jpg")</f>
        <v>https://pbs.twimg.com/media/FciVAscX0AA7C40.jpg</v>
      </c>
      <c r="W342" s="78">
        <v>44817.53082175926</v>
      </c>
      <c r="X342" s="84">
        <v>44817</v>
      </c>
      <c r="Y342" s="81" t="s">
        <v>1123</v>
      </c>
      <c r="Z342" s="79" t="str">
        <f>HYPERLINK("https://twitter.com/amaresyev/status/1569668314779250688")</f>
        <v>https://twitter.com/amaresyev/status/1569668314779250688</v>
      </c>
      <c r="AA342" s="76"/>
      <c r="AB342" s="76"/>
      <c r="AC342" s="81" t="s">
        <v>1454</v>
      </c>
      <c r="AD342" s="76"/>
      <c r="AE342" s="76" t="b">
        <v>0</v>
      </c>
      <c r="AF342" s="76">
        <v>7</v>
      </c>
      <c r="AG342" s="81" t="s">
        <v>1674</v>
      </c>
      <c r="AH342" s="76" t="b">
        <v>0</v>
      </c>
      <c r="AI342" s="76" t="s">
        <v>1771</v>
      </c>
      <c r="AJ342" s="76"/>
      <c r="AK342" s="81" t="s">
        <v>1674</v>
      </c>
      <c r="AL342" s="76" t="b">
        <v>0</v>
      </c>
      <c r="AM342" s="76">
        <v>2</v>
      </c>
      <c r="AN342" s="81" t="s">
        <v>1674</v>
      </c>
      <c r="AO342" s="81" t="s">
        <v>1809</v>
      </c>
      <c r="AP342" s="76" t="b">
        <v>0</v>
      </c>
      <c r="AQ342" s="81" t="s">
        <v>1454</v>
      </c>
      <c r="AR342" s="76" t="s">
        <v>219</v>
      </c>
      <c r="AS342" s="76">
        <v>0</v>
      </c>
      <c r="AT342" s="76">
        <v>0</v>
      </c>
      <c r="AU342" s="76"/>
      <c r="AV342" s="76"/>
      <c r="AW342" s="76"/>
      <c r="AX342" s="76"/>
      <c r="AY342" s="76"/>
      <c r="AZ342" s="76"/>
      <c r="BA342" s="76"/>
      <c r="BB342" s="76"/>
      <c r="BC342">
        <v>13</v>
      </c>
      <c r="BD342" s="75" t="str">
        <f>REPLACE(INDEX(GroupVertices[Group],MATCH(Edges[[#This Row],[Vertex 1]],GroupVertices[Vertex],0)),1,1,"")</f>
        <v>3</v>
      </c>
      <c r="BE342" s="75" t="str">
        <f>REPLACE(INDEX(GroupVertices[Group],MATCH(Edges[[#This Row],[Vertex 2]],GroupVertices[Vertex],0)),1,1,"")</f>
        <v>3</v>
      </c>
      <c r="BF342" s="45">
        <v>0</v>
      </c>
      <c r="BG342" s="46">
        <v>0</v>
      </c>
      <c r="BH342" s="45">
        <v>0</v>
      </c>
      <c r="BI342" s="46">
        <v>0</v>
      </c>
      <c r="BJ342" s="45">
        <v>0</v>
      </c>
      <c r="BK342" s="46">
        <v>0</v>
      </c>
      <c r="BL342" s="45">
        <v>13</v>
      </c>
      <c r="BM342" s="46">
        <v>100</v>
      </c>
      <c r="BN342" s="45">
        <v>13</v>
      </c>
    </row>
    <row r="343" spans="1:66" ht="15">
      <c r="A343" s="61" t="s">
        <v>414</v>
      </c>
      <c r="B343" s="61" t="s">
        <v>414</v>
      </c>
      <c r="C343" s="62" t="s">
        <v>4695</v>
      </c>
      <c r="D343" s="63">
        <v>10</v>
      </c>
      <c r="E343" s="62"/>
      <c r="F343" s="65">
        <v>15</v>
      </c>
      <c r="G343" s="62"/>
      <c r="H343" s="66"/>
      <c r="I343" s="67"/>
      <c r="J343" s="67"/>
      <c r="K343" s="31" t="s">
        <v>65</v>
      </c>
      <c r="L343" s="68">
        <v>343</v>
      </c>
      <c r="M343" s="68"/>
      <c r="N343" s="69"/>
      <c r="O343" s="76" t="s">
        <v>219</v>
      </c>
      <c r="P343" s="78">
        <v>44817.70679398148</v>
      </c>
      <c r="Q343" s="76" t="s">
        <v>720</v>
      </c>
      <c r="R343" s="76"/>
      <c r="S343" s="76"/>
      <c r="T343" s="81" t="s">
        <v>842</v>
      </c>
      <c r="U343" s="76"/>
      <c r="V343" s="79" t="str">
        <f>HYPERLINK("https://pbs.twimg.com/profile_images/1560409371443609601/2g7dKEs0_normal.jpg")</f>
        <v>https://pbs.twimg.com/profile_images/1560409371443609601/2g7dKEs0_normal.jpg</v>
      </c>
      <c r="W343" s="78">
        <v>44817.70679398148</v>
      </c>
      <c r="X343" s="84">
        <v>44817</v>
      </c>
      <c r="Y343" s="81" t="s">
        <v>1124</v>
      </c>
      <c r="Z343" s="79" t="str">
        <f>HYPERLINK("https://twitter.com/amaresyev/status/1569732083781713920")</f>
        <v>https://twitter.com/amaresyev/status/1569732083781713920</v>
      </c>
      <c r="AA343" s="76"/>
      <c r="AB343" s="76"/>
      <c r="AC343" s="81" t="s">
        <v>1455</v>
      </c>
      <c r="AD343" s="81" t="s">
        <v>1633</v>
      </c>
      <c r="AE343" s="76" t="b">
        <v>0</v>
      </c>
      <c r="AF343" s="76">
        <v>3</v>
      </c>
      <c r="AG343" s="81" t="s">
        <v>1738</v>
      </c>
      <c r="AH343" s="76" t="b">
        <v>0</v>
      </c>
      <c r="AI343" s="76" t="s">
        <v>1771</v>
      </c>
      <c r="AJ343" s="76"/>
      <c r="AK343" s="81" t="s">
        <v>1674</v>
      </c>
      <c r="AL343" s="76" t="b">
        <v>0</v>
      </c>
      <c r="AM343" s="76">
        <v>2</v>
      </c>
      <c r="AN343" s="81" t="s">
        <v>1674</v>
      </c>
      <c r="AO343" s="81" t="s">
        <v>1809</v>
      </c>
      <c r="AP343" s="76" t="b">
        <v>0</v>
      </c>
      <c r="AQ343" s="81" t="s">
        <v>1633</v>
      </c>
      <c r="AR343" s="76" t="s">
        <v>219</v>
      </c>
      <c r="AS343" s="76">
        <v>0</v>
      </c>
      <c r="AT343" s="76">
        <v>0</v>
      </c>
      <c r="AU343" s="76"/>
      <c r="AV343" s="76"/>
      <c r="AW343" s="76"/>
      <c r="AX343" s="76"/>
      <c r="AY343" s="76"/>
      <c r="AZ343" s="76"/>
      <c r="BA343" s="76"/>
      <c r="BB343" s="76"/>
      <c r="BC343">
        <v>13</v>
      </c>
      <c r="BD343" s="75" t="str">
        <f>REPLACE(INDEX(GroupVertices[Group],MATCH(Edges[[#This Row],[Vertex 1]],GroupVertices[Vertex],0)),1,1,"")</f>
        <v>3</v>
      </c>
      <c r="BE343" s="75" t="str">
        <f>REPLACE(INDEX(GroupVertices[Group],MATCH(Edges[[#This Row],[Vertex 2]],GroupVertices[Vertex],0)),1,1,"")</f>
        <v>3</v>
      </c>
      <c r="BF343" s="45">
        <v>0</v>
      </c>
      <c r="BG343" s="46">
        <v>0</v>
      </c>
      <c r="BH343" s="45">
        <v>0</v>
      </c>
      <c r="BI343" s="46">
        <v>0</v>
      </c>
      <c r="BJ343" s="45">
        <v>0</v>
      </c>
      <c r="BK343" s="46">
        <v>0</v>
      </c>
      <c r="BL343" s="45">
        <v>31</v>
      </c>
      <c r="BM343" s="46">
        <v>100</v>
      </c>
      <c r="BN343" s="45">
        <v>31</v>
      </c>
    </row>
    <row r="344" spans="1:66" ht="15">
      <c r="A344" s="61" t="s">
        <v>414</v>
      </c>
      <c r="B344" s="61" t="s">
        <v>414</v>
      </c>
      <c r="C344" s="62" t="s">
        <v>4695</v>
      </c>
      <c r="D344" s="63">
        <v>10</v>
      </c>
      <c r="E344" s="62"/>
      <c r="F344" s="65">
        <v>15</v>
      </c>
      <c r="G344" s="62"/>
      <c r="H344" s="66"/>
      <c r="I344" s="67"/>
      <c r="J344" s="67"/>
      <c r="K344" s="31" t="s">
        <v>65</v>
      </c>
      <c r="L344" s="68">
        <v>344</v>
      </c>
      <c r="M344" s="68"/>
      <c r="N344" s="69"/>
      <c r="O344" s="76" t="s">
        <v>219</v>
      </c>
      <c r="P344" s="78">
        <v>44818.44868055556</v>
      </c>
      <c r="Q344" s="76" t="s">
        <v>702</v>
      </c>
      <c r="R344" s="76"/>
      <c r="S344" s="76"/>
      <c r="T344" s="81" t="s">
        <v>850</v>
      </c>
      <c r="U344" s="79" t="str">
        <f>HYPERLINK("https://pbs.twimg.com/media/FcnDhrKWQAAs5gQ.jpg")</f>
        <v>https://pbs.twimg.com/media/FcnDhrKWQAAs5gQ.jpg</v>
      </c>
      <c r="V344" s="79" t="str">
        <f>HYPERLINK("https://pbs.twimg.com/media/FcnDhrKWQAAs5gQ.jpg")</f>
        <v>https://pbs.twimg.com/media/FcnDhrKWQAAs5gQ.jpg</v>
      </c>
      <c r="W344" s="78">
        <v>44818.44868055556</v>
      </c>
      <c r="X344" s="84">
        <v>44818</v>
      </c>
      <c r="Y344" s="81" t="s">
        <v>1125</v>
      </c>
      <c r="Z344" s="79" t="str">
        <f>HYPERLINK("https://twitter.com/amaresyev/status/1570000935769735168")</f>
        <v>https://twitter.com/amaresyev/status/1570000935769735168</v>
      </c>
      <c r="AA344" s="76"/>
      <c r="AB344" s="76"/>
      <c r="AC344" s="81" t="s">
        <v>1456</v>
      </c>
      <c r="AD344" s="76"/>
      <c r="AE344" s="76" t="b">
        <v>0</v>
      </c>
      <c r="AF344" s="76">
        <v>8</v>
      </c>
      <c r="AG344" s="81" t="s">
        <v>1674</v>
      </c>
      <c r="AH344" s="76" t="b">
        <v>0</v>
      </c>
      <c r="AI344" s="76" t="s">
        <v>1771</v>
      </c>
      <c r="AJ344" s="76"/>
      <c r="AK344" s="81" t="s">
        <v>1674</v>
      </c>
      <c r="AL344" s="76" t="b">
        <v>0</v>
      </c>
      <c r="AM344" s="76">
        <v>2</v>
      </c>
      <c r="AN344" s="81" t="s">
        <v>1674</v>
      </c>
      <c r="AO344" s="81" t="s">
        <v>1809</v>
      </c>
      <c r="AP344" s="76" t="b">
        <v>0</v>
      </c>
      <c r="AQ344" s="81" t="s">
        <v>1456</v>
      </c>
      <c r="AR344" s="76" t="s">
        <v>219</v>
      </c>
      <c r="AS344" s="76">
        <v>0</v>
      </c>
      <c r="AT344" s="76">
        <v>0</v>
      </c>
      <c r="AU344" s="76"/>
      <c r="AV344" s="76"/>
      <c r="AW344" s="76"/>
      <c r="AX344" s="76"/>
      <c r="AY344" s="76"/>
      <c r="AZ344" s="76"/>
      <c r="BA344" s="76"/>
      <c r="BB344" s="76"/>
      <c r="BC344">
        <v>13</v>
      </c>
      <c r="BD344" s="75" t="str">
        <f>REPLACE(INDEX(GroupVertices[Group],MATCH(Edges[[#This Row],[Vertex 1]],GroupVertices[Vertex],0)),1,1,"")</f>
        <v>3</v>
      </c>
      <c r="BE344" s="75" t="str">
        <f>REPLACE(INDEX(GroupVertices[Group],MATCH(Edges[[#This Row],[Vertex 2]],GroupVertices[Vertex],0)),1,1,"")</f>
        <v>3</v>
      </c>
      <c r="BF344" s="45">
        <v>0</v>
      </c>
      <c r="BG344" s="46">
        <v>0</v>
      </c>
      <c r="BH344" s="45">
        <v>0</v>
      </c>
      <c r="BI344" s="46">
        <v>0</v>
      </c>
      <c r="BJ344" s="45">
        <v>0</v>
      </c>
      <c r="BK344" s="46">
        <v>0</v>
      </c>
      <c r="BL344" s="45">
        <v>17</v>
      </c>
      <c r="BM344" s="46">
        <v>100</v>
      </c>
      <c r="BN344" s="45">
        <v>17</v>
      </c>
    </row>
    <row r="345" spans="1:66" ht="15">
      <c r="A345" s="61" t="s">
        <v>414</v>
      </c>
      <c r="B345" s="61" t="s">
        <v>414</v>
      </c>
      <c r="C345" s="62" t="s">
        <v>4695</v>
      </c>
      <c r="D345" s="63">
        <v>10</v>
      </c>
      <c r="E345" s="62"/>
      <c r="F345" s="65">
        <v>15</v>
      </c>
      <c r="G345" s="62"/>
      <c r="H345" s="66"/>
      <c r="I345" s="67"/>
      <c r="J345" s="67"/>
      <c r="K345" s="31" t="s">
        <v>65</v>
      </c>
      <c r="L345" s="68">
        <v>345</v>
      </c>
      <c r="M345" s="68"/>
      <c r="N345" s="69"/>
      <c r="O345" s="76" t="s">
        <v>219</v>
      </c>
      <c r="P345" s="78">
        <v>44818.61817129629</v>
      </c>
      <c r="Q345" s="76" t="s">
        <v>703</v>
      </c>
      <c r="R345" s="76"/>
      <c r="S345" s="76"/>
      <c r="T345" s="81" t="s">
        <v>842</v>
      </c>
      <c r="U345" s="79" t="str">
        <f>HYPERLINK("https://pbs.twimg.com/ext_tw_video_thumb/1570062212479287298/pu/img/ECVQJFVi9S35pAcj.jpg")</f>
        <v>https://pbs.twimg.com/ext_tw_video_thumb/1570062212479287298/pu/img/ECVQJFVi9S35pAcj.jpg</v>
      </c>
      <c r="V345" s="79" t="str">
        <f>HYPERLINK("https://pbs.twimg.com/ext_tw_video_thumb/1570062212479287298/pu/img/ECVQJFVi9S35pAcj.jpg")</f>
        <v>https://pbs.twimg.com/ext_tw_video_thumb/1570062212479287298/pu/img/ECVQJFVi9S35pAcj.jpg</v>
      </c>
      <c r="W345" s="78">
        <v>44818.61817129629</v>
      </c>
      <c r="X345" s="84">
        <v>44818</v>
      </c>
      <c r="Y345" s="81" t="s">
        <v>1126</v>
      </c>
      <c r="Z345" s="79" t="str">
        <f>HYPERLINK("https://twitter.com/amaresyev/status/1570062353781198848")</f>
        <v>https://twitter.com/amaresyev/status/1570062353781198848</v>
      </c>
      <c r="AA345" s="76"/>
      <c r="AB345" s="76"/>
      <c r="AC345" s="81" t="s">
        <v>1457</v>
      </c>
      <c r="AD345" s="76"/>
      <c r="AE345" s="76" t="b">
        <v>0</v>
      </c>
      <c r="AF345" s="76">
        <v>45</v>
      </c>
      <c r="AG345" s="81" t="s">
        <v>1674</v>
      </c>
      <c r="AH345" s="76" t="b">
        <v>0</v>
      </c>
      <c r="AI345" s="76" t="s">
        <v>1771</v>
      </c>
      <c r="AJ345" s="76"/>
      <c r="AK345" s="81" t="s">
        <v>1674</v>
      </c>
      <c r="AL345" s="76" t="b">
        <v>0</v>
      </c>
      <c r="AM345" s="76">
        <v>8</v>
      </c>
      <c r="AN345" s="81" t="s">
        <v>1674</v>
      </c>
      <c r="AO345" s="81" t="s">
        <v>1809</v>
      </c>
      <c r="AP345" s="76" t="b">
        <v>0</v>
      </c>
      <c r="AQ345" s="81" t="s">
        <v>1457</v>
      </c>
      <c r="AR345" s="76" t="s">
        <v>219</v>
      </c>
      <c r="AS345" s="76">
        <v>0</v>
      </c>
      <c r="AT345" s="76">
        <v>0</v>
      </c>
      <c r="AU345" s="76"/>
      <c r="AV345" s="76"/>
      <c r="AW345" s="76"/>
      <c r="AX345" s="76"/>
      <c r="AY345" s="76"/>
      <c r="AZ345" s="76"/>
      <c r="BA345" s="76"/>
      <c r="BB345" s="76"/>
      <c r="BC345">
        <v>13</v>
      </c>
      <c r="BD345" s="75" t="str">
        <f>REPLACE(INDEX(GroupVertices[Group],MATCH(Edges[[#This Row],[Vertex 1]],GroupVertices[Vertex],0)),1,1,"")</f>
        <v>3</v>
      </c>
      <c r="BE345" s="75" t="str">
        <f>REPLACE(INDEX(GroupVertices[Group],MATCH(Edges[[#This Row],[Vertex 2]],GroupVertices[Vertex],0)),1,1,"")</f>
        <v>3</v>
      </c>
      <c r="BF345" s="45">
        <v>0</v>
      </c>
      <c r="BG345" s="46">
        <v>0</v>
      </c>
      <c r="BH345" s="45">
        <v>0</v>
      </c>
      <c r="BI345" s="46">
        <v>0</v>
      </c>
      <c r="BJ345" s="45">
        <v>0</v>
      </c>
      <c r="BK345" s="46">
        <v>0</v>
      </c>
      <c r="BL345" s="45">
        <v>7</v>
      </c>
      <c r="BM345" s="46">
        <v>100</v>
      </c>
      <c r="BN345" s="45">
        <v>7</v>
      </c>
    </row>
    <row r="346" spans="1:66" ht="15">
      <c r="A346" s="61" t="s">
        <v>414</v>
      </c>
      <c r="B346" s="61" t="s">
        <v>414</v>
      </c>
      <c r="C346" s="62" t="s">
        <v>4695</v>
      </c>
      <c r="D346" s="63">
        <v>10</v>
      </c>
      <c r="E346" s="62"/>
      <c r="F346" s="65">
        <v>15</v>
      </c>
      <c r="G346" s="62"/>
      <c r="H346" s="66"/>
      <c r="I346" s="67"/>
      <c r="J346" s="67"/>
      <c r="K346" s="31" t="s">
        <v>65</v>
      </c>
      <c r="L346" s="68">
        <v>346</v>
      </c>
      <c r="M346" s="68"/>
      <c r="N346" s="69"/>
      <c r="O346" s="76" t="s">
        <v>219</v>
      </c>
      <c r="P346" s="78">
        <v>44818.66540509259</v>
      </c>
      <c r="Q346" s="76" t="s">
        <v>711</v>
      </c>
      <c r="R346" s="76"/>
      <c r="S346" s="76"/>
      <c r="T346" s="81" t="s">
        <v>795</v>
      </c>
      <c r="U346" s="79" t="str">
        <f>HYPERLINK("https://pbs.twimg.com/ext_tw_video_thumb/1570079315068424192/pu/img/yVxrXvHEmivLuWgt.jpg")</f>
        <v>https://pbs.twimg.com/ext_tw_video_thumb/1570079315068424192/pu/img/yVxrXvHEmivLuWgt.jpg</v>
      </c>
      <c r="V346" s="79" t="str">
        <f>HYPERLINK("https://pbs.twimg.com/ext_tw_video_thumb/1570079315068424192/pu/img/yVxrXvHEmivLuWgt.jpg")</f>
        <v>https://pbs.twimg.com/ext_tw_video_thumb/1570079315068424192/pu/img/yVxrXvHEmivLuWgt.jpg</v>
      </c>
      <c r="W346" s="78">
        <v>44818.66540509259</v>
      </c>
      <c r="X346" s="84">
        <v>44818</v>
      </c>
      <c r="Y346" s="81" t="s">
        <v>1127</v>
      </c>
      <c r="Z346" s="79" t="str">
        <f>HYPERLINK("https://twitter.com/amaresyev/status/1570079470417215488")</f>
        <v>https://twitter.com/amaresyev/status/1570079470417215488</v>
      </c>
      <c r="AA346" s="76"/>
      <c r="AB346" s="76"/>
      <c r="AC346" s="81" t="s">
        <v>1458</v>
      </c>
      <c r="AD346" s="76"/>
      <c r="AE346" s="76" t="b">
        <v>0</v>
      </c>
      <c r="AF346" s="76">
        <v>8</v>
      </c>
      <c r="AG346" s="81" t="s">
        <v>1674</v>
      </c>
      <c r="AH346" s="76" t="b">
        <v>0</v>
      </c>
      <c r="AI346" s="76" t="s">
        <v>1771</v>
      </c>
      <c r="AJ346" s="76"/>
      <c r="AK346" s="81" t="s">
        <v>1674</v>
      </c>
      <c r="AL346" s="76" t="b">
        <v>0</v>
      </c>
      <c r="AM346" s="76">
        <v>2</v>
      </c>
      <c r="AN346" s="81" t="s">
        <v>1674</v>
      </c>
      <c r="AO346" s="81" t="s">
        <v>1809</v>
      </c>
      <c r="AP346" s="76" t="b">
        <v>0</v>
      </c>
      <c r="AQ346" s="81" t="s">
        <v>1458</v>
      </c>
      <c r="AR346" s="76" t="s">
        <v>219</v>
      </c>
      <c r="AS346" s="76">
        <v>0</v>
      </c>
      <c r="AT346" s="76">
        <v>0</v>
      </c>
      <c r="AU346" s="76"/>
      <c r="AV346" s="76"/>
      <c r="AW346" s="76"/>
      <c r="AX346" s="76"/>
      <c r="AY346" s="76"/>
      <c r="AZ346" s="76"/>
      <c r="BA346" s="76"/>
      <c r="BB346" s="76"/>
      <c r="BC346">
        <v>13</v>
      </c>
      <c r="BD346" s="75" t="str">
        <f>REPLACE(INDEX(GroupVertices[Group],MATCH(Edges[[#This Row],[Vertex 1]],GroupVertices[Vertex],0)),1,1,"")</f>
        <v>3</v>
      </c>
      <c r="BE346" s="75" t="str">
        <f>REPLACE(INDEX(GroupVertices[Group],MATCH(Edges[[#This Row],[Vertex 2]],GroupVertices[Vertex],0)),1,1,"")</f>
        <v>3</v>
      </c>
      <c r="BF346" s="45">
        <v>0</v>
      </c>
      <c r="BG346" s="46">
        <v>0</v>
      </c>
      <c r="BH346" s="45">
        <v>0</v>
      </c>
      <c r="BI346" s="46">
        <v>0</v>
      </c>
      <c r="BJ346" s="45">
        <v>0</v>
      </c>
      <c r="BK346" s="46">
        <v>0</v>
      </c>
      <c r="BL346" s="45">
        <v>36</v>
      </c>
      <c r="BM346" s="46">
        <v>100</v>
      </c>
      <c r="BN346" s="45">
        <v>36</v>
      </c>
    </row>
    <row r="347" spans="1:66" ht="15">
      <c r="A347" s="61" t="s">
        <v>414</v>
      </c>
      <c r="B347" s="61" t="s">
        <v>414</v>
      </c>
      <c r="C347" s="62" t="s">
        <v>4695</v>
      </c>
      <c r="D347" s="63">
        <v>10</v>
      </c>
      <c r="E347" s="62"/>
      <c r="F347" s="65">
        <v>15</v>
      </c>
      <c r="G347" s="62"/>
      <c r="H347" s="66"/>
      <c r="I347" s="67"/>
      <c r="J347" s="67"/>
      <c r="K347" s="31" t="s">
        <v>65</v>
      </c>
      <c r="L347" s="68">
        <v>347</v>
      </c>
      <c r="M347" s="68"/>
      <c r="N347" s="69"/>
      <c r="O347" s="76" t="s">
        <v>219</v>
      </c>
      <c r="P347" s="78">
        <v>44818.793391203704</v>
      </c>
      <c r="Q347" s="76" t="s">
        <v>714</v>
      </c>
      <c r="R347" s="76"/>
      <c r="S347" s="76"/>
      <c r="T347" s="81" t="s">
        <v>857</v>
      </c>
      <c r="U347" s="79" t="str">
        <f>HYPERLINK("https://pbs.twimg.com/media/Fco1Im5WAAwCNtd.jpg")</f>
        <v>https://pbs.twimg.com/media/Fco1Im5WAAwCNtd.jpg</v>
      </c>
      <c r="V347" s="79" t="str">
        <f>HYPERLINK("https://pbs.twimg.com/media/Fco1Im5WAAwCNtd.jpg")</f>
        <v>https://pbs.twimg.com/media/Fco1Im5WAAwCNtd.jpg</v>
      </c>
      <c r="W347" s="78">
        <v>44818.793391203704</v>
      </c>
      <c r="X347" s="84">
        <v>44818</v>
      </c>
      <c r="Y347" s="81" t="s">
        <v>1128</v>
      </c>
      <c r="Z347" s="79" t="str">
        <f>HYPERLINK("https://twitter.com/amaresyev/status/1570125851999764480")</f>
        <v>https://twitter.com/amaresyev/status/1570125851999764480</v>
      </c>
      <c r="AA347" s="76"/>
      <c r="AB347" s="76"/>
      <c r="AC347" s="81" t="s">
        <v>1459</v>
      </c>
      <c r="AD347" s="76"/>
      <c r="AE347" s="76" t="b">
        <v>0</v>
      </c>
      <c r="AF347" s="76">
        <v>20</v>
      </c>
      <c r="AG347" s="81" t="s">
        <v>1674</v>
      </c>
      <c r="AH347" s="76" t="b">
        <v>0</v>
      </c>
      <c r="AI347" s="76" t="s">
        <v>1783</v>
      </c>
      <c r="AJ347" s="76"/>
      <c r="AK347" s="81" t="s">
        <v>1674</v>
      </c>
      <c r="AL347" s="76" t="b">
        <v>0</v>
      </c>
      <c r="AM347" s="76">
        <v>3</v>
      </c>
      <c r="AN347" s="81" t="s">
        <v>1674</v>
      </c>
      <c r="AO347" s="81" t="s">
        <v>1809</v>
      </c>
      <c r="AP347" s="76" t="b">
        <v>0</v>
      </c>
      <c r="AQ347" s="81" t="s">
        <v>1459</v>
      </c>
      <c r="AR347" s="76" t="s">
        <v>219</v>
      </c>
      <c r="AS347" s="76">
        <v>0</v>
      </c>
      <c r="AT347" s="76">
        <v>0</v>
      </c>
      <c r="AU347" s="76"/>
      <c r="AV347" s="76"/>
      <c r="AW347" s="76"/>
      <c r="AX347" s="76"/>
      <c r="AY347" s="76"/>
      <c r="AZ347" s="76"/>
      <c r="BA347" s="76"/>
      <c r="BB347" s="76"/>
      <c r="BC347">
        <v>13</v>
      </c>
      <c r="BD347" s="75" t="str">
        <f>REPLACE(INDEX(GroupVertices[Group],MATCH(Edges[[#This Row],[Vertex 1]],GroupVertices[Vertex],0)),1,1,"")</f>
        <v>3</v>
      </c>
      <c r="BE347" s="75" t="str">
        <f>REPLACE(INDEX(GroupVertices[Group],MATCH(Edges[[#This Row],[Vertex 2]],GroupVertices[Vertex],0)),1,1,"")</f>
        <v>3</v>
      </c>
      <c r="BF347" s="45">
        <v>0</v>
      </c>
      <c r="BG347" s="46">
        <v>0</v>
      </c>
      <c r="BH347" s="45">
        <v>0</v>
      </c>
      <c r="BI347" s="46">
        <v>0</v>
      </c>
      <c r="BJ347" s="45">
        <v>0</v>
      </c>
      <c r="BK347" s="46">
        <v>0</v>
      </c>
      <c r="BL347" s="45">
        <v>5</v>
      </c>
      <c r="BM347" s="46">
        <v>100</v>
      </c>
      <c r="BN347" s="45">
        <v>5</v>
      </c>
    </row>
    <row r="348" spans="1:66" ht="15">
      <c r="A348" s="61" t="s">
        <v>414</v>
      </c>
      <c r="B348" s="61" t="s">
        <v>414</v>
      </c>
      <c r="C348" s="62" t="s">
        <v>4695</v>
      </c>
      <c r="D348" s="63">
        <v>10</v>
      </c>
      <c r="E348" s="62"/>
      <c r="F348" s="65">
        <v>15</v>
      </c>
      <c r="G348" s="62"/>
      <c r="H348" s="66"/>
      <c r="I348" s="67"/>
      <c r="J348" s="67"/>
      <c r="K348" s="31" t="s">
        <v>65</v>
      </c>
      <c r="L348" s="68">
        <v>348</v>
      </c>
      <c r="M348" s="68"/>
      <c r="N348" s="69"/>
      <c r="O348" s="76" t="s">
        <v>219</v>
      </c>
      <c r="P348" s="78">
        <v>44818.942199074074</v>
      </c>
      <c r="Q348" s="76" t="s">
        <v>716</v>
      </c>
      <c r="R348" s="76"/>
      <c r="S348" s="76"/>
      <c r="T348" s="81" t="s">
        <v>819</v>
      </c>
      <c r="U348" s="79" t="str">
        <f>HYPERLINK("https://pbs.twimg.com/media/FcpmLrCWQAEizKT.jpg")</f>
        <v>https://pbs.twimg.com/media/FcpmLrCWQAEizKT.jpg</v>
      </c>
      <c r="V348" s="79" t="str">
        <f>HYPERLINK("https://pbs.twimg.com/media/FcpmLrCWQAEizKT.jpg")</f>
        <v>https://pbs.twimg.com/media/FcpmLrCWQAEizKT.jpg</v>
      </c>
      <c r="W348" s="78">
        <v>44818.942199074074</v>
      </c>
      <c r="X348" s="84">
        <v>44818</v>
      </c>
      <c r="Y348" s="81" t="s">
        <v>1129</v>
      </c>
      <c r="Z348" s="79" t="str">
        <f>HYPERLINK("https://twitter.com/amaresyev/status/1570179777172242436")</f>
        <v>https://twitter.com/amaresyev/status/1570179777172242436</v>
      </c>
      <c r="AA348" s="76"/>
      <c r="AB348" s="76"/>
      <c r="AC348" s="81" t="s">
        <v>1460</v>
      </c>
      <c r="AD348" s="76"/>
      <c r="AE348" s="76" t="b">
        <v>0</v>
      </c>
      <c r="AF348" s="76">
        <v>11</v>
      </c>
      <c r="AG348" s="81" t="s">
        <v>1674</v>
      </c>
      <c r="AH348" s="76" t="b">
        <v>0</v>
      </c>
      <c r="AI348" s="76" t="s">
        <v>1771</v>
      </c>
      <c r="AJ348" s="76"/>
      <c r="AK348" s="81" t="s">
        <v>1674</v>
      </c>
      <c r="AL348" s="76" t="b">
        <v>0</v>
      </c>
      <c r="AM348" s="76">
        <v>3</v>
      </c>
      <c r="AN348" s="81" t="s">
        <v>1674</v>
      </c>
      <c r="AO348" s="81" t="s">
        <v>1809</v>
      </c>
      <c r="AP348" s="76" t="b">
        <v>0</v>
      </c>
      <c r="AQ348" s="81" t="s">
        <v>1460</v>
      </c>
      <c r="AR348" s="76" t="s">
        <v>219</v>
      </c>
      <c r="AS348" s="76">
        <v>0</v>
      </c>
      <c r="AT348" s="76">
        <v>0</v>
      </c>
      <c r="AU348" s="76"/>
      <c r="AV348" s="76"/>
      <c r="AW348" s="76"/>
      <c r="AX348" s="76"/>
      <c r="AY348" s="76"/>
      <c r="AZ348" s="76"/>
      <c r="BA348" s="76"/>
      <c r="BB348" s="76"/>
      <c r="BC348">
        <v>13</v>
      </c>
      <c r="BD348" s="75" t="str">
        <f>REPLACE(INDEX(GroupVertices[Group],MATCH(Edges[[#This Row],[Vertex 1]],GroupVertices[Vertex],0)),1,1,"")</f>
        <v>3</v>
      </c>
      <c r="BE348" s="75" t="str">
        <f>REPLACE(INDEX(GroupVertices[Group],MATCH(Edges[[#This Row],[Vertex 2]],GroupVertices[Vertex],0)),1,1,"")</f>
        <v>3</v>
      </c>
      <c r="BF348" s="45">
        <v>0</v>
      </c>
      <c r="BG348" s="46">
        <v>0</v>
      </c>
      <c r="BH348" s="45">
        <v>0</v>
      </c>
      <c r="BI348" s="46">
        <v>0</v>
      </c>
      <c r="BJ348" s="45">
        <v>0</v>
      </c>
      <c r="BK348" s="46">
        <v>0</v>
      </c>
      <c r="BL348" s="45">
        <v>10</v>
      </c>
      <c r="BM348" s="46">
        <v>100</v>
      </c>
      <c r="BN348" s="45">
        <v>10</v>
      </c>
    </row>
    <row r="349" spans="1:66" ht="15">
      <c r="A349" s="61" t="s">
        <v>415</v>
      </c>
      <c r="B349" s="61" t="s">
        <v>414</v>
      </c>
      <c r="C349" s="62" t="s">
        <v>4688</v>
      </c>
      <c r="D349" s="63">
        <v>5</v>
      </c>
      <c r="E349" s="62"/>
      <c r="F349" s="65">
        <v>50</v>
      </c>
      <c r="G349" s="62"/>
      <c r="H349" s="66"/>
      <c r="I349" s="67"/>
      <c r="J349" s="67"/>
      <c r="K349" s="31" t="s">
        <v>65</v>
      </c>
      <c r="L349" s="68">
        <v>349</v>
      </c>
      <c r="M349" s="68"/>
      <c r="N349" s="69"/>
      <c r="O349" s="76" t="s">
        <v>586</v>
      </c>
      <c r="P349" s="78">
        <v>44819.488645833335</v>
      </c>
      <c r="Q349" s="76" t="s">
        <v>703</v>
      </c>
      <c r="R349" s="76"/>
      <c r="S349" s="76"/>
      <c r="T349" s="81" t="s">
        <v>842</v>
      </c>
      <c r="U349" s="79" t="str">
        <f>HYPERLINK("https://pbs.twimg.com/ext_tw_video_thumb/1570062212479287298/pu/img/ECVQJFVi9S35pAcj.jpg")</f>
        <v>https://pbs.twimg.com/ext_tw_video_thumb/1570062212479287298/pu/img/ECVQJFVi9S35pAcj.jpg</v>
      </c>
      <c r="V349" s="79" t="str">
        <f>HYPERLINK("https://pbs.twimg.com/ext_tw_video_thumb/1570062212479287298/pu/img/ECVQJFVi9S35pAcj.jpg")</f>
        <v>https://pbs.twimg.com/ext_tw_video_thumb/1570062212479287298/pu/img/ECVQJFVi9S35pAcj.jpg</v>
      </c>
      <c r="W349" s="78">
        <v>44819.488645833335</v>
      </c>
      <c r="X349" s="84">
        <v>44819</v>
      </c>
      <c r="Y349" s="81" t="s">
        <v>1130</v>
      </c>
      <c r="Z349" s="79" t="str">
        <f>HYPERLINK("https://twitter.com/furkane38029958/status/1570377802888925185")</f>
        <v>https://twitter.com/furkane38029958/status/1570377802888925185</v>
      </c>
      <c r="AA349" s="76"/>
      <c r="AB349" s="76"/>
      <c r="AC349" s="81" t="s">
        <v>1461</v>
      </c>
      <c r="AD349" s="76"/>
      <c r="AE349" s="76" t="b">
        <v>0</v>
      </c>
      <c r="AF349" s="76">
        <v>0</v>
      </c>
      <c r="AG349" s="81" t="s">
        <v>1674</v>
      </c>
      <c r="AH349" s="76" t="b">
        <v>0</v>
      </c>
      <c r="AI349" s="76" t="s">
        <v>1771</v>
      </c>
      <c r="AJ349" s="76"/>
      <c r="AK349" s="81" t="s">
        <v>1674</v>
      </c>
      <c r="AL349" s="76" t="b">
        <v>0</v>
      </c>
      <c r="AM349" s="76">
        <v>8</v>
      </c>
      <c r="AN349" s="81" t="s">
        <v>1457</v>
      </c>
      <c r="AO349" s="81" t="s">
        <v>1807</v>
      </c>
      <c r="AP349" s="76" t="b">
        <v>0</v>
      </c>
      <c r="AQ349" s="81" t="s">
        <v>1457</v>
      </c>
      <c r="AR349" s="76" t="s">
        <v>219</v>
      </c>
      <c r="AS349" s="76">
        <v>0</v>
      </c>
      <c r="AT349" s="76">
        <v>0</v>
      </c>
      <c r="AU349" s="76"/>
      <c r="AV349" s="76"/>
      <c r="AW349" s="76"/>
      <c r="AX349" s="76"/>
      <c r="AY349" s="76"/>
      <c r="AZ349" s="76"/>
      <c r="BA349" s="76"/>
      <c r="BB349" s="76"/>
      <c r="BC349">
        <v>1</v>
      </c>
      <c r="BD349" s="75" t="str">
        <f>REPLACE(INDEX(GroupVertices[Group],MATCH(Edges[[#This Row],[Vertex 1]],GroupVertices[Vertex],0)),1,1,"")</f>
        <v>3</v>
      </c>
      <c r="BE349" s="75" t="str">
        <f>REPLACE(INDEX(GroupVertices[Group],MATCH(Edges[[#This Row],[Vertex 2]],GroupVertices[Vertex],0)),1,1,"")</f>
        <v>3</v>
      </c>
      <c r="BF349" s="45">
        <v>0</v>
      </c>
      <c r="BG349" s="46">
        <v>0</v>
      </c>
      <c r="BH349" s="45">
        <v>0</v>
      </c>
      <c r="BI349" s="46">
        <v>0</v>
      </c>
      <c r="BJ349" s="45">
        <v>0</v>
      </c>
      <c r="BK349" s="46">
        <v>0</v>
      </c>
      <c r="BL349" s="45">
        <v>7</v>
      </c>
      <c r="BM349" s="46">
        <v>100</v>
      </c>
      <c r="BN349" s="45">
        <v>7</v>
      </c>
    </row>
    <row r="350" spans="1:66" ht="15">
      <c r="A350" s="61" t="s">
        <v>416</v>
      </c>
      <c r="B350" s="61" t="s">
        <v>548</v>
      </c>
      <c r="C350" s="62" t="s">
        <v>4688</v>
      </c>
      <c r="D350" s="63">
        <v>5</v>
      </c>
      <c r="E350" s="62"/>
      <c r="F350" s="65">
        <v>50</v>
      </c>
      <c r="G350" s="62"/>
      <c r="H350" s="66"/>
      <c r="I350" s="67"/>
      <c r="J350" s="67"/>
      <c r="K350" s="31" t="s">
        <v>65</v>
      </c>
      <c r="L350" s="68">
        <v>350</v>
      </c>
      <c r="M350" s="68"/>
      <c r="N350" s="69"/>
      <c r="O350" s="76" t="s">
        <v>588</v>
      </c>
      <c r="P350" s="78">
        <v>44819.53134259259</v>
      </c>
      <c r="Q350" s="76" t="s">
        <v>729</v>
      </c>
      <c r="R350" s="76"/>
      <c r="S350" s="76"/>
      <c r="T350" s="81" t="s">
        <v>863</v>
      </c>
      <c r="U350" s="76"/>
      <c r="V350" s="79" t="str">
        <f>HYPERLINK("https://pbs.twimg.com/profile_images/1508251090029977611/WDRwpOWf_normal.jpg")</f>
        <v>https://pbs.twimg.com/profile_images/1508251090029977611/WDRwpOWf_normal.jpg</v>
      </c>
      <c r="W350" s="78">
        <v>44819.53134259259</v>
      </c>
      <c r="X350" s="84">
        <v>44819</v>
      </c>
      <c r="Y350" s="81" t="s">
        <v>1131</v>
      </c>
      <c r="Z350" s="79" t="str">
        <f>HYPERLINK("https://twitter.com/rapheluriel/status/1570393279325413377")</f>
        <v>https://twitter.com/rapheluriel/status/1570393279325413377</v>
      </c>
      <c r="AA350" s="76"/>
      <c r="AB350" s="76"/>
      <c r="AC350" s="81" t="s">
        <v>1462</v>
      </c>
      <c r="AD350" s="76"/>
      <c r="AE350" s="76" t="b">
        <v>0</v>
      </c>
      <c r="AF350" s="76">
        <v>0</v>
      </c>
      <c r="AG350" s="81" t="s">
        <v>1739</v>
      </c>
      <c r="AH350" s="76" t="b">
        <v>0</v>
      </c>
      <c r="AI350" s="76" t="s">
        <v>1772</v>
      </c>
      <c r="AJ350" s="76"/>
      <c r="AK350" s="81" t="s">
        <v>1674</v>
      </c>
      <c r="AL350" s="76" t="b">
        <v>0</v>
      </c>
      <c r="AM350" s="76">
        <v>0</v>
      </c>
      <c r="AN350" s="81" t="s">
        <v>1674</v>
      </c>
      <c r="AO350" s="81" t="s">
        <v>1807</v>
      </c>
      <c r="AP350" s="76" t="b">
        <v>0</v>
      </c>
      <c r="AQ350" s="81" t="s">
        <v>1462</v>
      </c>
      <c r="AR350" s="76" t="s">
        <v>219</v>
      </c>
      <c r="AS350" s="76">
        <v>0</v>
      </c>
      <c r="AT350" s="76">
        <v>0</v>
      </c>
      <c r="AU350" s="76"/>
      <c r="AV350" s="76"/>
      <c r="AW350" s="76"/>
      <c r="AX350" s="76"/>
      <c r="AY350" s="76"/>
      <c r="AZ350" s="76"/>
      <c r="BA350" s="76"/>
      <c r="BB350" s="76"/>
      <c r="BC350">
        <v>1</v>
      </c>
      <c r="BD350" s="75" t="str">
        <f>REPLACE(INDEX(GroupVertices[Group],MATCH(Edges[[#This Row],[Vertex 1]],GroupVertices[Vertex],0)),1,1,"")</f>
        <v>1</v>
      </c>
      <c r="BE350" s="75" t="str">
        <f>REPLACE(INDEX(GroupVertices[Group],MATCH(Edges[[#This Row],[Vertex 2]],GroupVertices[Vertex],0)),1,1,"")</f>
        <v>1</v>
      </c>
      <c r="BF350" s="45">
        <v>0</v>
      </c>
      <c r="BG350" s="46">
        <v>0</v>
      </c>
      <c r="BH350" s="45">
        <v>1</v>
      </c>
      <c r="BI350" s="46">
        <v>2.857142857142857</v>
      </c>
      <c r="BJ350" s="45">
        <v>0</v>
      </c>
      <c r="BK350" s="46">
        <v>0</v>
      </c>
      <c r="BL350" s="45">
        <v>34</v>
      </c>
      <c r="BM350" s="46">
        <v>97.14285714285714</v>
      </c>
      <c r="BN350" s="45">
        <v>35</v>
      </c>
    </row>
    <row r="351" spans="1:66" ht="15">
      <c r="A351" s="61" t="s">
        <v>416</v>
      </c>
      <c r="B351" s="61" t="s">
        <v>542</v>
      </c>
      <c r="C351" s="62" t="s">
        <v>4688</v>
      </c>
      <c r="D351" s="63">
        <v>5</v>
      </c>
      <c r="E351" s="62"/>
      <c r="F351" s="65">
        <v>50</v>
      </c>
      <c r="G351" s="62"/>
      <c r="H351" s="66"/>
      <c r="I351" s="67"/>
      <c r="J351" s="67"/>
      <c r="K351" s="31" t="s">
        <v>65</v>
      </c>
      <c r="L351" s="68">
        <v>351</v>
      </c>
      <c r="M351" s="68"/>
      <c r="N351" s="69"/>
      <c r="O351" s="76" t="s">
        <v>587</v>
      </c>
      <c r="P351" s="78">
        <v>44819.53134259259</v>
      </c>
      <c r="Q351" s="76" t="s">
        <v>729</v>
      </c>
      <c r="R351" s="76"/>
      <c r="S351" s="76"/>
      <c r="T351" s="81" t="s">
        <v>863</v>
      </c>
      <c r="U351" s="76"/>
      <c r="V351" s="79" t="str">
        <f>HYPERLINK("https://pbs.twimg.com/profile_images/1508251090029977611/WDRwpOWf_normal.jpg")</f>
        <v>https://pbs.twimg.com/profile_images/1508251090029977611/WDRwpOWf_normal.jpg</v>
      </c>
      <c r="W351" s="78">
        <v>44819.53134259259</v>
      </c>
      <c r="X351" s="84">
        <v>44819</v>
      </c>
      <c r="Y351" s="81" t="s">
        <v>1131</v>
      </c>
      <c r="Z351" s="79" t="str">
        <f>HYPERLINK("https://twitter.com/rapheluriel/status/1570393279325413377")</f>
        <v>https://twitter.com/rapheluriel/status/1570393279325413377</v>
      </c>
      <c r="AA351" s="76"/>
      <c r="AB351" s="76"/>
      <c r="AC351" s="81" t="s">
        <v>1462</v>
      </c>
      <c r="AD351" s="76"/>
      <c r="AE351" s="76" t="b">
        <v>0</v>
      </c>
      <c r="AF351" s="76">
        <v>0</v>
      </c>
      <c r="AG351" s="81" t="s">
        <v>1739</v>
      </c>
      <c r="AH351" s="76" t="b">
        <v>0</v>
      </c>
      <c r="AI351" s="76" t="s">
        <v>1772</v>
      </c>
      <c r="AJ351" s="76"/>
      <c r="AK351" s="81" t="s">
        <v>1674</v>
      </c>
      <c r="AL351" s="76" t="b">
        <v>0</v>
      </c>
      <c r="AM351" s="76">
        <v>0</v>
      </c>
      <c r="AN351" s="81" t="s">
        <v>1674</v>
      </c>
      <c r="AO351" s="81" t="s">
        <v>1807</v>
      </c>
      <c r="AP351" s="76" t="b">
        <v>0</v>
      </c>
      <c r="AQ351" s="81" t="s">
        <v>1462</v>
      </c>
      <c r="AR351" s="76" t="s">
        <v>219</v>
      </c>
      <c r="AS351" s="76">
        <v>0</v>
      </c>
      <c r="AT351" s="76">
        <v>0</v>
      </c>
      <c r="AU351" s="76"/>
      <c r="AV351" s="76"/>
      <c r="AW351" s="76"/>
      <c r="AX351" s="76"/>
      <c r="AY351" s="76"/>
      <c r="AZ351" s="76"/>
      <c r="BA351" s="76"/>
      <c r="BB351" s="76"/>
      <c r="BC351">
        <v>1</v>
      </c>
      <c r="BD351" s="75" t="str">
        <f>REPLACE(INDEX(GroupVertices[Group],MATCH(Edges[[#This Row],[Vertex 1]],GroupVertices[Vertex],0)),1,1,"")</f>
        <v>1</v>
      </c>
      <c r="BE351" s="75" t="str">
        <f>REPLACE(INDEX(GroupVertices[Group],MATCH(Edges[[#This Row],[Vertex 2]],GroupVertices[Vertex],0)),1,1,"")</f>
        <v>1</v>
      </c>
      <c r="BF351" s="45"/>
      <c r="BG351" s="46"/>
      <c r="BH351" s="45"/>
      <c r="BI351" s="46"/>
      <c r="BJ351" s="45"/>
      <c r="BK351" s="46"/>
      <c r="BL351" s="45"/>
      <c r="BM351" s="46"/>
      <c r="BN351" s="45"/>
    </row>
    <row r="352" spans="1:66" ht="15">
      <c r="A352" s="61" t="s">
        <v>417</v>
      </c>
      <c r="B352" s="61" t="s">
        <v>549</v>
      </c>
      <c r="C352" s="62" t="s">
        <v>4688</v>
      </c>
      <c r="D352" s="63">
        <v>5</v>
      </c>
      <c r="E352" s="62"/>
      <c r="F352" s="65">
        <v>50</v>
      </c>
      <c r="G352" s="62"/>
      <c r="H352" s="66"/>
      <c r="I352" s="67"/>
      <c r="J352" s="67"/>
      <c r="K352" s="31" t="s">
        <v>65</v>
      </c>
      <c r="L352" s="68">
        <v>352</v>
      </c>
      <c r="M352" s="68"/>
      <c r="N352" s="69"/>
      <c r="O352" s="76" t="s">
        <v>587</v>
      </c>
      <c r="P352" s="78">
        <v>44818.54833333333</v>
      </c>
      <c r="Q352" s="76" t="s">
        <v>730</v>
      </c>
      <c r="R352" s="76"/>
      <c r="S352" s="76"/>
      <c r="T352" s="81" t="s">
        <v>795</v>
      </c>
      <c r="U352" s="79" t="str">
        <f>HYPERLINK("https://pbs.twimg.com/media/FcnkRuvXkAI1huN.jpg")</f>
        <v>https://pbs.twimg.com/media/FcnkRuvXkAI1huN.jpg</v>
      </c>
      <c r="V352" s="79" t="str">
        <f>HYPERLINK("https://pbs.twimg.com/media/FcnkRuvXkAI1huN.jpg")</f>
        <v>https://pbs.twimg.com/media/FcnkRuvXkAI1huN.jpg</v>
      </c>
      <c r="W352" s="78">
        <v>44818.54833333333</v>
      </c>
      <c r="X352" s="84">
        <v>44818</v>
      </c>
      <c r="Y352" s="81" t="s">
        <v>1132</v>
      </c>
      <c r="Z352" s="79" t="str">
        <f>HYPERLINK("https://twitter.com/m4rcyu5/status/1570037048370774019")</f>
        <v>https://twitter.com/m4rcyu5/status/1570037048370774019</v>
      </c>
      <c r="AA352" s="76"/>
      <c r="AB352" s="76"/>
      <c r="AC352" s="81" t="s">
        <v>1463</v>
      </c>
      <c r="AD352" s="81" t="s">
        <v>1634</v>
      </c>
      <c r="AE352" s="76" t="b">
        <v>0</v>
      </c>
      <c r="AF352" s="76">
        <v>1</v>
      </c>
      <c r="AG352" s="81" t="s">
        <v>1740</v>
      </c>
      <c r="AH352" s="76" t="b">
        <v>0</v>
      </c>
      <c r="AI352" s="76" t="s">
        <v>1773</v>
      </c>
      <c r="AJ352" s="76"/>
      <c r="AK352" s="81" t="s">
        <v>1674</v>
      </c>
      <c r="AL352" s="76" t="b">
        <v>0</v>
      </c>
      <c r="AM352" s="76">
        <v>0</v>
      </c>
      <c r="AN352" s="81" t="s">
        <v>1674</v>
      </c>
      <c r="AO352" s="81" t="s">
        <v>1808</v>
      </c>
      <c r="AP352" s="76" t="b">
        <v>0</v>
      </c>
      <c r="AQ352" s="81" t="s">
        <v>1634</v>
      </c>
      <c r="AR352" s="76" t="s">
        <v>219</v>
      </c>
      <c r="AS352" s="76">
        <v>0</v>
      </c>
      <c r="AT352" s="76">
        <v>0</v>
      </c>
      <c r="AU352" s="76"/>
      <c r="AV352" s="76"/>
      <c r="AW352" s="76"/>
      <c r="AX352" s="76"/>
      <c r="AY352" s="76"/>
      <c r="AZ352" s="76"/>
      <c r="BA352" s="76"/>
      <c r="BB352" s="76"/>
      <c r="BC352">
        <v>1</v>
      </c>
      <c r="BD352" s="75" t="str">
        <f>REPLACE(INDEX(GroupVertices[Group],MATCH(Edges[[#This Row],[Vertex 1]],GroupVertices[Vertex],0)),1,1,"")</f>
        <v>4</v>
      </c>
      <c r="BE352" s="75" t="str">
        <f>REPLACE(INDEX(GroupVertices[Group],MATCH(Edges[[#This Row],[Vertex 2]],GroupVertices[Vertex],0)),1,1,"")</f>
        <v>4</v>
      </c>
      <c r="BF352" s="45">
        <v>0</v>
      </c>
      <c r="BG352" s="46">
        <v>0</v>
      </c>
      <c r="BH352" s="45">
        <v>0</v>
      </c>
      <c r="BI352" s="46">
        <v>0</v>
      </c>
      <c r="BJ352" s="45">
        <v>0</v>
      </c>
      <c r="BK352" s="46">
        <v>0</v>
      </c>
      <c r="BL352" s="45">
        <v>2</v>
      </c>
      <c r="BM352" s="46">
        <v>100</v>
      </c>
      <c r="BN352" s="45">
        <v>2</v>
      </c>
    </row>
    <row r="353" spans="1:66" ht="15">
      <c r="A353" s="61" t="s">
        <v>417</v>
      </c>
      <c r="B353" s="61" t="s">
        <v>550</v>
      </c>
      <c r="C353" s="62" t="s">
        <v>4688</v>
      </c>
      <c r="D353" s="63">
        <v>5</v>
      </c>
      <c r="E353" s="62"/>
      <c r="F353" s="65">
        <v>50</v>
      </c>
      <c r="G353" s="62"/>
      <c r="H353" s="66"/>
      <c r="I353" s="67"/>
      <c r="J353" s="67"/>
      <c r="K353" s="31" t="s">
        <v>65</v>
      </c>
      <c r="L353" s="68">
        <v>353</v>
      </c>
      <c r="M353" s="68"/>
      <c r="N353" s="69"/>
      <c r="O353" s="76" t="s">
        <v>587</v>
      </c>
      <c r="P353" s="78">
        <v>44811.627905092595</v>
      </c>
      <c r="Q353" s="76" t="s">
        <v>731</v>
      </c>
      <c r="R353" s="76"/>
      <c r="S353" s="76"/>
      <c r="T353" s="81" t="s">
        <v>795</v>
      </c>
      <c r="U353" s="79" t="str">
        <f>HYPERLINK("https://pbs.twimg.com/media/FcD7NNdWYAE9GbE.jpg")</f>
        <v>https://pbs.twimg.com/media/FcD7NNdWYAE9GbE.jpg</v>
      </c>
      <c r="V353" s="79" t="str">
        <f>HYPERLINK("https://pbs.twimg.com/media/FcD7NNdWYAE9GbE.jpg")</f>
        <v>https://pbs.twimg.com/media/FcD7NNdWYAE9GbE.jpg</v>
      </c>
      <c r="W353" s="78">
        <v>44811.627905092595</v>
      </c>
      <c r="X353" s="84">
        <v>44811</v>
      </c>
      <c r="Y353" s="81" t="s">
        <v>1133</v>
      </c>
      <c r="Z353" s="79" t="str">
        <f>HYPERLINK("https://twitter.com/m4rcyu5/status/1567529165594689539")</f>
        <v>https://twitter.com/m4rcyu5/status/1567529165594689539</v>
      </c>
      <c r="AA353" s="76"/>
      <c r="AB353" s="76"/>
      <c r="AC353" s="81" t="s">
        <v>1464</v>
      </c>
      <c r="AD353" s="81" t="s">
        <v>1635</v>
      </c>
      <c r="AE353" s="76" t="b">
        <v>0</v>
      </c>
      <c r="AF353" s="76">
        <v>1</v>
      </c>
      <c r="AG353" s="81" t="s">
        <v>1741</v>
      </c>
      <c r="AH353" s="76" t="b">
        <v>0</v>
      </c>
      <c r="AI353" s="76" t="s">
        <v>1773</v>
      </c>
      <c r="AJ353" s="76"/>
      <c r="AK353" s="81" t="s">
        <v>1674</v>
      </c>
      <c r="AL353" s="76" t="b">
        <v>0</v>
      </c>
      <c r="AM353" s="76">
        <v>0</v>
      </c>
      <c r="AN353" s="81" t="s">
        <v>1674</v>
      </c>
      <c r="AO353" s="81" t="s">
        <v>1808</v>
      </c>
      <c r="AP353" s="76" t="b">
        <v>0</v>
      </c>
      <c r="AQ353" s="81" t="s">
        <v>1635</v>
      </c>
      <c r="AR353" s="76" t="s">
        <v>219</v>
      </c>
      <c r="AS353" s="76">
        <v>0</v>
      </c>
      <c r="AT353" s="76">
        <v>0</v>
      </c>
      <c r="AU353" s="76"/>
      <c r="AV353" s="76"/>
      <c r="AW353" s="76"/>
      <c r="AX353" s="76"/>
      <c r="AY353" s="76"/>
      <c r="AZ353" s="76"/>
      <c r="BA353" s="76"/>
      <c r="BB353" s="76"/>
      <c r="BC353">
        <v>1</v>
      </c>
      <c r="BD353" s="75" t="str">
        <f>REPLACE(INDEX(GroupVertices[Group],MATCH(Edges[[#This Row],[Vertex 1]],GroupVertices[Vertex],0)),1,1,"")</f>
        <v>4</v>
      </c>
      <c r="BE353" s="75" t="str">
        <f>REPLACE(INDEX(GroupVertices[Group],MATCH(Edges[[#This Row],[Vertex 2]],GroupVertices[Vertex],0)),1,1,"")</f>
        <v>4</v>
      </c>
      <c r="BF353" s="45">
        <v>0</v>
      </c>
      <c r="BG353" s="46">
        <v>0</v>
      </c>
      <c r="BH353" s="45">
        <v>0</v>
      </c>
      <c r="BI353" s="46">
        <v>0</v>
      </c>
      <c r="BJ353" s="45">
        <v>0</v>
      </c>
      <c r="BK353" s="46">
        <v>0</v>
      </c>
      <c r="BL353" s="45">
        <v>2</v>
      </c>
      <c r="BM353" s="46">
        <v>100</v>
      </c>
      <c r="BN353" s="45">
        <v>2</v>
      </c>
    </row>
    <row r="354" spans="1:66" ht="15">
      <c r="A354" s="61" t="s">
        <v>417</v>
      </c>
      <c r="B354" s="61" t="s">
        <v>417</v>
      </c>
      <c r="C354" s="62" t="s">
        <v>4689</v>
      </c>
      <c r="D354" s="63">
        <v>5.416666666666667</v>
      </c>
      <c r="E354" s="62"/>
      <c r="F354" s="65">
        <v>47.083333333333336</v>
      </c>
      <c r="G354" s="62"/>
      <c r="H354" s="66"/>
      <c r="I354" s="67"/>
      <c r="J354" s="67"/>
      <c r="K354" s="31" t="s">
        <v>65</v>
      </c>
      <c r="L354" s="68">
        <v>354</v>
      </c>
      <c r="M354" s="68"/>
      <c r="N354" s="69"/>
      <c r="O354" s="76" t="s">
        <v>219</v>
      </c>
      <c r="P354" s="78">
        <v>44818.61048611111</v>
      </c>
      <c r="Q354" s="76" t="s">
        <v>732</v>
      </c>
      <c r="R354" s="79" t="str">
        <f>HYPERLINK("https://twitter.com/AZmilitary1/status/1569795425397268481")</f>
        <v>https://twitter.com/AZmilitary1/status/1569795425397268481</v>
      </c>
      <c r="S354" s="76" t="s">
        <v>783</v>
      </c>
      <c r="T354" s="81" t="s">
        <v>795</v>
      </c>
      <c r="U354" s="76"/>
      <c r="V354" s="79" t="str">
        <f>HYPERLINK("https://pbs.twimg.com/profile_images/1425565078456315909/Jvt2aJUT_normal.jpg")</f>
        <v>https://pbs.twimg.com/profile_images/1425565078456315909/Jvt2aJUT_normal.jpg</v>
      </c>
      <c r="W354" s="78">
        <v>44818.61048611111</v>
      </c>
      <c r="X354" s="84">
        <v>44818</v>
      </c>
      <c r="Y354" s="81" t="s">
        <v>1134</v>
      </c>
      <c r="Z354" s="79" t="str">
        <f>HYPERLINK("https://twitter.com/m4rcyu5/status/1570059569371709441")</f>
        <v>https://twitter.com/m4rcyu5/status/1570059569371709441</v>
      </c>
      <c r="AA354" s="76"/>
      <c r="AB354" s="76"/>
      <c r="AC354" s="81" t="s">
        <v>1465</v>
      </c>
      <c r="AD354" s="76"/>
      <c r="AE354" s="76" t="b">
        <v>0</v>
      </c>
      <c r="AF354" s="76">
        <v>0</v>
      </c>
      <c r="AG354" s="81" t="s">
        <v>1674</v>
      </c>
      <c r="AH354" s="76" t="b">
        <v>1</v>
      </c>
      <c r="AI354" s="76" t="s">
        <v>1773</v>
      </c>
      <c r="AJ354" s="76"/>
      <c r="AK354" s="81" t="s">
        <v>1805</v>
      </c>
      <c r="AL354" s="76" t="b">
        <v>0</v>
      </c>
      <c r="AM354" s="76">
        <v>0</v>
      </c>
      <c r="AN354" s="81" t="s">
        <v>1674</v>
      </c>
      <c r="AO354" s="81" t="s">
        <v>1808</v>
      </c>
      <c r="AP354" s="76" t="b">
        <v>0</v>
      </c>
      <c r="AQ354" s="81" t="s">
        <v>1465</v>
      </c>
      <c r="AR354" s="76" t="s">
        <v>219</v>
      </c>
      <c r="AS354" s="76">
        <v>0</v>
      </c>
      <c r="AT354" s="76">
        <v>0</v>
      </c>
      <c r="AU354" s="76"/>
      <c r="AV354" s="76"/>
      <c r="AW354" s="76"/>
      <c r="AX354" s="76"/>
      <c r="AY354" s="76"/>
      <c r="AZ354" s="76"/>
      <c r="BA354" s="76"/>
      <c r="BB354" s="76"/>
      <c r="BC354">
        <v>2</v>
      </c>
      <c r="BD354" s="75" t="str">
        <f>REPLACE(INDEX(GroupVertices[Group],MATCH(Edges[[#This Row],[Vertex 1]],GroupVertices[Vertex],0)),1,1,"")</f>
        <v>4</v>
      </c>
      <c r="BE354" s="75" t="str">
        <f>REPLACE(INDEX(GroupVertices[Group],MATCH(Edges[[#This Row],[Vertex 2]],GroupVertices[Vertex],0)),1,1,"")</f>
        <v>4</v>
      </c>
      <c r="BF354" s="45">
        <v>0</v>
      </c>
      <c r="BG354" s="46">
        <v>0</v>
      </c>
      <c r="BH354" s="45">
        <v>0</v>
      </c>
      <c r="BI354" s="46">
        <v>0</v>
      </c>
      <c r="BJ354" s="45">
        <v>0</v>
      </c>
      <c r="BK354" s="46">
        <v>0</v>
      </c>
      <c r="BL354" s="45">
        <v>1</v>
      </c>
      <c r="BM354" s="46">
        <v>100</v>
      </c>
      <c r="BN354" s="45">
        <v>1</v>
      </c>
    </row>
    <row r="355" spans="1:66" ht="15">
      <c r="A355" s="61" t="s">
        <v>417</v>
      </c>
      <c r="B355" s="61" t="s">
        <v>417</v>
      </c>
      <c r="C355" s="62" t="s">
        <v>4689</v>
      </c>
      <c r="D355" s="63">
        <v>5.416666666666667</v>
      </c>
      <c r="E355" s="62"/>
      <c r="F355" s="65">
        <v>47.083333333333336</v>
      </c>
      <c r="G355" s="62"/>
      <c r="H355" s="66"/>
      <c r="I355" s="67"/>
      <c r="J355" s="67"/>
      <c r="K355" s="31" t="s">
        <v>65</v>
      </c>
      <c r="L355" s="68">
        <v>355</v>
      </c>
      <c r="M355" s="68"/>
      <c r="N355" s="69"/>
      <c r="O355" s="76" t="s">
        <v>219</v>
      </c>
      <c r="P355" s="78">
        <v>44819.55774305556</v>
      </c>
      <c r="Q355" s="76" t="s">
        <v>733</v>
      </c>
      <c r="R355" s="79" t="str">
        <f>HYPERLINK("https://twitter.com/blackintheempir/status/1569873091781591043")</f>
        <v>https://twitter.com/blackintheempir/status/1569873091781591043</v>
      </c>
      <c r="S355" s="76" t="s">
        <v>783</v>
      </c>
      <c r="T355" s="81" t="s">
        <v>795</v>
      </c>
      <c r="U355" s="76"/>
      <c r="V355" s="79" t="str">
        <f>HYPERLINK("https://pbs.twimg.com/profile_images/1425565078456315909/Jvt2aJUT_normal.jpg")</f>
        <v>https://pbs.twimg.com/profile_images/1425565078456315909/Jvt2aJUT_normal.jpg</v>
      </c>
      <c r="W355" s="78">
        <v>44819.55774305556</v>
      </c>
      <c r="X355" s="84">
        <v>44819</v>
      </c>
      <c r="Y355" s="81" t="s">
        <v>1135</v>
      </c>
      <c r="Z355" s="79" t="str">
        <f>HYPERLINK("https://twitter.com/m4rcyu5/status/1570402844200632321")</f>
        <v>https://twitter.com/m4rcyu5/status/1570402844200632321</v>
      </c>
      <c r="AA355" s="76"/>
      <c r="AB355" s="76"/>
      <c r="AC355" s="81" t="s">
        <v>1466</v>
      </c>
      <c r="AD355" s="76"/>
      <c r="AE355" s="76" t="b">
        <v>0</v>
      </c>
      <c r="AF355" s="76">
        <v>0</v>
      </c>
      <c r="AG355" s="81" t="s">
        <v>1674</v>
      </c>
      <c r="AH355" s="76" t="b">
        <v>1</v>
      </c>
      <c r="AI355" s="76" t="s">
        <v>1773</v>
      </c>
      <c r="AJ355" s="76"/>
      <c r="AK355" s="81" t="s">
        <v>1806</v>
      </c>
      <c r="AL355" s="76" t="b">
        <v>0</v>
      </c>
      <c r="AM355" s="76">
        <v>0</v>
      </c>
      <c r="AN355" s="81" t="s">
        <v>1674</v>
      </c>
      <c r="AO355" s="81" t="s">
        <v>1808</v>
      </c>
      <c r="AP355" s="76" t="b">
        <v>0</v>
      </c>
      <c r="AQ355" s="81" t="s">
        <v>1466</v>
      </c>
      <c r="AR355" s="76" t="s">
        <v>219</v>
      </c>
      <c r="AS355" s="76">
        <v>0</v>
      </c>
      <c r="AT355" s="76">
        <v>0</v>
      </c>
      <c r="AU355" s="76"/>
      <c r="AV355" s="76"/>
      <c r="AW355" s="76"/>
      <c r="AX355" s="76"/>
      <c r="AY355" s="76"/>
      <c r="AZ355" s="76"/>
      <c r="BA355" s="76"/>
      <c r="BB355" s="76"/>
      <c r="BC355">
        <v>2</v>
      </c>
      <c r="BD355" s="75" t="str">
        <f>REPLACE(INDEX(GroupVertices[Group],MATCH(Edges[[#This Row],[Vertex 1]],GroupVertices[Vertex],0)),1,1,"")</f>
        <v>4</v>
      </c>
      <c r="BE355" s="75" t="str">
        <f>REPLACE(INDEX(GroupVertices[Group],MATCH(Edges[[#This Row],[Vertex 2]],GroupVertices[Vertex],0)),1,1,"")</f>
        <v>4</v>
      </c>
      <c r="BF355" s="45">
        <v>0</v>
      </c>
      <c r="BG355" s="46">
        <v>0</v>
      </c>
      <c r="BH355" s="45">
        <v>0</v>
      </c>
      <c r="BI355" s="46">
        <v>0</v>
      </c>
      <c r="BJ355" s="45">
        <v>0</v>
      </c>
      <c r="BK355" s="46">
        <v>0</v>
      </c>
      <c r="BL355" s="45">
        <v>1</v>
      </c>
      <c r="BM355" s="46">
        <v>100</v>
      </c>
      <c r="BN355" s="45">
        <v>1</v>
      </c>
    </row>
    <row r="356" spans="1:66" ht="15">
      <c r="A356" s="61" t="s">
        <v>418</v>
      </c>
      <c r="B356" s="61" t="s">
        <v>495</v>
      </c>
      <c r="C356" s="62" t="s">
        <v>4688</v>
      </c>
      <c r="D356" s="63">
        <v>5</v>
      </c>
      <c r="E356" s="62"/>
      <c r="F356" s="65">
        <v>50</v>
      </c>
      <c r="G356" s="62"/>
      <c r="H356" s="66"/>
      <c r="I356" s="67"/>
      <c r="J356" s="67"/>
      <c r="K356" s="31" t="s">
        <v>65</v>
      </c>
      <c r="L356" s="68">
        <v>356</v>
      </c>
      <c r="M356" s="68"/>
      <c r="N356" s="69"/>
      <c r="O356" s="76" t="s">
        <v>587</v>
      </c>
      <c r="P356" s="78">
        <v>44808.903402777774</v>
      </c>
      <c r="Q356" s="76" t="s">
        <v>651</v>
      </c>
      <c r="R356" s="76"/>
      <c r="S356" s="76"/>
      <c r="T356" s="81" t="s">
        <v>823</v>
      </c>
      <c r="U356" s="76"/>
      <c r="V356" s="79" t="str">
        <f>HYPERLINK("https://pbs.twimg.com/profile_images/1550587016798212097/iNHMHieS_normal.jpg")</f>
        <v>https://pbs.twimg.com/profile_images/1550587016798212097/iNHMHieS_normal.jpg</v>
      </c>
      <c r="W356" s="78">
        <v>44808.903402777774</v>
      </c>
      <c r="X356" s="84">
        <v>44808</v>
      </c>
      <c r="Y356" s="81" t="s">
        <v>1136</v>
      </c>
      <c r="Z356" s="79" t="str">
        <f>HYPERLINK("https://twitter.com/jabalmiza/status/1566541838957387777")</f>
        <v>https://twitter.com/jabalmiza/status/1566541838957387777</v>
      </c>
      <c r="AA356" s="76"/>
      <c r="AB356" s="76"/>
      <c r="AC356" s="81" t="s">
        <v>1467</v>
      </c>
      <c r="AD356" s="81" t="s">
        <v>1636</v>
      </c>
      <c r="AE356" s="76" t="b">
        <v>0</v>
      </c>
      <c r="AF356" s="76">
        <v>1</v>
      </c>
      <c r="AG356" s="81" t="s">
        <v>1742</v>
      </c>
      <c r="AH356" s="76" t="b">
        <v>0</v>
      </c>
      <c r="AI356" s="76" t="s">
        <v>1772</v>
      </c>
      <c r="AJ356" s="76"/>
      <c r="AK356" s="81" t="s">
        <v>1674</v>
      </c>
      <c r="AL356" s="76" t="b">
        <v>0</v>
      </c>
      <c r="AM356" s="76">
        <v>1</v>
      </c>
      <c r="AN356" s="81" t="s">
        <v>1674</v>
      </c>
      <c r="AO356" s="81" t="s">
        <v>1807</v>
      </c>
      <c r="AP356" s="76" t="b">
        <v>0</v>
      </c>
      <c r="AQ356" s="81" t="s">
        <v>1636</v>
      </c>
      <c r="AR356" s="76" t="s">
        <v>586</v>
      </c>
      <c r="AS356" s="76">
        <v>0</v>
      </c>
      <c r="AT356" s="76">
        <v>0</v>
      </c>
      <c r="AU356" s="76"/>
      <c r="AV356" s="76"/>
      <c r="AW356" s="76"/>
      <c r="AX356" s="76"/>
      <c r="AY356" s="76"/>
      <c r="AZ356" s="76"/>
      <c r="BA356" s="76"/>
      <c r="BB356" s="76"/>
      <c r="BC356">
        <v>1</v>
      </c>
      <c r="BD356" s="75" t="str">
        <f>REPLACE(INDEX(GroupVertices[Group],MATCH(Edges[[#This Row],[Vertex 1]],GroupVertices[Vertex],0)),1,1,"")</f>
        <v>4</v>
      </c>
      <c r="BE356" s="75" t="str">
        <f>REPLACE(INDEX(GroupVertices[Group],MATCH(Edges[[#This Row],[Vertex 2]],GroupVertices[Vertex],0)),1,1,"")</f>
        <v>4</v>
      </c>
      <c r="BF356" s="45">
        <v>0</v>
      </c>
      <c r="BG356" s="46">
        <v>0</v>
      </c>
      <c r="BH356" s="45">
        <v>0</v>
      </c>
      <c r="BI356" s="46">
        <v>0</v>
      </c>
      <c r="BJ356" s="45">
        <v>0</v>
      </c>
      <c r="BK356" s="46">
        <v>0</v>
      </c>
      <c r="BL356" s="45">
        <v>10</v>
      </c>
      <c r="BM356" s="46">
        <v>100</v>
      </c>
      <c r="BN356" s="45">
        <v>10</v>
      </c>
    </row>
    <row r="357" spans="1:66" ht="15">
      <c r="A357" s="61" t="s">
        <v>418</v>
      </c>
      <c r="B357" s="61" t="s">
        <v>551</v>
      </c>
      <c r="C357" s="62" t="s">
        <v>4688</v>
      </c>
      <c r="D357" s="63">
        <v>5</v>
      </c>
      <c r="E357" s="62"/>
      <c r="F357" s="65">
        <v>50</v>
      </c>
      <c r="G357" s="62"/>
      <c r="H357" s="66"/>
      <c r="I357" s="67"/>
      <c r="J357" s="67"/>
      <c r="K357" s="31" t="s">
        <v>65</v>
      </c>
      <c r="L357" s="68">
        <v>357</v>
      </c>
      <c r="M357" s="68"/>
      <c r="N357" s="69"/>
      <c r="O357" s="76" t="s">
        <v>587</v>
      </c>
      <c r="P357" s="78">
        <v>44813.914375</v>
      </c>
      <c r="Q357" s="76" t="s">
        <v>734</v>
      </c>
      <c r="R357" s="76"/>
      <c r="S357" s="76"/>
      <c r="T357" s="81" t="s">
        <v>864</v>
      </c>
      <c r="U357" s="76"/>
      <c r="V357" s="79" t="str">
        <f>HYPERLINK("https://pbs.twimg.com/profile_images/1550587016798212097/iNHMHieS_normal.jpg")</f>
        <v>https://pbs.twimg.com/profile_images/1550587016798212097/iNHMHieS_normal.jpg</v>
      </c>
      <c r="W357" s="78">
        <v>44813.914375</v>
      </c>
      <c r="X357" s="84">
        <v>44813</v>
      </c>
      <c r="Y357" s="81" t="s">
        <v>1137</v>
      </c>
      <c r="Z357" s="79" t="str">
        <f>HYPERLINK("https://twitter.com/jabalmiza/status/1568357758323261447")</f>
        <v>https://twitter.com/jabalmiza/status/1568357758323261447</v>
      </c>
      <c r="AA357" s="76"/>
      <c r="AB357" s="76"/>
      <c r="AC357" s="81" t="s">
        <v>1468</v>
      </c>
      <c r="AD357" s="81" t="s">
        <v>1637</v>
      </c>
      <c r="AE357" s="76" t="b">
        <v>0</v>
      </c>
      <c r="AF357" s="76">
        <v>0</v>
      </c>
      <c r="AG357" s="81" t="s">
        <v>1743</v>
      </c>
      <c r="AH357" s="76" t="b">
        <v>0</v>
      </c>
      <c r="AI357" s="76" t="s">
        <v>1780</v>
      </c>
      <c r="AJ357" s="76"/>
      <c r="AK357" s="81" t="s">
        <v>1674</v>
      </c>
      <c r="AL357" s="76" t="b">
        <v>0</v>
      </c>
      <c r="AM357" s="76">
        <v>0</v>
      </c>
      <c r="AN357" s="81" t="s">
        <v>1674</v>
      </c>
      <c r="AO357" s="81" t="s">
        <v>1807</v>
      </c>
      <c r="AP357" s="76" t="b">
        <v>0</v>
      </c>
      <c r="AQ357" s="81" t="s">
        <v>1637</v>
      </c>
      <c r="AR357" s="76" t="s">
        <v>219</v>
      </c>
      <c r="AS357" s="76">
        <v>0</v>
      </c>
      <c r="AT357" s="76">
        <v>0</v>
      </c>
      <c r="AU357" s="76"/>
      <c r="AV357" s="76"/>
      <c r="AW357" s="76"/>
      <c r="AX357" s="76"/>
      <c r="AY357" s="76"/>
      <c r="AZ357" s="76"/>
      <c r="BA357" s="76"/>
      <c r="BB357" s="76"/>
      <c r="BC357">
        <v>1</v>
      </c>
      <c r="BD357" s="75" t="str">
        <f>REPLACE(INDEX(GroupVertices[Group],MATCH(Edges[[#This Row],[Vertex 1]],GroupVertices[Vertex],0)),1,1,"")</f>
        <v>4</v>
      </c>
      <c r="BE357" s="75" t="str">
        <f>REPLACE(INDEX(GroupVertices[Group],MATCH(Edges[[#This Row],[Vertex 2]],GroupVertices[Vertex],0)),1,1,"")</f>
        <v>4</v>
      </c>
      <c r="BF357" s="45">
        <v>0</v>
      </c>
      <c r="BG357" s="46">
        <v>0</v>
      </c>
      <c r="BH357" s="45">
        <v>1</v>
      </c>
      <c r="BI357" s="46">
        <v>2.7027027027027026</v>
      </c>
      <c r="BJ357" s="45">
        <v>0</v>
      </c>
      <c r="BK357" s="46">
        <v>0</v>
      </c>
      <c r="BL357" s="45">
        <v>36</v>
      </c>
      <c r="BM357" s="46">
        <v>97.29729729729729</v>
      </c>
      <c r="BN357" s="45">
        <v>37</v>
      </c>
    </row>
    <row r="358" spans="1:66" ht="15">
      <c r="A358" s="61" t="s">
        <v>418</v>
      </c>
      <c r="B358" s="61" t="s">
        <v>550</v>
      </c>
      <c r="C358" s="62" t="s">
        <v>4689</v>
      </c>
      <c r="D358" s="63">
        <v>5.416666666666667</v>
      </c>
      <c r="E358" s="62"/>
      <c r="F358" s="65">
        <v>47.083333333333336</v>
      </c>
      <c r="G358" s="62"/>
      <c r="H358" s="66"/>
      <c r="I358" s="67"/>
      <c r="J358" s="67"/>
      <c r="K358" s="31" t="s">
        <v>65</v>
      </c>
      <c r="L358" s="68">
        <v>358</v>
      </c>
      <c r="M358" s="68"/>
      <c r="N358" s="69"/>
      <c r="O358" s="76" t="s">
        <v>587</v>
      </c>
      <c r="P358" s="78">
        <v>44815.77177083334</v>
      </c>
      <c r="Q358" s="76" t="s">
        <v>735</v>
      </c>
      <c r="R358" s="76"/>
      <c r="S358" s="76"/>
      <c r="T358" s="81" t="s">
        <v>865</v>
      </c>
      <c r="U358" s="76"/>
      <c r="V358" s="79" t="str">
        <f>HYPERLINK("https://pbs.twimg.com/profile_images/1550587016798212097/iNHMHieS_normal.jpg")</f>
        <v>https://pbs.twimg.com/profile_images/1550587016798212097/iNHMHieS_normal.jpg</v>
      </c>
      <c r="W358" s="78">
        <v>44815.77177083334</v>
      </c>
      <c r="X358" s="84">
        <v>44815</v>
      </c>
      <c r="Y358" s="81" t="s">
        <v>1138</v>
      </c>
      <c r="Z358" s="79" t="str">
        <f>HYPERLINK("https://twitter.com/jabalmiza/status/1569030853082087425")</f>
        <v>https://twitter.com/jabalmiza/status/1569030853082087425</v>
      </c>
      <c r="AA358" s="76"/>
      <c r="AB358" s="76"/>
      <c r="AC358" s="81" t="s">
        <v>1469</v>
      </c>
      <c r="AD358" s="81" t="s">
        <v>1638</v>
      </c>
      <c r="AE358" s="76" t="b">
        <v>0</v>
      </c>
      <c r="AF358" s="76">
        <v>1</v>
      </c>
      <c r="AG358" s="81" t="s">
        <v>1741</v>
      </c>
      <c r="AH358" s="76" t="b">
        <v>0</v>
      </c>
      <c r="AI358" s="76" t="s">
        <v>1773</v>
      </c>
      <c r="AJ358" s="76"/>
      <c r="AK358" s="81" t="s">
        <v>1674</v>
      </c>
      <c r="AL358" s="76" t="b">
        <v>0</v>
      </c>
      <c r="AM358" s="76">
        <v>0</v>
      </c>
      <c r="AN358" s="81" t="s">
        <v>1674</v>
      </c>
      <c r="AO358" s="81" t="s">
        <v>1807</v>
      </c>
      <c r="AP358" s="76" t="b">
        <v>0</v>
      </c>
      <c r="AQ358" s="81" t="s">
        <v>1638</v>
      </c>
      <c r="AR358" s="76" t="s">
        <v>219</v>
      </c>
      <c r="AS358" s="76">
        <v>0</v>
      </c>
      <c r="AT358" s="76">
        <v>0</v>
      </c>
      <c r="AU358" s="76"/>
      <c r="AV358" s="76"/>
      <c r="AW358" s="76"/>
      <c r="AX358" s="76"/>
      <c r="AY358" s="76"/>
      <c r="AZ358" s="76"/>
      <c r="BA358" s="76"/>
      <c r="BB358" s="76"/>
      <c r="BC358">
        <v>2</v>
      </c>
      <c r="BD358" s="75" t="str">
        <f>REPLACE(INDEX(GroupVertices[Group],MATCH(Edges[[#This Row],[Vertex 1]],GroupVertices[Vertex],0)),1,1,"")</f>
        <v>4</v>
      </c>
      <c r="BE358" s="75" t="str">
        <f>REPLACE(INDEX(GroupVertices[Group],MATCH(Edges[[#This Row],[Vertex 2]],GroupVertices[Vertex],0)),1,1,"")</f>
        <v>4</v>
      </c>
      <c r="BF358" s="45">
        <v>0</v>
      </c>
      <c r="BG358" s="46">
        <v>0</v>
      </c>
      <c r="BH358" s="45">
        <v>0</v>
      </c>
      <c r="BI358" s="46">
        <v>0</v>
      </c>
      <c r="BJ358" s="45">
        <v>0</v>
      </c>
      <c r="BK358" s="46">
        <v>0</v>
      </c>
      <c r="BL358" s="45">
        <v>7</v>
      </c>
      <c r="BM358" s="46">
        <v>100</v>
      </c>
      <c r="BN358" s="45">
        <v>7</v>
      </c>
    </row>
    <row r="359" spans="1:66" ht="15">
      <c r="A359" s="61" t="s">
        <v>418</v>
      </c>
      <c r="B359" s="61" t="s">
        <v>550</v>
      </c>
      <c r="C359" s="62" t="s">
        <v>4689</v>
      </c>
      <c r="D359" s="63">
        <v>5.416666666666667</v>
      </c>
      <c r="E359" s="62"/>
      <c r="F359" s="65">
        <v>47.083333333333336</v>
      </c>
      <c r="G359" s="62"/>
      <c r="H359" s="66"/>
      <c r="I359" s="67"/>
      <c r="J359" s="67"/>
      <c r="K359" s="31" t="s">
        <v>65</v>
      </c>
      <c r="L359" s="68">
        <v>359</v>
      </c>
      <c r="M359" s="68"/>
      <c r="N359" s="69"/>
      <c r="O359" s="76" t="s">
        <v>587</v>
      </c>
      <c r="P359" s="78">
        <v>44816.78912037037</v>
      </c>
      <c r="Q359" s="76" t="s">
        <v>736</v>
      </c>
      <c r="R359" s="76"/>
      <c r="S359" s="76"/>
      <c r="T359" s="81" t="s">
        <v>866</v>
      </c>
      <c r="U359" s="76"/>
      <c r="V359" s="79" t="str">
        <f>HYPERLINK("https://pbs.twimg.com/profile_images/1550587016798212097/iNHMHieS_normal.jpg")</f>
        <v>https://pbs.twimg.com/profile_images/1550587016798212097/iNHMHieS_normal.jpg</v>
      </c>
      <c r="W359" s="78">
        <v>44816.78912037037</v>
      </c>
      <c r="X359" s="84">
        <v>44816</v>
      </c>
      <c r="Y359" s="81" t="s">
        <v>1139</v>
      </c>
      <c r="Z359" s="79" t="str">
        <f>HYPERLINK("https://twitter.com/jabalmiza/status/1569399531430899713")</f>
        <v>https://twitter.com/jabalmiza/status/1569399531430899713</v>
      </c>
      <c r="AA359" s="76"/>
      <c r="AB359" s="76"/>
      <c r="AC359" s="81" t="s">
        <v>1470</v>
      </c>
      <c r="AD359" s="81" t="s">
        <v>1639</v>
      </c>
      <c r="AE359" s="76" t="b">
        <v>0</v>
      </c>
      <c r="AF359" s="76">
        <v>0</v>
      </c>
      <c r="AG359" s="81" t="s">
        <v>1741</v>
      </c>
      <c r="AH359" s="76" t="b">
        <v>0</v>
      </c>
      <c r="AI359" s="76" t="s">
        <v>1780</v>
      </c>
      <c r="AJ359" s="76"/>
      <c r="AK359" s="81" t="s">
        <v>1674</v>
      </c>
      <c r="AL359" s="76" t="b">
        <v>0</v>
      </c>
      <c r="AM359" s="76">
        <v>0</v>
      </c>
      <c r="AN359" s="81" t="s">
        <v>1674</v>
      </c>
      <c r="AO359" s="81" t="s">
        <v>1807</v>
      </c>
      <c r="AP359" s="76" t="b">
        <v>0</v>
      </c>
      <c r="AQ359" s="81" t="s">
        <v>1639</v>
      </c>
      <c r="AR359" s="76" t="s">
        <v>219</v>
      </c>
      <c r="AS359" s="76">
        <v>0</v>
      </c>
      <c r="AT359" s="76">
        <v>0</v>
      </c>
      <c r="AU359" s="76"/>
      <c r="AV359" s="76"/>
      <c r="AW359" s="76"/>
      <c r="AX359" s="76"/>
      <c r="AY359" s="76"/>
      <c r="AZ359" s="76"/>
      <c r="BA359" s="76"/>
      <c r="BB359" s="76"/>
      <c r="BC359">
        <v>2</v>
      </c>
      <c r="BD359" s="75" t="str">
        <f>REPLACE(INDEX(GroupVertices[Group],MATCH(Edges[[#This Row],[Vertex 1]],GroupVertices[Vertex],0)),1,1,"")</f>
        <v>4</v>
      </c>
      <c r="BE359" s="75" t="str">
        <f>REPLACE(INDEX(GroupVertices[Group],MATCH(Edges[[#This Row],[Vertex 2]],GroupVertices[Vertex],0)),1,1,"")</f>
        <v>4</v>
      </c>
      <c r="BF359" s="45">
        <v>2</v>
      </c>
      <c r="BG359" s="46">
        <v>5.882352941176471</v>
      </c>
      <c r="BH359" s="45">
        <v>0</v>
      </c>
      <c r="BI359" s="46">
        <v>0</v>
      </c>
      <c r="BJ359" s="45">
        <v>0</v>
      </c>
      <c r="BK359" s="46">
        <v>0</v>
      </c>
      <c r="BL359" s="45">
        <v>32</v>
      </c>
      <c r="BM359" s="46">
        <v>94.11764705882354</v>
      </c>
      <c r="BN359" s="45">
        <v>34</v>
      </c>
    </row>
    <row r="360" spans="1:66" ht="15">
      <c r="A360" s="61" t="s">
        <v>418</v>
      </c>
      <c r="B360" s="61" t="s">
        <v>552</v>
      </c>
      <c r="C360" s="62" t="s">
        <v>4688</v>
      </c>
      <c r="D360" s="63">
        <v>5</v>
      </c>
      <c r="E360" s="62"/>
      <c r="F360" s="65">
        <v>50</v>
      </c>
      <c r="G360" s="62"/>
      <c r="H360" s="66"/>
      <c r="I360" s="67"/>
      <c r="J360" s="67"/>
      <c r="K360" s="31" t="s">
        <v>65</v>
      </c>
      <c r="L360" s="68">
        <v>360</v>
      </c>
      <c r="M360" s="68"/>
      <c r="N360" s="69"/>
      <c r="O360" s="76" t="s">
        <v>588</v>
      </c>
      <c r="P360" s="78">
        <v>44818.83490740741</v>
      </c>
      <c r="Q360" s="76" t="s">
        <v>737</v>
      </c>
      <c r="R360" s="76"/>
      <c r="S360" s="76"/>
      <c r="T360" s="81" t="s">
        <v>867</v>
      </c>
      <c r="U360" s="76"/>
      <c r="V360" s="79" t="str">
        <f>HYPERLINK("https://pbs.twimg.com/profile_images/1550587016798212097/iNHMHieS_normal.jpg")</f>
        <v>https://pbs.twimg.com/profile_images/1550587016798212097/iNHMHieS_normal.jpg</v>
      </c>
      <c r="W360" s="78">
        <v>44818.83490740741</v>
      </c>
      <c r="X360" s="84">
        <v>44818</v>
      </c>
      <c r="Y360" s="81" t="s">
        <v>1140</v>
      </c>
      <c r="Z360" s="79" t="str">
        <f>HYPERLINK("https://twitter.com/jabalmiza/status/1570140897769136131")</f>
        <v>https://twitter.com/jabalmiza/status/1570140897769136131</v>
      </c>
      <c r="AA360" s="76"/>
      <c r="AB360" s="76"/>
      <c r="AC360" s="81" t="s">
        <v>1471</v>
      </c>
      <c r="AD360" s="81" t="s">
        <v>1640</v>
      </c>
      <c r="AE360" s="76" t="b">
        <v>0</v>
      </c>
      <c r="AF360" s="76">
        <v>0</v>
      </c>
      <c r="AG360" s="81" t="s">
        <v>1744</v>
      </c>
      <c r="AH360" s="76" t="b">
        <v>0</v>
      </c>
      <c r="AI360" s="76" t="s">
        <v>1773</v>
      </c>
      <c r="AJ360" s="76"/>
      <c r="AK360" s="81" t="s">
        <v>1674</v>
      </c>
      <c r="AL360" s="76" t="b">
        <v>0</v>
      </c>
      <c r="AM360" s="76">
        <v>0</v>
      </c>
      <c r="AN360" s="81" t="s">
        <v>1674</v>
      </c>
      <c r="AO360" s="81" t="s">
        <v>1807</v>
      </c>
      <c r="AP360" s="76" t="b">
        <v>0</v>
      </c>
      <c r="AQ360" s="81" t="s">
        <v>1640</v>
      </c>
      <c r="AR360" s="76" t="s">
        <v>219</v>
      </c>
      <c r="AS360" s="76">
        <v>0</v>
      </c>
      <c r="AT360" s="76">
        <v>0</v>
      </c>
      <c r="AU360" s="76"/>
      <c r="AV360" s="76"/>
      <c r="AW360" s="76"/>
      <c r="AX360" s="76"/>
      <c r="AY360" s="76"/>
      <c r="AZ360" s="76"/>
      <c r="BA360" s="76"/>
      <c r="BB360" s="76"/>
      <c r="BC360">
        <v>1</v>
      </c>
      <c r="BD360" s="75" t="str">
        <f>REPLACE(INDEX(GroupVertices[Group],MATCH(Edges[[#This Row],[Vertex 1]],GroupVertices[Vertex],0)),1,1,"")</f>
        <v>4</v>
      </c>
      <c r="BE360" s="75" t="str">
        <f>REPLACE(INDEX(GroupVertices[Group],MATCH(Edges[[#This Row],[Vertex 2]],GroupVertices[Vertex],0)),1,1,"")</f>
        <v>4</v>
      </c>
      <c r="BF360" s="45"/>
      <c r="BG360" s="46"/>
      <c r="BH360" s="45"/>
      <c r="BI360" s="46"/>
      <c r="BJ360" s="45"/>
      <c r="BK360" s="46"/>
      <c r="BL360" s="45"/>
      <c r="BM360" s="46"/>
      <c r="BN360" s="45"/>
    </row>
    <row r="361" spans="1:66" ht="15">
      <c r="A361" s="61" t="s">
        <v>418</v>
      </c>
      <c r="B361" s="61" t="s">
        <v>553</v>
      </c>
      <c r="C361" s="62" t="s">
        <v>4688</v>
      </c>
      <c r="D361" s="63">
        <v>5</v>
      </c>
      <c r="E361" s="62"/>
      <c r="F361" s="65">
        <v>50</v>
      </c>
      <c r="G361" s="62"/>
      <c r="H361" s="66"/>
      <c r="I361" s="67"/>
      <c r="J361" s="67"/>
      <c r="K361" s="31" t="s">
        <v>65</v>
      </c>
      <c r="L361" s="68">
        <v>361</v>
      </c>
      <c r="M361" s="68"/>
      <c r="N361" s="69"/>
      <c r="O361" s="76" t="s">
        <v>587</v>
      </c>
      <c r="P361" s="78">
        <v>44818.83490740741</v>
      </c>
      <c r="Q361" s="76" t="s">
        <v>737</v>
      </c>
      <c r="R361" s="76"/>
      <c r="S361" s="76"/>
      <c r="T361" s="81" t="s">
        <v>867</v>
      </c>
      <c r="U361" s="76"/>
      <c r="V361" s="79" t="str">
        <f>HYPERLINK("https://pbs.twimg.com/profile_images/1550587016798212097/iNHMHieS_normal.jpg")</f>
        <v>https://pbs.twimg.com/profile_images/1550587016798212097/iNHMHieS_normal.jpg</v>
      </c>
      <c r="W361" s="78">
        <v>44818.83490740741</v>
      </c>
      <c r="X361" s="84">
        <v>44818</v>
      </c>
      <c r="Y361" s="81" t="s">
        <v>1140</v>
      </c>
      <c r="Z361" s="79" t="str">
        <f>HYPERLINK("https://twitter.com/jabalmiza/status/1570140897769136131")</f>
        <v>https://twitter.com/jabalmiza/status/1570140897769136131</v>
      </c>
      <c r="AA361" s="76"/>
      <c r="AB361" s="76"/>
      <c r="AC361" s="81" t="s">
        <v>1471</v>
      </c>
      <c r="AD361" s="81" t="s">
        <v>1640</v>
      </c>
      <c r="AE361" s="76" t="b">
        <v>0</v>
      </c>
      <c r="AF361" s="76">
        <v>0</v>
      </c>
      <c r="AG361" s="81" t="s">
        <v>1744</v>
      </c>
      <c r="AH361" s="76" t="b">
        <v>0</v>
      </c>
      <c r="AI361" s="76" t="s">
        <v>1773</v>
      </c>
      <c r="AJ361" s="76"/>
      <c r="AK361" s="81" t="s">
        <v>1674</v>
      </c>
      <c r="AL361" s="76" t="b">
        <v>0</v>
      </c>
      <c r="AM361" s="76">
        <v>0</v>
      </c>
      <c r="AN361" s="81" t="s">
        <v>1674</v>
      </c>
      <c r="AO361" s="81" t="s">
        <v>1807</v>
      </c>
      <c r="AP361" s="76" t="b">
        <v>0</v>
      </c>
      <c r="AQ361" s="81" t="s">
        <v>1640</v>
      </c>
      <c r="AR361" s="76" t="s">
        <v>219</v>
      </c>
      <c r="AS361" s="76">
        <v>0</v>
      </c>
      <c r="AT361" s="76">
        <v>0</v>
      </c>
      <c r="AU361" s="76"/>
      <c r="AV361" s="76"/>
      <c r="AW361" s="76"/>
      <c r="AX361" s="76"/>
      <c r="AY361" s="76"/>
      <c r="AZ361" s="76"/>
      <c r="BA361" s="76"/>
      <c r="BB361" s="76"/>
      <c r="BC361">
        <v>1</v>
      </c>
      <c r="BD361" s="75" t="str">
        <f>REPLACE(INDEX(GroupVertices[Group],MATCH(Edges[[#This Row],[Vertex 1]],GroupVertices[Vertex],0)),1,1,"")</f>
        <v>4</v>
      </c>
      <c r="BE361" s="75" t="str">
        <f>REPLACE(INDEX(GroupVertices[Group],MATCH(Edges[[#This Row],[Vertex 2]],GroupVertices[Vertex],0)),1,1,"")</f>
        <v>4</v>
      </c>
      <c r="BF361" s="45">
        <v>0</v>
      </c>
      <c r="BG361" s="46">
        <v>0</v>
      </c>
      <c r="BH361" s="45">
        <v>0</v>
      </c>
      <c r="BI361" s="46">
        <v>0</v>
      </c>
      <c r="BJ361" s="45">
        <v>0</v>
      </c>
      <c r="BK361" s="46">
        <v>0</v>
      </c>
      <c r="BL361" s="45">
        <v>7</v>
      </c>
      <c r="BM361" s="46">
        <v>100</v>
      </c>
      <c r="BN361" s="45">
        <v>7</v>
      </c>
    </row>
    <row r="362" spans="1:66" ht="15">
      <c r="A362" s="61" t="s">
        <v>418</v>
      </c>
      <c r="B362" s="61" t="s">
        <v>554</v>
      </c>
      <c r="C362" s="62" t="s">
        <v>4688</v>
      </c>
      <c r="D362" s="63">
        <v>5</v>
      </c>
      <c r="E362" s="62"/>
      <c r="F362" s="65">
        <v>50</v>
      </c>
      <c r="G362" s="62"/>
      <c r="H362" s="66"/>
      <c r="I362" s="67"/>
      <c r="J362" s="67"/>
      <c r="K362" s="31" t="s">
        <v>65</v>
      </c>
      <c r="L362" s="68">
        <v>362</v>
      </c>
      <c r="M362" s="68"/>
      <c r="N362" s="69"/>
      <c r="O362" s="76" t="s">
        <v>587</v>
      </c>
      <c r="P362" s="78">
        <v>44818.83509259259</v>
      </c>
      <c r="Q362" s="76" t="s">
        <v>738</v>
      </c>
      <c r="R362" s="76"/>
      <c r="S362" s="76"/>
      <c r="T362" s="81" t="s">
        <v>867</v>
      </c>
      <c r="U362" s="76"/>
      <c r="V362" s="79" t="str">
        <f>HYPERLINK("https://pbs.twimg.com/profile_images/1550587016798212097/iNHMHieS_normal.jpg")</f>
        <v>https://pbs.twimg.com/profile_images/1550587016798212097/iNHMHieS_normal.jpg</v>
      </c>
      <c r="W362" s="78">
        <v>44818.83509259259</v>
      </c>
      <c r="X362" s="84">
        <v>44818</v>
      </c>
      <c r="Y362" s="81" t="s">
        <v>1141</v>
      </c>
      <c r="Z362" s="79" t="str">
        <f>HYPERLINK("https://twitter.com/jabalmiza/status/1570140965637337089")</f>
        <v>https://twitter.com/jabalmiza/status/1570140965637337089</v>
      </c>
      <c r="AA362" s="76"/>
      <c r="AB362" s="76"/>
      <c r="AC362" s="81" t="s">
        <v>1472</v>
      </c>
      <c r="AD362" s="81" t="s">
        <v>1641</v>
      </c>
      <c r="AE362" s="76" t="b">
        <v>0</v>
      </c>
      <c r="AF362" s="76">
        <v>0</v>
      </c>
      <c r="AG362" s="81" t="s">
        <v>1745</v>
      </c>
      <c r="AH362" s="76" t="b">
        <v>0</v>
      </c>
      <c r="AI362" s="76" t="s">
        <v>1780</v>
      </c>
      <c r="AJ362" s="76"/>
      <c r="AK362" s="81" t="s">
        <v>1674</v>
      </c>
      <c r="AL362" s="76" t="b">
        <v>0</v>
      </c>
      <c r="AM362" s="76">
        <v>0</v>
      </c>
      <c r="AN362" s="81" t="s">
        <v>1674</v>
      </c>
      <c r="AO362" s="81" t="s">
        <v>1807</v>
      </c>
      <c r="AP362" s="76" t="b">
        <v>0</v>
      </c>
      <c r="AQ362" s="81" t="s">
        <v>1641</v>
      </c>
      <c r="AR362" s="76" t="s">
        <v>219</v>
      </c>
      <c r="AS362" s="76">
        <v>0</v>
      </c>
      <c r="AT362" s="76">
        <v>0</v>
      </c>
      <c r="AU362" s="76"/>
      <c r="AV362" s="76"/>
      <c r="AW362" s="76"/>
      <c r="AX362" s="76"/>
      <c r="AY362" s="76"/>
      <c r="AZ362" s="76"/>
      <c r="BA362" s="76"/>
      <c r="BB362" s="76"/>
      <c r="BC362">
        <v>1</v>
      </c>
      <c r="BD362" s="75" t="str">
        <f>REPLACE(INDEX(GroupVertices[Group],MATCH(Edges[[#This Row],[Vertex 1]],GroupVertices[Vertex],0)),1,1,"")</f>
        <v>4</v>
      </c>
      <c r="BE362" s="75" t="str">
        <f>REPLACE(INDEX(GroupVertices[Group],MATCH(Edges[[#This Row],[Vertex 2]],GroupVertices[Vertex],0)),1,1,"")</f>
        <v>4</v>
      </c>
      <c r="BF362" s="45">
        <v>0</v>
      </c>
      <c r="BG362" s="46">
        <v>0</v>
      </c>
      <c r="BH362" s="45">
        <v>0</v>
      </c>
      <c r="BI362" s="46">
        <v>0</v>
      </c>
      <c r="BJ362" s="45">
        <v>0</v>
      </c>
      <c r="BK362" s="46">
        <v>0</v>
      </c>
      <c r="BL362" s="45">
        <v>7</v>
      </c>
      <c r="BM362" s="46">
        <v>100</v>
      </c>
      <c r="BN362" s="45">
        <v>7</v>
      </c>
    </row>
    <row r="363" spans="1:66" ht="15">
      <c r="A363" s="61" t="s">
        <v>418</v>
      </c>
      <c r="B363" s="61" t="s">
        <v>555</v>
      </c>
      <c r="C363" s="62" t="s">
        <v>4688</v>
      </c>
      <c r="D363" s="63">
        <v>5</v>
      </c>
      <c r="E363" s="62"/>
      <c r="F363" s="65">
        <v>50</v>
      </c>
      <c r="G363" s="62"/>
      <c r="H363" s="66"/>
      <c r="I363" s="67"/>
      <c r="J363" s="67"/>
      <c r="K363" s="31" t="s">
        <v>65</v>
      </c>
      <c r="L363" s="68">
        <v>363</v>
      </c>
      <c r="M363" s="68"/>
      <c r="N363" s="69"/>
      <c r="O363" s="76" t="s">
        <v>587</v>
      </c>
      <c r="P363" s="78">
        <v>44818.87365740741</v>
      </c>
      <c r="Q363" s="76" t="s">
        <v>739</v>
      </c>
      <c r="R363" s="76"/>
      <c r="S363" s="76"/>
      <c r="T363" s="81" t="s">
        <v>868</v>
      </c>
      <c r="U363" s="76"/>
      <c r="V363" s="79" t="str">
        <f>HYPERLINK("https://pbs.twimg.com/profile_images/1550587016798212097/iNHMHieS_normal.jpg")</f>
        <v>https://pbs.twimg.com/profile_images/1550587016798212097/iNHMHieS_normal.jpg</v>
      </c>
      <c r="W363" s="78">
        <v>44818.87365740741</v>
      </c>
      <c r="X363" s="84">
        <v>44818</v>
      </c>
      <c r="Y363" s="81" t="s">
        <v>1142</v>
      </c>
      <c r="Z363" s="79" t="str">
        <f>HYPERLINK("https://twitter.com/jabalmiza/status/1570154939179057153")</f>
        <v>https://twitter.com/jabalmiza/status/1570154939179057153</v>
      </c>
      <c r="AA363" s="76"/>
      <c r="AB363" s="76"/>
      <c r="AC363" s="81" t="s">
        <v>1473</v>
      </c>
      <c r="AD363" s="81" t="s">
        <v>1642</v>
      </c>
      <c r="AE363" s="76" t="b">
        <v>0</v>
      </c>
      <c r="AF363" s="76">
        <v>0</v>
      </c>
      <c r="AG363" s="81" t="s">
        <v>1746</v>
      </c>
      <c r="AH363" s="76" t="b">
        <v>0</v>
      </c>
      <c r="AI363" s="76" t="s">
        <v>1772</v>
      </c>
      <c r="AJ363" s="76"/>
      <c r="AK363" s="81" t="s">
        <v>1674</v>
      </c>
      <c r="AL363" s="76" t="b">
        <v>0</v>
      </c>
      <c r="AM363" s="76">
        <v>0</v>
      </c>
      <c r="AN363" s="81" t="s">
        <v>1674</v>
      </c>
      <c r="AO363" s="81" t="s">
        <v>1807</v>
      </c>
      <c r="AP363" s="76" t="b">
        <v>0</v>
      </c>
      <c r="AQ363" s="81" t="s">
        <v>1642</v>
      </c>
      <c r="AR363" s="76" t="s">
        <v>219</v>
      </c>
      <c r="AS363" s="76">
        <v>0</v>
      </c>
      <c r="AT363" s="76">
        <v>0</v>
      </c>
      <c r="AU363" s="76"/>
      <c r="AV363" s="76"/>
      <c r="AW363" s="76"/>
      <c r="AX363" s="76"/>
      <c r="AY363" s="76"/>
      <c r="AZ363" s="76"/>
      <c r="BA363" s="76"/>
      <c r="BB363" s="76"/>
      <c r="BC363">
        <v>1</v>
      </c>
      <c r="BD363" s="75" t="str">
        <f>REPLACE(INDEX(GroupVertices[Group],MATCH(Edges[[#This Row],[Vertex 1]],GroupVertices[Vertex],0)),1,1,"")</f>
        <v>4</v>
      </c>
      <c r="BE363" s="75" t="str">
        <f>REPLACE(INDEX(GroupVertices[Group],MATCH(Edges[[#This Row],[Vertex 2]],GroupVertices[Vertex],0)),1,1,"")</f>
        <v>4</v>
      </c>
      <c r="BF363" s="45"/>
      <c r="BG363" s="46"/>
      <c r="BH363" s="45"/>
      <c r="BI363" s="46"/>
      <c r="BJ363" s="45"/>
      <c r="BK363" s="46"/>
      <c r="BL363" s="45"/>
      <c r="BM363" s="46"/>
      <c r="BN363" s="45"/>
    </row>
    <row r="364" spans="1:66" ht="15">
      <c r="A364" s="61" t="s">
        <v>418</v>
      </c>
      <c r="B364" s="61" t="s">
        <v>556</v>
      </c>
      <c r="C364" s="62" t="s">
        <v>4691</v>
      </c>
      <c r="D364" s="63">
        <v>5.833333333333333</v>
      </c>
      <c r="E364" s="62"/>
      <c r="F364" s="65">
        <v>44.166666666666664</v>
      </c>
      <c r="G364" s="62"/>
      <c r="H364" s="66"/>
      <c r="I364" s="67"/>
      <c r="J364" s="67"/>
      <c r="K364" s="31" t="s">
        <v>65</v>
      </c>
      <c r="L364" s="68">
        <v>364</v>
      </c>
      <c r="M364" s="68"/>
      <c r="N364" s="69"/>
      <c r="O364" s="76" t="s">
        <v>587</v>
      </c>
      <c r="P364" s="78">
        <v>44818.87123842593</v>
      </c>
      <c r="Q364" s="76" t="s">
        <v>740</v>
      </c>
      <c r="R364" s="76"/>
      <c r="S364" s="76"/>
      <c r="T364" s="81" t="s">
        <v>869</v>
      </c>
      <c r="U364" s="76"/>
      <c r="V364" s="79" t="str">
        <f>HYPERLINK("https://pbs.twimg.com/profile_images/1550587016798212097/iNHMHieS_normal.jpg")</f>
        <v>https://pbs.twimg.com/profile_images/1550587016798212097/iNHMHieS_normal.jpg</v>
      </c>
      <c r="W364" s="78">
        <v>44818.87123842593</v>
      </c>
      <c r="X364" s="84">
        <v>44818</v>
      </c>
      <c r="Y364" s="81" t="s">
        <v>1143</v>
      </c>
      <c r="Z364" s="79" t="str">
        <f>HYPERLINK("https://twitter.com/jabalmiza/status/1570154062167048192")</f>
        <v>https://twitter.com/jabalmiza/status/1570154062167048192</v>
      </c>
      <c r="AA364" s="76"/>
      <c r="AB364" s="76"/>
      <c r="AC364" s="81" t="s">
        <v>1474</v>
      </c>
      <c r="AD364" s="81" t="s">
        <v>1643</v>
      </c>
      <c r="AE364" s="76" t="b">
        <v>0</v>
      </c>
      <c r="AF364" s="76">
        <v>0</v>
      </c>
      <c r="AG364" s="81" t="s">
        <v>1747</v>
      </c>
      <c r="AH364" s="76" t="b">
        <v>0</v>
      </c>
      <c r="AI364" s="76" t="s">
        <v>1773</v>
      </c>
      <c r="AJ364" s="76"/>
      <c r="AK364" s="81" t="s">
        <v>1674</v>
      </c>
      <c r="AL364" s="76" t="b">
        <v>0</v>
      </c>
      <c r="AM364" s="76">
        <v>0</v>
      </c>
      <c r="AN364" s="81" t="s">
        <v>1674</v>
      </c>
      <c r="AO364" s="81" t="s">
        <v>1807</v>
      </c>
      <c r="AP364" s="76" t="b">
        <v>0</v>
      </c>
      <c r="AQ364" s="81" t="s">
        <v>1643</v>
      </c>
      <c r="AR364" s="76" t="s">
        <v>219</v>
      </c>
      <c r="AS364" s="76">
        <v>0</v>
      </c>
      <c r="AT364" s="76">
        <v>0</v>
      </c>
      <c r="AU364" s="76"/>
      <c r="AV364" s="76"/>
      <c r="AW364" s="76"/>
      <c r="AX364" s="76"/>
      <c r="AY364" s="76"/>
      <c r="AZ364" s="76"/>
      <c r="BA364" s="76"/>
      <c r="BB364" s="76"/>
      <c r="BC364">
        <v>3</v>
      </c>
      <c r="BD364" s="75" t="str">
        <f>REPLACE(INDEX(GroupVertices[Group],MATCH(Edges[[#This Row],[Vertex 1]],GroupVertices[Vertex],0)),1,1,"")</f>
        <v>4</v>
      </c>
      <c r="BE364" s="75" t="str">
        <f>REPLACE(INDEX(GroupVertices[Group],MATCH(Edges[[#This Row],[Vertex 2]],GroupVertices[Vertex],0)),1,1,"")</f>
        <v>4</v>
      </c>
      <c r="BF364" s="45">
        <v>0</v>
      </c>
      <c r="BG364" s="46">
        <v>0</v>
      </c>
      <c r="BH364" s="45">
        <v>0</v>
      </c>
      <c r="BI364" s="46">
        <v>0</v>
      </c>
      <c r="BJ364" s="45">
        <v>0</v>
      </c>
      <c r="BK364" s="46">
        <v>0</v>
      </c>
      <c r="BL364" s="45">
        <v>5</v>
      </c>
      <c r="BM364" s="46">
        <v>100</v>
      </c>
      <c r="BN364" s="45">
        <v>5</v>
      </c>
    </row>
    <row r="365" spans="1:66" ht="15">
      <c r="A365" s="61" t="s">
        <v>418</v>
      </c>
      <c r="B365" s="61" t="s">
        <v>556</v>
      </c>
      <c r="C365" s="62" t="s">
        <v>4691</v>
      </c>
      <c r="D365" s="63">
        <v>5.833333333333333</v>
      </c>
      <c r="E365" s="62"/>
      <c r="F365" s="65">
        <v>44.166666666666664</v>
      </c>
      <c r="G365" s="62"/>
      <c r="H365" s="66"/>
      <c r="I365" s="67"/>
      <c r="J365" s="67"/>
      <c r="K365" s="31" t="s">
        <v>65</v>
      </c>
      <c r="L365" s="68">
        <v>365</v>
      </c>
      <c r="M365" s="68"/>
      <c r="N365" s="69"/>
      <c r="O365" s="76" t="s">
        <v>588</v>
      </c>
      <c r="P365" s="78">
        <v>44818.87365740741</v>
      </c>
      <c r="Q365" s="76" t="s">
        <v>739</v>
      </c>
      <c r="R365" s="76"/>
      <c r="S365" s="76"/>
      <c r="T365" s="81" t="s">
        <v>868</v>
      </c>
      <c r="U365" s="76"/>
      <c r="V365" s="79" t="str">
        <f>HYPERLINK("https://pbs.twimg.com/profile_images/1550587016798212097/iNHMHieS_normal.jpg")</f>
        <v>https://pbs.twimg.com/profile_images/1550587016798212097/iNHMHieS_normal.jpg</v>
      </c>
      <c r="W365" s="78">
        <v>44818.87365740741</v>
      </c>
      <c r="X365" s="84">
        <v>44818</v>
      </c>
      <c r="Y365" s="81" t="s">
        <v>1142</v>
      </c>
      <c r="Z365" s="79" t="str">
        <f>HYPERLINK("https://twitter.com/jabalmiza/status/1570154939179057153")</f>
        <v>https://twitter.com/jabalmiza/status/1570154939179057153</v>
      </c>
      <c r="AA365" s="76"/>
      <c r="AB365" s="76"/>
      <c r="AC365" s="81" t="s">
        <v>1473</v>
      </c>
      <c r="AD365" s="81" t="s">
        <v>1642</v>
      </c>
      <c r="AE365" s="76" t="b">
        <v>0</v>
      </c>
      <c r="AF365" s="76">
        <v>0</v>
      </c>
      <c r="AG365" s="81" t="s">
        <v>1746</v>
      </c>
      <c r="AH365" s="76" t="b">
        <v>0</v>
      </c>
      <c r="AI365" s="76" t="s">
        <v>1772</v>
      </c>
      <c r="AJ365" s="76"/>
      <c r="AK365" s="81" t="s">
        <v>1674</v>
      </c>
      <c r="AL365" s="76" t="b">
        <v>0</v>
      </c>
      <c r="AM365" s="76">
        <v>0</v>
      </c>
      <c r="AN365" s="81" t="s">
        <v>1674</v>
      </c>
      <c r="AO365" s="81" t="s">
        <v>1807</v>
      </c>
      <c r="AP365" s="76" t="b">
        <v>0</v>
      </c>
      <c r="AQ365" s="81" t="s">
        <v>1642</v>
      </c>
      <c r="AR365" s="76" t="s">
        <v>219</v>
      </c>
      <c r="AS365" s="76">
        <v>0</v>
      </c>
      <c r="AT365" s="76">
        <v>0</v>
      </c>
      <c r="AU365" s="76"/>
      <c r="AV365" s="76"/>
      <c r="AW365" s="76"/>
      <c r="AX365" s="76"/>
      <c r="AY365" s="76"/>
      <c r="AZ365" s="76"/>
      <c r="BA365" s="76"/>
      <c r="BB365" s="76"/>
      <c r="BC365">
        <v>3</v>
      </c>
      <c r="BD365" s="75" t="str">
        <f>REPLACE(INDEX(GroupVertices[Group],MATCH(Edges[[#This Row],[Vertex 1]],GroupVertices[Vertex],0)),1,1,"")</f>
        <v>4</v>
      </c>
      <c r="BE365" s="75" t="str">
        <f>REPLACE(INDEX(GroupVertices[Group],MATCH(Edges[[#This Row],[Vertex 2]],GroupVertices[Vertex],0)),1,1,"")</f>
        <v>4</v>
      </c>
      <c r="BF365" s="45">
        <v>2</v>
      </c>
      <c r="BG365" s="46">
        <v>6.896551724137931</v>
      </c>
      <c r="BH365" s="45">
        <v>1</v>
      </c>
      <c r="BI365" s="46">
        <v>3.4482758620689653</v>
      </c>
      <c r="BJ365" s="45">
        <v>0</v>
      </c>
      <c r="BK365" s="46">
        <v>0</v>
      </c>
      <c r="BL365" s="45">
        <v>26</v>
      </c>
      <c r="BM365" s="46">
        <v>89.65517241379311</v>
      </c>
      <c r="BN365" s="45">
        <v>29</v>
      </c>
    </row>
    <row r="366" spans="1:66" ht="15">
      <c r="A366" s="61" t="s">
        <v>418</v>
      </c>
      <c r="B366" s="61" t="s">
        <v>556</v>
      </c>
      <c r="C366" s="62" t="s">
        <v>4691</v>
      </c>
      <c r="D366" s="63">
        <v>5.833333333333333</v>
      </c>
      <c r="E366" s="62"/>
      <c r="F366" s="65">
        <v>44.166666666666664</v>
      </c>
      <c r="G366" s="62"/>
      <c r="H366" s="66"/>
      <c r="I366" s="67"/>
      <c r="J366" s="67"/>
      <c r="K366" s="31" t="s">
        <v>65</v>
      </c>
      <c r="L366" s="68">
        <v>366</v>
      </c>
      <c r="M366" s="68"/>
      <c r="N366" s="69"/>
      <c r="O366" s="76" t="s">
        <v>587</v>
      </c>
      <c r="P366" s="78">
        <v>44818.87465277778</v>
      </c>
      <c r="Q366" s="76" t="s">
        <v>741</v>
      </c>
      <c r="R366" s="76"/>
      <c r="S366" s="76"/>
      <c r="T366" s="81" t="s">
        <v>868</v>
      </c>
      <c r="U366" s="76"/>
      <c r="V366" s="79" t="str">
        <f>HYPERLINK("https://pbs.twimg.com/profile_images/1550587016798212097/iNHMHieS_normal.jpg")</f>
        <v>https://pbs.twimg.com/profile_images/1550587016798212097/iNHMHieS_normal.jpg</v>
      </c>
      <c r="W366" s="78">
        <v>44818.87465277778</v>
      </c>
      <c r="X366" s="84">
        <v>44818</v>
      </c>
      <c r="Y366" s="81" t="s">
        <v>1144</v>
      </c>
      <c r="Z366" s="79" t="str">
        <f>HYPERLINK("https://twitter.com/jabalmiza/status/1570155302032670720")</f>
        <v>https://twitter.com/jabalmiza/status/1570155302032670720</v>
      </c>
      <c r="AA366" s="76"/>
      <c r="AB366" s="76"/>
      <c r="AC366" s="81" t="s">
        <v>1475</v>
      </c>
      <c r="AD366" s="81" t="s">
        <v>1644</v>
      </c>
      <c r="AE366" s="76" t="b">
        <v>0</v>
      </c>
      <c r="AF366" s="76">
        <v>0</v>
      </c>
      <c r="AG366" s="81" t="s">
        <v>1747</v>
      </c>
      <c r="AH366" s="76" t="b">
        <v>0</v>
      </c>
      <c r="AI366" s="76" t="s">
        <v>1772</v>
      </c>
      <c r="AJ366" s="76"/>
      <c r="AK366" s="81" t="s">
        <v>1674</v>
      </c>
      <c r="AL366" s="76" t="b">
        <v>0</v>
      </c>
      <c r="AM366" s="76">
        <v>0</v>
      </c>
      <c r="AN366" s="81" t="s">
        <v>1674</v>
      </c>
      <c r="AO366" s="81" t="s">
        <v>1807</v>
      </c>
      <c r="AP366" s="76" t="b">
        <v>0</v>
      </c>
      <c r="AQ366" s="81" t="s">
        <v>1644</v>
      </c>
      <c r="AR366" s="76" t="s">
        <v>219</v>
      </c>
      <c r="AS366" s="76">
        <v>0</v>
      </c>
      <c r="AT366" s="76">
        <v>0</v>
      </c>
      <c r="AU366" s="76"/>
      <c r="AV366" s="76"/>
      <c r="AW366" s="76"/>
      <c r="AX366" s="76"/>
      <c r="AY366" s="76"/>
      <c r="AZ366" s="76"/>
      <c r="BA366" s="76"/>
      <c r="BB366" s="76"/>
      <c r="BC366">
        <v>3</v>
      </c>
      <c r="BD366" s="75" t="str">
        <f>REPLACE(INDEX(GroupVertices[Group],MATCH(Edges[[#This Row],[Vertex 1]],GroupVertices[Vertex],0)),1,1,"")</f>
        <v>4</v>
      </c>
      <c r="BE366" s="75" t="str">
        <f>REPLACE(INDEX(GroupVertices[Group],MATCH(Edges[[#This Row],[Vertex 2]],GroupVertices[Vertex],0)),1,1,"")</f>
        <v>4</v>
      </c>
      <c r="BF366" s="45">
        <v>2</v>
      </c>
      <c r="BG366" s="46">
        <v>7.142857142857143</v>
      </c>
      <c r="BH366" s="45">
        <v>1</v>
      </c>
      <c r="BI366" s="46">
        <v>3.5714285714285716</v>
      </c>
      <c r="BJ366" s="45">
        <v>0</v>
      </c>
      <c r="BK366" s="46">
        <v>0</v>
      </c>
      <c r="BL366" s="45">
        <v>25</v>
      </c>
      <c r="BM366" s="46">
        <v>89.28571428571429</v>
      </c>
      <c r="BN366" s="45">
        <v>28</v>
      </c>
    </row>
    <row r="367" spans="1:66" ht="15">
      <c r="A367" s="61" t="s">
        <v>418</v>
      </c>
      <c r="B367" s="61" t="s">
        <v>557</v>
      </c>
      <c r="C367" s="62" t="s">
        <v>4688</v>
      </c>
      <c r="D367" s="63">
        <v>5</v>
      </c>
      <c r="E367" s="62"/>
      <c r="F367" s="65">
        <v>50</v>
      </c>
      <c r="G367" s="62"/>
      <c r="H367" s="66"/>
      <c r="I367" s="67"/>
      <c r="J367" s="67"/>
      <c r="K367" s="31" t="s">
        <v>65</v>
      </c>
      <c r="L367" s="68">
        <v>367</v>
      </c>
      <c r="M367" s="68"/>
      <c r="N367" s="69"/>
      <c r="O367" s="76" t="s">
        <v>587</v>
      </c>
      <c r="P367" s="78">
        <v>44818.95945601852</v>
      </c>
      <c r="Q367" s="76" t="s">
        <v>742</v>
      </c>
      <c r="R367" s="76"/>
      <c r="S367" s="76"/>
      <c r="T367" s="81" t="s">
        <v>870</v>
      </c>
      <c r="U367" s="76"/>
      <c r="V367" s="79" t="str">
        <f>HYPERLINK("https://pbs.twimg.com/profile_images/1550587016798212097/iNHMHieS_normal.jpg")</f>
        <v>https://pbs.twimg.com/profile_images/1550587016798212097/iNHMHieS_normal.jpg</v>
      </c>
      <c r="W367" s="78">
        <v>44818.95945601852</v>
      </c>
      <c r="X367" s="84">
        <v>44818</v>
      </c>
      <c r="Y367" s="81" t="s">
        <v>1145</v>
      </c>
      <c r="Z367" s="79" t="str">
        <f>HYPERLINK("https://twitter.com/jabalmiza/status/1570186031932252160")</f>
        <v>https://twitter.com/jabalmiza/status/1570186031932252160</v>
      </c>
      <c r="AA367" s="76"/>
      <c r="AB367" s="76"/>
      <c r="AC367" s="81" t="s">
        <v>1476</v>
      </c>
      <c r="AD367" s="81" t="s">
        <v>1645</v>
      </c>
      <c r="AE367" s="76" t="b">
        <v>0</v>
      </c>
      <c r="AF367" s="76">
        <v>0</v>
      </c>
      <c r="AG367" s="81" t="s">
        <v>1748</v>
      </c>
      <c r="AH367" s="76" t="b">
        <v>0</v>
      </c>
      <c r="AI367" s="76" t="s">
        <v>1773</v>
      </c>
      <c r="AJ367" s="76"/>
      <c r="AK367" s="81" t="s">
        <v>1674</v>
      </c>
      <c r="AL367" s="76" t="b">
        <v>0</v>
      </c>
      <c r="AM367" s="76">
        <v>0</v>
      </c>
      <c r="AN367" s="81" t="s">
        <v>1674</v>
      </c>
      <c r="AO367" s="81" t="s">
        <v>1807</v>
      </c>
      <c r="AP367" s="76" t="b">
        <v>0</v>
      </c>
      <c r="AQ367" s="81" t="s">
        <v>1645</v>
      </c>
      <c r="AR367" s="76" t="s">
        <v>219</v>
      </c>
      <c r="AS367" s="76">
        <v>0</v>
      </c>
      <c r="AT367" s="76">
        <v>0</v>
      </c>
      <c r="AU367" s="76"/>
      <c r="AV367" s="76"/>
      <c r="AW367" s="76"/>
      <c r="AX367" s="76"/>
      <c r="AY367" s="76"/>
      <c r="AZ367" s="76"/>
      <c r="BA367" s="76"/>
      <c r="BB367" s="76"/>
      <c r="BC367">
        <v>1</v>
      </c>
      <c r="BD367" s="75" t="str">
        <f>REPLACE(INDEX(GroupVertices[Group],MATCH(Edges[[#This Row],[Vertex 1]],GroupVertices[Vertex],0)),1,1,"")</f>
        <v>4</v>
      </c>
      <c r="BE367" s="75" t="str">
        <f>REPLACE(INDEX(GroupVertices[Group],MATCH(Edges[[#This Row],[Vertex 2]],GroupVertices[Vertex],0)),1,1,"")</f>
        <v>4</v>
      </c>
      <c r="BF367" s="45">
        <v>0</v>
      </c>
      <c r="BG367" s="46">
        <v>0</v>
      </c>
      <c r="BH367" s="45">
        <v>0</v>
      </c>
      <c r="BI367" s="46">
        <v>0</v>
      </c>
      <c r="BJ367" s="45">
        <v>0</v>
      </c>
      <c r="BK367" s="46">
        <v>0</v>
      </c>
      <c r="BL367" s="45">
        <v>3</v>
      </c>
      <c r="BM367" s="46">
        <v>100</v>
      </c>
      <c r="BN367" s="45">
        <v>3</v>
      </c>
    </row>
    <row r="368" spans="1:66" ht="15">
      <c r="A368" s="61" t="s">
        <v>418</v>
      </c>
      <c r="B368" s="61" t="s">
        <v>558</v>
      </c>
      <c r="C368" s="62" t="s">
        <v>4688</v>
      </c>
      <c r="D368" s="63">
        <v>5</v>
      </c>
      <c r="E368" s="62"/>
      <c r="F368" s="65">
        <v>50</v>
      </c>
      <c r="G368" s="62"/>
      <c r="H368" s="66"/>
      <c r="I368" s="67"/>
      <c r="J368" s="67"/>
      <c r="K368" s="31" t="s">
        <v>65</v>
      </c>
      <c r="L368" s="68">
        <v>368</v>
      </c>
      <c r="M368" s="68"/>
      <c r="N368" s="69"/>
      <c r="O368" s="76" t="s">
        <v>587</v>
      </c>
      <c r="P368" s="78">
        <v>44818.96152777778</v>
      </c>
      <c r="Q368" s="76" t="s">
        <v>743</v>
      </c>
      <c r="R368" s="76"/>
      <c r="S368" s="76"/>
      <c r="T368" s="81" t="s">
        <v>871</v>
      </c>
      <c r="U368" s="76"/>
      <c r="V368" s="79" t="str">
        <f>HYPERLINK("https://pbs.twimg.com/profile_images/1550587016798212097/iNHMHieS_normal.jpg")</f>
        <v>https://pbs.twimg.com/profile_images/1550587016798212097/iNHMHieS_normal.jpg</v>
      </c>
      <c r="W368" s="78">
        <v>44818.96152777778</v>
      </c>
      <c r="X368" s="84">
        <v>44818</v>
      </c>
      <c r="Y368" s="81" t="s">
        <v>1146</v>
      </c>
      <c r="Z368" s="79" t="str">
        <f>HYPERLINK("https://twitter.com/jabalmiza/status/1570186781773164544")</f>
        <v>https://twitter.com/jabalmiza/status/1570186781773164544</v>
      </c>
      <c r="AA368" s="76"/>
      <c r="AB368" s="76"/>
      <c r="AC368" s="81" t="s">
        <v>1477</v>
      </c>
      <c r="AD368" s="81" t="s">
        <v>1646</v>
      </c>
      <c r="AE368" s="76" t="b">
        <v>0</v>
      </c>
      <c r="AF368" s="76">
        <v>0</v>
      </c>
      <c r="AG368" s="81" t="s">
        <v>1749</v>
      </c>
      <c r="AH368" s="76" t="b">
        <v>0</v>
      </c>
      <c r="AI368" s="76" t="s">
        <v>1772</v>
      </c>
      <c r="AJ368" s="76"/>
      <c r="AK368" s="81" t="s">
        <v>1674</v>
      </c>
      <c r="AL368" s="76" t="b">
        <v>0</v>
      </c>
      <c r="AM368" s="76">
        <v>0</v>
      </c>
      <c r="AN368" s="81" t="s">
        <v>1674</v>
      </c>
      <c r="AO368" s="81" t="s">
        <v>1807</v>
      </c>
      <c r="AP368" s="76" t="b">
        <v>0</v>
      </c>
      <c r="AQ368" s="81" t="s">
        <v>1646</v>
      </c>
      <c r="AR368" s="76" t="s">
        <v>219</v>
      </c>
      <c r="AS368" s="76">
        <v>0</v>
      </c>
      <c r="AT368" s="76">
        <v>0</v>
      </c>
      <c r="AU368" s="76"/>
      <c r="AV368" s="76"/>
      <c r="AW368" s="76"/>
      <c r="AX368" s="76"/>
      <c r="AY368" s="76"/>
      <c r="AZ368" s="76"/>
      <c r="BA368" s="76"/>
      <c r="BB368" s="76"/>
      <c r="BC368">
        <v>1</v>
      </c>
      <c r="BD368" s="75" t="str">
        <f>REPLACE(INDEX(GroupVertices[Group],MATCH(Edges[[#This Row],[Vertex 1]],GroupVertices[Vertex],0)),1,1,"")</f>
        <v>4</v>
      </c>
      <c r="BE368" s="75" t="str">
        <f>REPLACE(INDEX(GroupVertices[Group],MATCH(Edges[[#This Row],[Vertex 2]],GroupVertices[Vertex],0)),1,1,"")</f>
        <v>4</v>
      </c>
      <c r="BF368" s="45">
        <v>2</v>
      </c>
      <c r="BG368" s="46">
        <v>7.6923076923076925</v>
      </c>
      <c r="BH368" s="45">
        <v>0</v>
      </c>
      <c r="BI368" s="46">
        <v>0</v>
      </c>
      <c r="BJ368" s="45">
        <v>0</v>
      </c>
      <c r="BK368" s="46">
        <v>0</v>
      </c>
      <c r="BL368" s="45">
        <v>24</v>
      </c>
      <c r="BM368" s="46">
        <v>92.3076923076923</v>
      </c>
      <c r="BN368" s="45">
        <v>26</v>
      </c>
    </row>
    <row r="369" spans="1:66" ht="15">
      <c r="A369" s="61" t="s">
        <v>418</v>
      </c>
      <c r="B369" s="61" t="s">
        <v>559</v>
      </c>
      <c r="C369" s="62" t="s">
        <v>4691</v>
      </c>
      <c r="D369" s="63">
        <v>5.833333333333333</v>
      </c>
      <c r="E369" s="62"/>
      <c r="F369" s="65">
        <v>44.166666666666664</v>
      </c>
      <c r="G369" s="62"/>
      <c r="H369" s="66"/>
      <c r="I369" s="67"/>
      <c r="J369" s="67"/>
      <c r="K369" s="31" t="s">
        <v>65</v>
      </c>
      <c r="L369" s="68">
        <v>369</v>
      </c>
      <c r="M369" s="68"/>
      <c r="N369" s="69"/>
      <c r="O369" s="76" t="s">
        <v>587</v>
      </c>
      <c r="P369" s="78">
        <v>44812.97893518519</v>
      </c>
      <c r="Q369" s="76" t="s">
        <v>744</v>
      </c>
      <c r="R369" s="76"/>
      <c r="S369" s="76"/>
      <c r="T369" s="81" t="s">
        <v>864</v>
      </c>
      <c r="U369" s="76"/>
      <c r="V369" s="79" t="str">
        <f>HYPERLINK("https://pbs.twimg.com/profile_images/1550587016798212097/iNHMHieS_normal.jpg")</f>
        <v>https://pbs.twimg.com/profile_images/1550587016798212097/iNHMHieS_normal.jpg</v>
      </c>
      <c r="W369" s="78">
        <v>44812.97893518519</v>
      </c>
      <c r="X369" s="84">
        <v>44812</v>
      </c>
      <c r="Y369" s="81" t="s">
        <v>1147</v>
      </c>
      <c r="Z369" s="79" t="str">
        <f>HYPERLINK("https://twitter.com/jabalmiza/status/1568018763022475265")</f>
        <v>https://twitter.com/jabalmiza/status/1568018763022475265</v>
      </c>
      <c r="AA369" s="76"/>
      <c r="AB369" s="76"/>
      <c r="AC369" s="81" t="s">
        <v>1478</v>
      </c>
      <c r="AD369" s="81" t="s">
        <v>1647</v>
      </c>
      <c r="AE369" s="76" t="b">
        <v>0</v>
      </c>
      <c r="AF369" s="76">
        <v>0</v>
      </c>
      <c r="AG369" s="81" t="s">
        <v>1750</v>
      </c>
      <c r="AH369" s="76" t="b">
        <v>0</v>
      </c>
      <c r="AI369" s="76" t="s">
        <v>1773</v>
      </c>
      <c r="AJ369" s="76"/>
      <c r="AK369" s="81" t="s">
        <v>1674</v>
      </c>
      <c r="AL369" s="76" t="b">
        <v>0</v>
      </c>
      <c r="AM369" s="76">
        <v>0</v>
      </c>
      <c r="AN369" s="81" t="s">
        <v>1674</v>
      </c>
      <c r="AO369" s="81" t="s">
        <v>1807</v>
      </c>
      <c r="AP369" s="76" t="b">
        <v>0</v>
      </c>
      <c r="AQ369" s="81" t="s">
        <v>1647</v>
      </c>
      <c r="AR369" s="76" t="s">
        <v>219</v>
      </c>
      <c r="AS369" s="76">
        <v>0</v>
      </c>
      <c r="AT369" s="76">
        <v>0</v>
      </c>
      <c r="AU369" s="76"/>
      <c r="AV369" s="76"/>
      <c r="AW369" s="76"/>
      <c r="AX369" s="76"/>
      <c r="AY369" s="76"/>
      <c r="AZ369" s="76"/>
      <c r="BA369" s="76"/>
      <c r="BB369" s="76"/>
      <c r="BC369">
        <v>3</v>
      </c>
      <c r="BD369" s="75" t="str">
        <f>REPLACE(INDEX(GroupVertices[Group],MATCH(Edges[[#This Row],[Vertex 1]],GroupVertices[Vertex],0)),1,1,"")</f>
        <v>4</v>
      </c>
      <c r="BE369" s="75" t="str">
        <f>REPLACE(INDEX(GroupVertices[Group],MATCH(Edges[[#This Row],[Vertex 2]],GroupVertices[Vertex],0)),1,1,"")</f>
        <v>4</v>
      </c>
      <c r="BF369" s="45">
        <v>0</v>
      </c>
      <c r="BG369" s="46">
        <v>0</v>
      </c>
      <c r="BH369" s="45">
        <v>0</v>
      </c>
      <c r="BI369" s="46">
        <v>0</v>
      </c>
      <c r="BJ369" s="45">
        <v>0</v>
      </c>
      <c r="BK369" s="46">
        <v>0</v>
      </c>
      <c r="BL369" s="45">
        <v>6</v>
      </c>
      <c r="BM369" s="46">
        <v>100</v>
      </c>
      <c r="BN369" s="45">
        <v>6</v>
      </c>
    </row>
    <row r="370" spans="1:66" ht="15">
      <c r="A370" s="61" t="s">
        <v>418</v>
      </c>
      <c r="B370" s="61" t="s">
        <v>559</v>
      </c>
      <c r="C370" s="62" t="s">
        <v>4691</v>
      </c>
      <c r="D370" s="63">
        <v>5.833333333333333</v>
      </c>
      <c r="E370" s="62"/>
      <c r="F370" s="65">
        <v>44.166666666666664</v>
      </c>
      <c r="G370" s="62"/>
      <c r="H370" s="66"/>
      <c r="I370" s="67"/>
      <c r="J370" s="67"/>
      <c r="K370" s="31" t="s">
        <v>65</v>
      </c>
      <c r="L370" s="68">
        <v>370</v>
      </c>
      <c r="M370" s="68"/>
      <c r="N370" s="69"/>
      <c r="O370" s="76" t="s">
        <v>587</v>
      </c>
      <c r="P370" s="78">
        <v>44818.96366898148</v>
      </c>
      <c r="Q370" s="76" t="s">
        <v>745</v>
      </c>
      <c r="R370" s="76"/>
      <c r="S370" s="76"/>
      <c r="T370" s="81" t="s">
        <v>871</v>
      </c>
      <c r="U370" s="76"/>
      <c r="V370" s="79" t="str">
        <f>HYPERLINK("https://pbs.twimg.com/profile_images/1550587016798212097/iNHMHieS_normal.jpg")</f>
        <v>https://pbs.twimg.com/profile_images/1550587016798212097/iNHMHieS_normal.jpg</v>
      </c>
      <c r="W370" s="78">
        <v>44818.96366898148</v>
      </c>
      <c r="X370" s="84">
        <v>44818</v>
      </c>
      <c r="Y370" s="81" t="s">
        <v>1148</v>
      </c>
      <c r="Z370" s="79" t="str">
        <f>HYPERLINK("https://twitter.com/jabalmiza/status/1570187559522664449")</f>
        <v>https://twitter.com/jabalmiza/status/1570187559522664449</v>
      </c>
      <c r="AA370" s="76"/>
      <c r="AB370" s="76"/>
      <c r="AC370" s="81" t="s">
        <v>1479</v>
      </c>
      <c r="AD370" s="81" t="s">
        <v>1648</v>
      </c>
      <c r="AE370" s="76" t="b">
        <v>0</v>
      </c>
      <c r="AF370" s="76">
        <v>0</v>
      </c>
      <c r="AG370" s="81" t="s">
        <v>1750</v>
      </c>
      <c r="AH370" s="76" t="b">
        <v>0</v>
      </c>
      <c r="AI370" s="76" t="s">
        <v>1780</v>
      </c>
      <c r="AJ370" s="76"/>
      <c r="AK370" s="81" t="s">
        <v>1674</v>
      </c>
      <c r="AL370" s="76" t="b">
        <v>0</v>
      </c>
      <c r="AM370" s="76">
        <v>0</v>
      </c>
      <c r="AN370" s="81" t="s">
        <v>1674</v>
      </c>
      <c r="AO370" s="81" t="s">
        <v>1807</v>
      </c>
      <c r="AP370" s="76" t="b">
        <v>0</v>
      </c>
      <c r="AQ370" s="81" t="s">
        <v>1648</v>
      </c>
      <c r="AR370" s="76" t="s">
        <v>219</v>
      </c>
      <c r="AS370" s="76">
        <v>0</v>
      </c>
      <c r="AT370" s="76">
        <v>0</v>
      </c>
      <c r="AU370" s="76"/>
      <c r="AV370" s="76"/>
      <c r="AW370" s="76"/>
      <c r="AX370" s="76"/>
      <c r="AY370" s="76"/>
      <c r="AZ370" s="76"/>
      <c r="BA370" s="76"/>
      <c r="BB370" s="76"/>
      <c r="BC370">
        <v>3</v>
      </c>
      <c r="BD370" s="75" t="str">
        <f>REPLACE(INDEX(GroupVertices[Group],MATCH(Edges[[#This Row],[Vertex 1]],GroupVertices[Vertex],0)),1,1,"")</f>
        <v>4</v>
      </c>
      <c r="BE370" s="75" t="str">
        <f>REPLACE(INDEX(GroupVertices[Group],MATCH(Edges[[#This Row],[Vertex 2]],GroupVertices[Vertex],0)),1,1,"")</f>
        <v>4</v>
      </c>
      <c r="BF370" s="45">
        <v>1</v>
      </c>
      <c r="BG370" s="46">
        <v>3.3333333333333335</v>
      </c>
      <c r="BH370" s="45">
        <v>0</v>
      </c>
      <c r="BI370" s="46">
        <v>0</v>
      </c>
      <c r="BJ370" s="45">
        <v>0</v>
      </c>
      <c r="BK370" s="46">
        <v>0</v>
      </c>
      <c r="BL370" s="45">
        <v>29</v>
      </c>
      <c r="BM370" s="46">
        <v>96.66666666666667</v>
      </c>
      <c r="BN370" s="45">
        <v>30</v>
      </c>
    </row>
    <row r="371" spans="1:66" ht="15">
      <c r="A371" s="61" t="s">
        <v>418</v>
      </c>
      <c r="B371" s="61" t="s">
        <v>559</v>
      </c>
      <c r="C371" s="62" t="s">
        <v>4691</v>
      </c>
      <c r="D371" s="63">
        <v>5.833333333333333</v>
      </c>
      <c r="E371" s="62"/>
      <c r="F371" s="65">
        <v>44.166666666666664</v>
      </c>
      <c r="G371" s="62"/>
      <c r="H371" s="66"/>
      <c r="I371" s="67"/>
      <c r="J371" s="67"/>
      <c r="K371" s="31" t="s">
        <v>65</v>
      </c>
      <c r="L371" s="68">
        <v>371</v>
      </c>
      <c r="M371" s="68"/>
      <c r="N371" s="69"/>
      <c r="O371" s="76" t="s">
        <v>587</v>
      </c>
      <c r="P371" s="78">
        <v>44818.96413194444</v>
      </c>
      <c r="Q371" s="76" t="s">
        <v>746</v>
      </c>
      <c r="R371" s="76"/>
      <c r="S371" s="76"/>
      <c r="T371" s="81" t="s">
        <v>871</v>
      </c>
      <c r="U371" s="76"/>
      <c r="V371" s="79" t="str">
        <f>HYPERLINK("https://pbs.twimg.com/profile_images/1550587016798212097/iNHMHieS_normal.jpg")</f>
        <v>https://pbs.twimg.com/profile_images/1550587016798212097/iNHMHieS_normal.jpg</v>
      </c>
      <c r="W371" s="78">
        <v>44818.96413194444</v>
      </c>
      <c r="X371" s="84">
        <v>44818</v>
      </c>
      <c r="Y371" s="81" t="s">
        <v>1149</v>
      </c>
      <c r="Z371" s="79" t="str">
        <f>HYPERLINK("https://twitter.com/jabalmiza/status/1570187728352051206")</f>
        <v>https://twitter.com/jabalmiza/status/1570187728352051206</v>
      </c>
      <c r="AA371" s="76"/>
      <c r="AB371" s="76"/>
      <c r="AC371" s="81" t="s">
        <v>1480</v>
      </c>
      <c r="AD371" s="81" t="s">
        <v>1649</v>
      </c>
      <c r="AE371" s="76" t="b">
        <v>0</v>
      </c>
      <c r="AF371" s="76">
        <v>0</v>
      </c>
      <c r="AG371" s="81" t="s">
        <v>1750</v>
      </c>
      <c r="AH371" s="76" t="b">
        <v>0</v>
      </c>
      <c r="AI371" s="76" t="s">
        <v>1780</v>
      </c>
      <c r="AJ371" s="76"/>
      <c r="AK371" s="81" t="s">
        <v>1674</v>
      </c>
      <c r="AL371" s="76" t="b">
        <v>0</v>
      </c>
      <c r="AM371" s="76">
        <v>0</v>
      </c>
      <c r="AN371" s="81" t="s">
        <v>1674</v>
      </c>
      <c r="AO371" s="81" t="s">
        <v>1807</v>
      </c>
      <c r="AP371" s="76" t="b">
        <v>0</v>
      </c>
      <c r="AQ371" s="81" t="s">
        <v>1649</v>
      </c>
      <c r="AR371" s="76" t="s">
        <v>219</v>
      </c>
      <c r="AS371" s="76">
        <v>0</v>
      </c>
      <c r="AT371" s="76">
        <v>0</v>
      </c>
      <c r="AU371" s="76"/>
      <c r="AV371" s="76"/>
      <c r="AW371" s="76"/>
      <c r="AX371" s="76"/>
      <c r="AY371" s="76"/>
      <c r="AZ371" s="76"/>
      <c r="BA371" s="76"/>
      <c r="BB371" s="76"/>
      <c r="BC371">
        <v>3</v>
      </c>
      <c r="BD371" s="75" t="str">
        <f>REPLACE(INDEX(GroupVertices[Group],MATCH(Edges[[#This Row],[Vertex 1]],GroupVertices[Vertex],0)),1,1,"")</f>
        <v>4</v>
      </c>
      <c r="BE371" s="75" t="str">
        <f>REPLACE(INDEX(GroupVertices[Group],MATCH(Edges[[#This Row],[Vertex 2]],GroupVertices[Vertex],0)),1,1,"")</f>
        <v>4</v>
      </c>
      <c r="BF371" s="45">
        <v>1</v>
      </c>
      <c r="BG371" s="46">
        <v>5.2631578947368425</v>
      </c>
      <c r="BH371" s="45">
        <v>0</v>
      </c>
      <c r="BI371" s="46">
        <v>0</v>
      </c>
      <c r="BJ371" s="45">
        <v>0</v>
      </c>
      <c r="BK371" s="46">
        <v>0</v>
      </c>
      <c r="BL371" s="45">
        <v>18</v>
      </c>
      <c r="BM371" s="46">
        <v>94.73684210526316</v>
      </c>
      <c r="BN371" s="45">
        <v>19</v>
      </c>
    </row>
    <row r="372" spans="1:66" ht="15">
      <c r="A372" s="61" t="s">
        <v>418</v>
      </c>
      <c r="B372" s="61" t="s">
        <v>560</v>
      </c>
      <c r="C372" s="62" t="s">
        <v>4688</v>
      </c>
      <c r="D372" s="63">
        <v>5</v>
      </c>
      <c r="E372" s="62"/>
      <c r="F372" s="65">
        <v>50</v>
      </c>
      <c r="G372" s="62"/>
      <c r="H372" s="66"/>
      <c r="I372" s="67"/>
      <c r="J372" s="67"/>
      <c r="K372" s="31" t="s">
        <v>65</v>
      </c>
      <c r="L372" s="68">
        <v>372</v>
      </c>
      <c r="M372" s="68"/>
      <c r="N372" s="69"/>
      <c r="O372" s="76" t="s">
        <v>587</v>
      </c>
      <c r="P372" s="78">
        <v>44818.993368055555</v>
      </c>
      <c r="Q372" s="76" t="s">
        <v>747</v>
      </c>
      <c r="R372" s="76"/>
      <c r="S372" s="76"/>
      <c r="T372" s="81" t="s">
        <v>872</v>
      </c>
      <c r="U372" s="76"/>
      <c r="V372" s="79" t="str">
        <f>HYPERLINK("https://pbs.twimg.com/profile_images/1550587016798212097/iNHMHieS_normal.jpg")</f>
        <v>https://pbs.twimg.com/profile_images/1550587016798212097/iNHMHieS_normal.jpg</v>
      </c>
      <c r="W372" s="78">
        <v>44818.993368055555</v>
      </c>
      <c r="X372" s="84">
        <v>44818</v>
      </c>
      <c r="Y372" s="81" t="s">
        <v>1150</v>
      </c>
      <c r="Z372" s="79" t="str">
        <f>HYPERLINK("https://twitter.com/jabalmiza/status/1570198321574318080")</f>
        <v>https://twitter.com/jabalmiza/status/1570198321574318080</v>
      </c>
      <c r="AA372" s="76"/>
      <c r="AB372" s="76"/>
      <c r="AC372" s="81" t="s">
        <v>1481</v>
      </c>
      <c r="AD372" s="81" t="s">
        <v>1650</v>
      </c>
      <c r="AE372" s="76" t="b">
        <v>0</v>
      </c>
      <c r="AF372" s="76">
        <v>0</v>
      </c>
      <c r="AG372" s="81" t="s">
        <v>1751</v>
      </c>
      <c r="AH372" s="76" t="b">
        <v>0</v>
      </c>
      <c r="AI372" s="76" t="s">
        <v>1772</v>
      </c>
      <c r="AJ372" s="76"/>
      <c r="AK372" s="81" t="s">
        <v>1674</v>
      </c>
      <c r="AL372" s="76" t="b">
        <v>0</v>
      </c>
      <c r="AM372" s="76">
        <v>0</v>
      </c>
      <c r="AN372" s="81" t="s">
        <v>1674</v>
      </c>
      <c r="AO372" s="81" t="s">
        <v>1807</v>
      </c>
      <c r="AP372" s="76" t="b">
        <v>0</v>
      </c>
      <c r="AQ372" s="81" t="s">
        <v>1650</v>
      </c>
      <c r="AR372" s="76" t="s">
        <v>219</v>
      </c>
      <c r="AS372" s="76">
        <v>0</v>
      </c>
      <c r="AT372" s="76">
        <v>0</v>
      </c>
      <c r="AU372" s="76"/>
      <c r="AV372" s="76"/>
      <c r="AW372" s="76"/>
      <c r="AX372" s="76"/>
      <c r="AY372" s="76"/>
      <c r="AZ372" s="76"/>
      <c r="BA372" s="76"/>
      <c r="BB372" s="76"/>
      <c r="BC372">
        <v>1</v>
      </c>
      <c r="BD372" s="75" t="str">
        <f>REPLACE(INDEX(GroupVertices[Group],MATCH(Edges[[#This Row],[Vertex 1]],GroupVertices[Vertex],0)),1,1,"")</f>
        <v>4</v>
      </c>
      <c r="BE372" s="75" t="str">
        <f>REPLACE(INDEX(GroupVertices[Group],MATCH(Edges[[#This Row],[Vertex 2]],GroupVertices[Vertex],0)),1,1,"")</f>
        <v>4</v>
      </c>
      <c r="BF372" s="45">
        <v>0</v>
      </c>
      <c r="BG372" s="46">
        <v>0</v>
      </c>
      <c r="BH372" s="45">
        <v>0</v>
      </c>
      <c r="BI372" s="46">
        <v>0</v>
      </c>
      <c r="BJ372" s="45">
        <v>0</v>
      </c>
      <c r="BK372" s="46">
        <v>0</v>
      </c>
      <c r="BL372" s="45">
        <v>9</v>
      </c>
      <c r="BM372" s="46">
        <v>100</v>
      </c>
      <c r="BN372" s="45">
        <v>9</v>
      </c>
    </row>
    <row r="373" spans="1:66" ht="15">
      <c r="A373" s="61" t="s">
        <v>418</v>
      </c>
      <c r="B373" s="61" t="s">
        <v>561</v>
      </c>
      <c r="C373" s="62" t="s">
        <v>4688</v>
      </c>
      <c r="D373" s="63">
        <v>5</v>
      </c>
      <c r="E373" s="62"/>
      <c r="F373" s="65">
        <v>50</v>
      </c>
      <c r="G373" s="62"/>
      <c r="H373" s="66"/>
      <c r="I373" s="67"/>
      <c r="J373" s="67"/>
      <c r="K373" s="31" t="s">
        <v>65</v>
      </c>
      <c r="L373" s="68">
        <v>373</v>
      </c>
      <c r="M373" s="68"/>
      <c r="N373" s="69"/>
      <c r="O373" s="76" t="s">
        <v>587</v>
      </c>
      <c r="P373" s="78">
        <v>44819.61510416667</v>
      </c>
      <c r="Q373" s="76" t="s">
        <v>748</v>
      </c>
      <c r="R373" s="76"/>
      <c r="S373" s="76"/>
      <c r="T373" s="81" t="s">
        <v>873</v>
      </c>
      <c r="U373" s="76"/>
      <c r="V373" s="79" t="str">
        <f>HYPERLINK("https://pbs.twimg.com/profile_images/1550587016798212097/iNHMHieS_normal.jpg")</f>
        <v>https://pbs.twimg.com/profile_images/1550587016798212097/iNHMHieS_normal.jpg</v>
      </c>
      <c r="W373" s="78">
        <v>44819.61510416667</v>
      </c>
      <c r="X373" s="84">
        <v>44819</v>
      </c>
      <c r="Y373" s="81" t="s">
        <v>1151</v>
      </c>
      <c r="Z373" s="79" t="str">
        <f>HYPERLINK("https://twitter.com/jabalmiza/status/1570423631674589190")</f>
        <v>https://twitter.com/jabalmiza/status/1570423631674589190</v>
      </c>
      <c r="AA373" s="76"/>
      <c r="AB373" s="76"/>
      <c r="AC373" s="81" t="s">
        <v>1482</v>
      </c>
      <c r="AD373" s="81" t="s">
        <v>1651</v>
      </c>
      <c r="AE373" s="76" t="b">
        <v>0</v>
      </c>
      <c r="AF373" s="76">
        <v>0</v>
      </c>
      <c r="AG373" s="81" t="s">
        <v>1752</v>
      </c>
      <c r="AH373" s="76" t="b">
        <v>0</v>
      </c>
      <c r="AI373" s="76" t="s">
        <v>1780</v>
      </c>
      <c r="AJ373" s="76"/>
      <c r="AK373" s="81" t="s">
        <v>1674</v>
      </c>
      <c r="AL373" s="76" t="b">
        <v>0</v>
      </c>
      <c r="AM373" s="76">
        <v>0</v>
      </c>
      <c r="AN373" s="81" t="s">
        <v>1674</v>
      </c>
      <c r="AO373" s="81" t="s">
        <v>1807</v>
      </c>
      <c r="AP373" s="76" t="b">
        <v>0</v>
      </c>
      <c r="AQ373" s="81" t="s">
        <v>1651</v>
      </c>
      <c r="AR373" s="76" t="s">
        <v>219</v>
      </c>
      <c r="AS373" s="76">
        <v>0</v>
      </c>
      <c r="AT373" s="76">
        <v>0</v>
      </c>
      <c r="AU373" s="76"/>
      <c r="AV373" s="76"/>
      <c r="AW373" s="76"/>
      <c r="AX373" s="76"/>
      <c r="AY373" s="76"/>
      <c r="AZ373" s="76"/>
      <c r="BA373" s="76"/>
      <c r="BB373" s="76"/>
      <c r="BC373">
        <v>1</v>
      </c>
      <c r="BD373" s="75" t="str">
        <f>REPLACE(INDEX(GroupVertices[Group],MATCH(Edges[[#This Row],[Vertex 1]],GroupVertices[Vertex],0)),1,1,"")</f>
        <v>4</v>
      </c>
      <c r="BE373" s="75" t="str">
        <f>REPLACE(INDEX(GroupVertices[Group],MATCH(Edges[[#This Row],[Vertex 2]],GroupVertices[Vertex],0)),1,1,"")</f>
        <v>4</v>
      </c>
      <c r="BF373" s="45">
        <v>1</v>
      </c>
      <c r="BG373" s="46">
        <v>3.225806451612903</v>
      </c>
      <c r="BH373" s="45">
        <v>0</v>
      </c>
      <c r="BI373" s="46">
        <v>0</v>
      </c>
      <c r="BJ373" s="45">
        <v>0</v>
      </c>
      <c r="BK373" s="46">
        <v>0</v>
      </c>
      <c r="BL373" s="45">
        <v>30</v>
      </c>
      <c r="BM373" s="46">
        <v>96.7741935483871</v>
      </c>
      <c r="BN373" s="45">
        <v>31</v>
      </c>
    </row>
    <row r="374" spans="1:66" ht="15">
      <c r="A374" s="61" t="s">
        <v>419</v>
      </c>
      <c r="B374" s="61" t="s">
        <v>419</v>
      </c>
      <c r="C374" s="62" t="s">
        <v>4696</v>
      </c>
      <c r="D374" s="63">
        <v>8.333333333333334</v>
      </c>
      <c r="E374" s="62"/>
      <c r="F374" s="65">
        <v>26.666666666666668</v>
      </c>
      <c r="G374" s="62"/>
      <c r="H374" s="66"/>
      <c r="I374" s="67"/>
      <c r="J374" s="67"/>
      <c r="K374" s="31" t="s">
        <v>65</v>
      </c>
      <c r="L374" s="68">
        <v>374</v>
      </c>
      <c r="M374" s="68"/>
      <c r="N374" s="69"/>
      <c r="O374" s="76" t="s">
        <v>219</v>
      </c>
      <c r="P374" s="78">
        <v>44811.67403935185</v>
      </c>
      <c r="Q374" s="76" t="s">
        <v>749</v>
      </c>
      <c r="R374" s="79" t="str">
        <f>HYPERLINK("https://www.restaurant-kiev.com")</f>
        <v>https://www.restaurant-kiev.com</v>
      </c>
      <c r="S374" s="76" t="s">
        <v>789</v>
      </c>
      <c r="T374" s="81" t="s">
        <v>874</v>
      </c>
      <c r="U374" s="76"/>
      <c r="V374" s="79" t="str">
        <f>HYPERLINK("https://pbs.twimg.com/profile_images/1480295098273644544/Ns_7wxQQ_normal.jpg")</f>
        <v>https://pbs.twimg.com/profile_images/1480295098273644544/Ns_7wxQQ_normal.jpg</v>
      </c>
      <c r="W374" s="78">
        <v>44811.67403935185</v>
      </c>
      <c r="X374" s="84">
        <v>44811</v>
      </c>
      <c r="Y374" s="81" t="s">
        <v>1152</v>
      </c>
      <c r="Z374" s="79" t="str">
        <f>HYPERLINK("https://twitter.com/_b0lil0d_/status/1567545887836049408")</f>
        <v>https://twitter.com/_b0lil0d_/status/1567545887836049408</v>
      </c>
      <c r="AA374" s="76"/>
      <c r="AB374" s="76"/>
      <c r="AC374" s="81" t="s">
        <v>1483</v>
      </c>
      <c r="AD374" s="76"/>
      <c r="AE374" s="76" t="b">
        <v>0</v>
      </c>
      <c r="AF374" s="76">
        <v>0</v>
      </c>
      <c r="AG374" s="81" t="s">
        <v>1674</v>
      </c>
      <c r="AH374" s="76" t="b">
        <v>0</v>
      </c>
      <c r="AI374" s="76" t="s">
        <v>1782</v>
      </c>
      <c r="AJ374" s="76"/>
      <c r="AK374" s="81" t="s">
        <v>1674</v>
      </c>
      <c r="AL374" s="76" t="b">
        <v>0</v>
      </c>
      <c r="AM374" s="76">
        <v>0</v>
      </c>
      <c r="AN374" s="81" t="s">
        <v>1674</v>
      </c>
      <c r="AO374" s="81" t="s">
        <v>1811</v>
      </c>
      <c r="AP374" s="76" t="b">
        <v>0</v>
      </c>
      <c r="AQ374" s="81" t="s">
        <v>1483</v>
      </c>
      <c r="AR374" s="76" t="s">
        <v>219</v>
      </c>
      <c r="AS374" s="76">
        <v>0</v>
      </c>
      <c r="AT374" s="76">
        <v>0</v>
      </c>
      <c r="AU374" s="76"/>
      <c r="AV374" s="76"/>
      <c r="AW374" s="76"/>
      <c r="AX374" s="76"/>
      <c r="AY374" s="76"/>
      <c r="AZ374" s="76"/>
      <c r="BA374" s="76"/>
      <c r="BB374" s="76"/>
      <c r="BC374">
        <v>9</v>
      </c>
      <c r="BD374" s="75" t="str">
        <f>REPLACE(INDEX(GroupVertices[Group],MATCH(Edges[[#This Row],[Vertex 1]],GroupVertices[Vertex],0)),1,1,"")</f>
        <v>2</v>
      </c>
      <c r="BE374" s="75" t="str">
        <f>REPLACE(INDEX(GroupVertices[Group],MATCH(Edges[[#This Row],[Vertex 2]],GroupVertices[Vertex],0)),1,1,"")</f>
        <v>2</v>
      </c>
      <c r="BF374" s="45">
        <v>0</v>
      </c>
      <c r="BG374" s="46">
        <v>0</v>
      </c>
      <c r="BH374" s="45">
        <v>0</v>
      </c>
      <c r="BI374" s="46">
        <v>0</v>
      </c>
      <c r="BJ374" s="45">
        <v>0</v>
      </c>
      <c r="BK374" s="46">
        <v>0</v>
      </c>
      <c r="BL374" s="45">
        <v>4</v>
      </c>
      <c r="BM374" s="46">
        <v>100</v>
      </c>
      <c r="BN374" s="45">
        <v>4</v>
      </c>
    </row>
    <row r="375" spans="1:66" ht="15">
      <c r="A375" s="61" t="s">
        <v>419</v>
      </c>
      <c r="B375" s="61" t="s">
        <v>419</v>
      </c>
      <c r="C375" s="62" t="s">
        <v>4696</v>
      </c>
      <c r="D375" s="63">
        <v>8.333333333333334</v>
      </c>
      <c r="E375" s="62"/>
      <c r="F375" s="65">
        <v>26.666666666666668</v>
      </c>
      <c r="G375" s="62"/>
      <c r="H375" s="66"/>
      <c r="I375" s="67"/>
      <c r="J375" s="67"/>
      <c r="K375" s="31" t="s">
        <v>65</v>
      </c>
      <c r="L375" s="68">
        <v>375</v>
      </c>
      <c r="M375" s="68"/>
      <c r="N375" s="69"/>
      <c r="O375" s="76" t="s">
        <v>219</v>
      </c>
      <c r="P375" s="78">
        <v>44812.674050925925</v>
      </c>
      <c r="Q375" s="76" t="s">
        <v>749</v>
      </c>
      <c r="R375" s="79" t="str">
        <f>HYPERLINK("https://www.restaurant-kiev.com")</f>
        <v>https://www.restaurant-kiev.com</v>
      </c>
      <c r="S375" s="76" t="s">
        <v>789</v>
      </c>
      <c r="T375" s="81" t="s">
        <v>874</v>
      </c>
      <c r="U375" s="76"/>
      <c r="V375" s="79" t="str">
        <f>HYPERLINK("https://pbs.twimg.com/profile_images/1480295098273644544/Ns_7wxQQ_normal.jpg")</f>
        <v>https://pbs.twimg.com/profile_images/1480295098273644544/Ns_7wxQQ_normal.jpg</v>
      </c>
      <c r="W375" s="78">
        <v>44812.674050925925</v>
      </c>
      <c r="X375" s="84">
        <v>44812</v>
      </c>
      <c r="Y375" s="81" t="s">
        <v>1153</v>
      </c>
      <c r="Z375" s="79" t="str">
        <f>HYPERLINK("https://twitter.com/_b0lil0d_/status/1567908279191232519")</f>
        <v>https://twitter.com/_b0lil0d_/status/1567908279191232519</v>
      </c>
      <c r="AA375" s="76"/>
      <c r="AB375" s="76"/>
      <c r="AC375" s="81" t="s">
        <v>1484</v>
      </c>
      <c r="AD375" s="76"/>
      <c r="AE375" s="76" t="b">
        <v>0</v>
      </c>
      <c r="AF375" s="76">
        <v>0</v>
      </c>
      <c r="AG375" s="81" t="s">
        <v>1674</v>
      </c>
      <c r="AH375" s="76" t="b">
        <v>0</v>
      </c>
      <c r="AI375" s="76" t="s">
        <v>1782</v>
      </c>
      <c r="AJ375" s="76"/>
      <c r="AK375" s="81" t="s">
        <v>1674</v>
      </c>
      <c r="AL375" s="76" t="b">
        <v>0</v>
      </c>
      <c r="AM375" s="76">
        <v>0</v>
      </c>
      <c r="AN375" s="81" t="s">
        <v>1674</v>
      </c>
      <c r="AO375" s="81" t="s">
        <v>1811</v>
      </c>
      <c r="AP375" s="76" t="b">
        <v>0</v>
      </c>
      <c r="AQ375" s="81" t="s">
        <v>1484</v>
      </c>
      <c r="AR375" s="76" t="s">
        <v>219</v>
      </c>
      <c r="AS375" s="76">
        <v>0</v>
      </c>
      <c r="AT375" s="76">
        <v>0</v>
      </c>
      <c r="AU375" s="76"/>
      <c r="AV375" s="76"/>
      <c r="AW375" s="76"/>
      <c r="AX375" s="76"/>
      <c r="AY375" s="76"/>
      <c r="AZ375" s="76"/>
      <c r="BA375" s="76"/>
      <c r="BB375" s="76"/>
      <c r="BC375">
        <v>9</v>
      </c>
      <c r="BD375" s="75" t="str">
        <f>REPLACE(INDEX(GroupVertices[Group],MATCH(Edges[[#This Row],[Vertex 1]],GroupVertices[Vertex],0)),1,1,"")</f>
        <v>2</v>
      </c>
      <c r="BE375" s="75" t="str">
        <f>REPLACE(INDEX(GroupVertices[Group],MATCH(Edges[[#This Row],[Vertex 2]],GroupVertices[Vertex],0)),1,1,"")</f>
        <v>2</v>
      </c>
      <c r="BF375" s="45">
        <v>0</v>
      </c>
      <c r="BG375" s="46">
        <v>0</v>
      </c>
      <c r="BH375" s="45">
        <v>0</v>
      </c>
      <c r="BI375" s="46">
        <v>0</v>
      </c>
      <c r="BJ375" s="45">
        <v>0</v>
      </c>
      <c r="BK375" s="46">
        <v>0</v>
      </c>
      <c r="BL375" s="45">
        <v>4</v>
      </c>
      <c r="BM375" s="46">
        <v>100</v>
      </c>
      <c r="BN375" s="45">
        <v>4</v>
      </c>
    </row>
    <row r="376" spans="1:66" ht="15">
      <c r="A376" s="61" t="s">
        <v>419</v>
      </c>
      <c r="B376" s="61" t="s">
        <v>419</v>
      </c>
      <c r="C376" s="62" t="s">
        <v>4696</v>
      </c>
      <c r="D376" s="63">
        <v>8.333333333333334</v>
      </c>
      <c r="E376" s="62"/>
      <c r="F376" s="65">
        <v>26.666666666666668</v>
      </c>
      <c r="G376" s="62"/>
      <c r="H376" s="66"/>
      <c r="I376" s="67"/>
      <c r="J376" s="67"/>
      <c r="K376" s="31" t="s">
        <v>65</v>
      </c>
      <c r="L376" s="68">
        <v>376</v>
      </c>
      <c r="M376" s="68"/>
      <c r="N376" s="69"/>
      <c r="O376" s="76" t="s">
        <v>219</v>
      </c>
      <c r="P376" s="78">
        <v>44813.674050925925</v>
      </c>
      <c r="Q376" s="76" t="s">
        <v>749</v>
      </c>
      <c r="R376" s="79" t="str">
        <f>HYPERLINK("https://www.restaurant-kiev.com")</f>
        <v>https://www.restaurant-kiev.com</v>
      </c>
      <c r="S376" s="76" t="s">
        <v>789</v>
      </c>
      <c r="T376" s="81" t="s">
        <v>874</v>
      </c>
      <c r="U376" s="76"/>
      <c r="V376" s="79" t="str">
        <f>HYPERLINK("https://pbs.twimg.com/profile_images/1480295098273644544/Ns_7wxQQ_normal.jpg")</f>
        <v>https://pbs.twimg.com/profile_images/1480295098273644544/Ns_7wxQQ_normal.jpg</v>
      </c>
      <c r="W376" s="78">
        <v>44813.674050925925</v>
      </c>
      <c r="X376" s="84">
        <v>44813</v>
      </c>
      <c r="Y376" s="81" t="s">
        <v>1153</v>
      </c>
      <c r="Z376" s="79" t="str">
        <f>HYPERLINK("https://twitter.com/_b0lil0d_/status/1568270667639885824")</f>
        <v>https://twitter.com/_b0lil0d_/status/1568270667639885824</v>
      </c>
      <c r="AA376" s="76"/>
      <c r="AB376" s="76"/>
      <c r="AC376" s="81" t="s">
        <v>1485</v>
      </c>
      <c r="AD376" s="76"/>
      <c r="AE376" s="76" t="b">
        <v>0</v>
      </c>
      <c r="AF376" s="76">
        <v>0</v>
      </c>
      <c r="AG376" s="81" t="s">
        <v>1674</v>
      </c>
      <c r="AH376" s="76" t="b">
        <v>0</v>
      </c>
      <c r="AI376" s="76" t="s">
        <v>1782</v>
      </c>
      <c r="AJ376" s="76"/>
      <c r="AK376" s="81" t="s">
        <v>1674</v>
      </c>
      <c r="AL376" s="76" t="b">
        <v>0</v>
      </c>
      <c r="AM376" s="76">
        <v>0</v>
      </c>
      <c r="AN376" s="81" t="s">
        <v>1674</v>
      </c>
      <c r="AO376" s="81" t="s">
        <v>1811</v>
      </c>
      <c r="AP376" s="76" t="b">
        <v>0</v>
      </c>
      <c r="AQ376" s="81" t="s">
        <v>1485</v>
      </c>
      <c r="AR376" s="76" t="s">
        <v>219</v>
      </c>
      <c r="AS376" s="76">
        <v>0</v>
      </c>
      <c r="AT376" s="76">
        <v>0</v>
      </c>
      <c r="AU376" s="76"/>
      <c r="AV376" s="76"/>
      <c r="AW376" s="76"/>
      <c r="AX376" s="76"/>
      <c r="AY376" s="76"/>
      <c r="AZ376" s="76"/>
      <c r="BA376" s="76"/>
      <c r="BB376" s="76"/>
      <c r="BC376">
        <v>9</v>
      </c>
      <c r="BD376" s="75" t="str">
        <f>REPLACE(INDEX(GroupVertices[Group],MATCH(Edges[[#This Row],[Vertex 1]],GroupVertices[Vertex],0)),1,1,"")</f>
        <v>2</v>
      </c>
      <c r="BE376" s="75" t="str">
        <f>REPLACE(INDEX(GroupVertices[Group],MATCH(Edges[[#This Row],[Vertex 2]],GroupVertices[Vertex],0)),1,1,"")</f>
        <v>2</v>
      </c>
      <c r="BF376" s="45">
        <v>0</v>
      </c>
      <c r="BG376" s="46">
        <v>0</v>
      </c>
      <c r="BH376" s="45">
        <v>0</v>
      </c>
      <c r="BI376" s="46">
        <v>0</v>
      </c>
      <c r="BJ376" s="45">
        <v>0</v>
      </c>
      <c r="BK376" s="46">
        <v>0</v>
      </c>
      <c r="BL376" s="45">
        <v>4</v>
      </c>
      <c r="BM376" s="46">
        <v>100</v>
      </c>
      <c r="BN376" s="45">
        <v>4</v>
      </c>
    </row>
    <row r="377" spans="1:66" ht="15">
      <c r="A377" s="61" t="s">
        <v>419</v>
      </c>
      <c r="B377" s="61" t="s">
        <v>419</v>
      </c>
      <c r="C377" s="62" t="s">
        <v>4696</v>
      </c>
      <c r="D377" s="63">
        <v>8.333333333333334</v>
      </c>
      <c r="E377" s="62"/>
      <c r="F377" s="65">
        <v>26.666666666666668</v>
      </c>
      <c r="G377" s="62"/>
      <c r="H377" s="66"/>
      <c r="I377" s="67"/>
      <c r="J377" s="67"/>
      <c r="K377" s="31" t="s">
        <v>65</v>
      </c>
      <c r="L377" s="68">
        <v>377</v>
      </c>
      <c r="M377" s="68"/>
      <c r="N377" s="69"/>
      <c r="O377" s="76" t="s">
        <v>219</v>
      </c>
      <c r="P377" s="78">
        <v>44814.673993055556</v>
      </c>
      <c r="Q377" s="76" t="s">
        <v>749</v>
      </c>
      <c r="R377" s="79" t="str">
        <f>HYPERLINK("https://www.restaurant-kiev.com")</f>
        <v>https://www.restaurant-kiev.com</v>
      </c>
      <c r="S377" s="76" t="s">
        <v>789</v>
      </c>
      <c r="T377" s="81" t="s">
        <v>874</v>
      </c>
      <c r="U377" s="76"/>
      <c r="V377" s="79" t="str">
        <f>HYPERLINK("https://pbs.twimg.com/profile_images/1480295098273644544/Ns_7wxQQ_normal.jpg")</f>
        <v>https://pbs.twimg.com/profile_images/1480295098273644544/Ns_7wxQQ_normal.jpg</v>
      </c>
      <c r="W377" s="78">
        <v>44814.673993055556</v>
      </c>
      <c r="X377" s="84">
        <v>44814</v>
      </c>
      <c r="Y377" s="81" t="s">
        <v>1154</v>
      </c>
      <c r="Z377" s="79" t="str">
        <f>HYPERLINK("https://twitter.com/_b0lil0d_/status/1568633032210354177")</f>
        <v>https://twitter.com/_b0lil0d_/status/1568633032210354177</v>
      </c>
      <c r="AA377" s="76"/>
      <c r="AB377" s="76"/>
      <c r="AC377" s="81" t="s">
        <v>1486</v>
      </c>
      <c r="AD377" s="76"/>
      <c r="AE377" s="76" t="b">
        <v>0</v>
      </c>
      <c r="AF377" s="76">
        <v>0</v>
      </c>
      <c r="AG377" s="81" t="s">
        <v>1674</v>
      </c>
      <c r="AH377" s="76" t="b">
        <v>0</v>
      </c>
      <c r="AI377" s="76" t="s">
        <v>1782</v>
      </c>
      <c r="AJ377" s="76"/>
      <c r="AK377" s="81" t="s">
        <v>1674</v>
      </c>
      <c r="AL377" s="76" t="b">
        <v>0</v>
      </c>
      <c r="AM377" s="76">
        <v>0</v>
      </c>
      <c r="AN377" s="81" t="s">
        <v>1674</v>
      </c>
      <c r="AO377" s="81" t="s">
        <v>1811</v>
      </c>
      <c r="AP377" s="76" t="b">
        <v>0</v>
      </c>
      <c r="AQ377" s="81" t="s">
        <v>1486</v>
      </c>
      <c r="AR377" s="76" t="s">
        <v>219</v>
      </c>
      <c r="AS377" s="76">
        <v>0</v>
      </c>
      <c r="AT377" s="76">
        <v>0</v>
      </c>
      <c r="AU377" s="76"/>
      <c r="AV377" s="76"/>
      <c r="AW377" s="76"/>
      <c r="AX377" s="76"/>
      <c r="AY377" s="76"/>
      <c r="AZ377" s="76"/>
      <c r="BA377" s="76"/>
      <c r="BB377" s="76"/>
      <c r="BC377">
        <v>9</v>
      </c>
      <c r="BD377" s="75" t="str">
        <f>REPLACE(INDEX(GroupVertices[Group],MATCH(Edges[[#This Row],[Vertex 1]],GroupVertices[Vertex],0)),1,1,"")</f>
        <v>2</v>
      </c>
      <c r="BE377" s="75" t="str">
        <f>REPLACE(INDEX(GroupVertices[Group],MATCH(Edges[[#This Row],[Vertex 2]],GroupVertices[Vertex],0)),1,1,"")</f>
        <v>2</v>
      </c>
      <c r="BF377" s="45">
        <v>0</v>
      </c>
      <c r="BG377" s="46">
        <v>0</v>
      </c>
      <c r="BH377" s="45">
        <v>0</v>
      </c>
      <c r="BI377" s="46">
        <v>0</v>
      </c>
      <c r="BJ377" s="45">
        <v>0</v>
      </c>
      <c r="BK377" s="46">
        <v>0</v>
      </c>
      <c r="BL377" s="45">
        <v>4</v>
      </c>
      <c r="BM377" s="46">
        <v>100</v>
      </c>
      <c r="BN377" s="45">
        <v>4</v>
      </c>
    </row>
    <row r="378" spans="1:66" ht="15">
      <c r="A378" s="61" t="s">
        <v>419</v>
      </c>
      <c r="B378" s="61" t="s">
        <v>419</v>
      </c>
      <c r="C378" s="62" t="s">
        <v>4696</v>
      </c>
      <c r="D378" s="63">
        <v>8.333333333333334</v>
      </c>
      <c r="E378" s="62"/>
      <c r="F378" s="65">
        <v>26.666666666666668</v>
      </c>
      <c r="G378" s="62"/>
      <c r="H378" s="66"/>
      <c r="I378" s="67"/>
      <c r="J378" s="67"/>
      <c r="K378" s="31" t="s">
        <v>65</v>
      </c>
      <c r="L378" s="68">
        <v>378</v>
      </c>
      <c r="M378" s="68"/>
      <c r="N378" s="69"/>
      <c r="O378" s="76" t="s">
        <v>219</v>
      </c>
      <c r="P378" s="78">
        <v>44815.67393518519</v>
      </c>
      <c r="Q378" s="76" t="s">
        <v>749</v>
      </c>
      <c r="R378" s="79" t="str">
        <f>HYPERLINK("https://www.restaurant-kiev.com")</f>
        <v>https://www.restaurant-kiev.com</v>
      </c>
      <c r="S378" s="76" t="s">
        <v>789</v>
      </c>
      <c r="T378" s="81" t="s">
        <v>874</v>
      </c>
      <c r="U378" s="76"/>
      <c r="V378" s="79" t="str">
        <f>HYPERLINK("https://pbs.twimg.com/profile_images/1480295098273644544/Ns_7wxQQ_normal.jpg")</f>
        <v>https://pbs.twimg.com/profile_images/1480295098273644544/Ns_7wxQQ_normal.jpg</v>
      </c>
      <c r="W378" s="78">
        <v>44815.67393518519</v>
      </c>
      <c r="X378" s="84">
        <v>44815</v>
      </c>
      <c r="Y378" s="81" t="s">
        <v>1155</v>
      </c>
      <c r="Z378" s="79" t="str">
        <f>HYPERLINK("https://twitter.com/_b0lil0d_/status/1568995400010317824")</f>
        <v>https://twitter.com/_b0lil0d_/status/1568995400010317824</v>
      </c>
      <c r="AA378" s="76"/>
      <c r="AB378" s="76"/>
      <c r="AC378" s="81" t="s">
        <v>1487</v>
      </c>
      <c r="AD378" s="76"/>
      <c r="AE378" s="76" t="b">
        <v>0</v>
      </c>
      <c r="AF378" s="76">
        <v>0</v>
      </c>
      <c r="AG378" s="81" t="s">
        <v>1674</v>
      </c>
      <c r="AH378" s="76" t="b">
        <v>0</v>
      </c>
      <c r="AI378" s="76" t="s">
        <v>1782</v>
      </c>
      <c r="AJ378" s="76"/>
      <c r="AK378" s="81" t="s">
        <v>1674</v>
      </c>
      <c r="AL378" s="76" t="b">
        <v>0</v>
      </c>
      <c r="AM378" s="76">
        <v>0</v>
      </c>
      <c r="AN378" s="81" t="s">
        <v>1674</v>
      </c>
      <c r="AO378" s="81" t="s">
        <v>1811</v>
      </c>
      <c r="AP378" s="76" t="b">
        <v>0</v>
      </c>
      <c r="AQ378" s="81" t="s">
        <v>1487</v>
      </c>
      <c r="AR378" s="76" t="s">
        <v>219</v>
      </c>
      <c r="AS378" s="76">
        <v>0</v>
      </c>
      <c r="AT378" s="76">
        <v>0</v>
      </c>
      <c r="AU378" s="76"/>
      <c r="AV378" s="76"/>
      <c r="AW378" s="76"/>
      <c r="AX378" s="76"/>
      <c r="AY378" s="76"/>
      <c r="AZ378" s="76"/>
      <c r="BA378" s="76"/>
      <c r="BB378" s="76"/>
      <c r="BC378">
        <v>9</v>
      </c>
      <c r="BD378" s="75" t="str">
        <f>REPLACE(INDEX(GroupVertices[Group],MATCH(Edges[[#This Row],[Vertex 1]],GroupVertices[Vertex],0)),1,1,"")</f>
        <v>2</v>
      </c>
      <c r="BE378" s="75" t="str">
        <f>REPLACE(INDEX(GroupVertices[Group],MATCH(Edges[[#This Row],[Vertex 2]],GroupVertices[Vertex],0)),1,1,"")</f>
        <v>2</v>
      </c>
      <c r="BF378" s="45">
        <v>0</v>
      </c>
      <c r="BG378" s="46">
        <v>0</v>
      </c>
      <c r="BH378" s="45">
        <v>0</v>
      </c>
      <c r="BI378" s="46">
        <v>0</v>
      </c>
      <c r="BJ378" s="45">
        <v>0</v>
      </c>
      <c r="BK378" s="46">
        <v>0</v>
      </c>
      <c r="BL378" s="45">
        <v>4</v>
      </c>
      <c r="BM378" s="46">
        <v>100</v>
      </c>
      <c r="BN378" s="45">
        <v>4</v>
      </c>
    </row>
    <row r="379" spans="1:66" ht="15">
      <c r="A379" s="61" t="s">
        <v>419</v>
      </c>
      <c r="B379" s="61" t="s">
        <v>419</v>
      </c>
      <c r="C379" s="62" t="s">
        <v>4696</v>
      </c>
      <c r="D379" s="63">
        <v>8.333333333333334</v>
      </c>
      <c r="E379" s="62"/>
      <c r="F379" s="65">
        <v>26.666666666666668</v>
      </c>
      <c r="G379" s="62"/>
      <c r="H379" s="66"/>
      <c r="I379" s="67"/>
      <c r="J379" s="67"/>
      <c r="K379" s="31" t="s">
        <v>65</v>
      </c>
      <c r="L379" s="68">
        <v>379</v>
      </c>
      <c r="M379" s="68"/>
      <c r="N379" s="69"/>
      <c r="O379" s="76" t="s">
        <v>219</v>
      </c>
      <c r="P379" s="78">
        <v>44816.67395833333</v>
      </c>
      <c r="Q379" s="76" t="s">
        <v>749</v>
      </c>
      <c r="R379" s="79" t="str">
        <f>HYPERLINK("https://www.restaurant-kiev.com")</f>
        <v>https://www.restaurant-kiev.com</v>
      </c>
      <c r="S379" s="76" t="s">
        <v>789</v>
      </c>
      <c r="T379" s="81" t="s">
        <v>874</v>
      </c>
      <c r="U379" s="76"/>
      <c r="V379" s="79" t="str">
        <f>HYPERLINK("https://pbs.twimg.com/profile_images/1480295098273644544/Ns_7wxQQ_normal.jpg")</f>
        <v>https://pbs.twimg.com/profile_images/1480295098273644544/Ns_7wxQQ_normal.jpg</v>
      </c>
      <c r="W379" s="78">
        <v>44816.67395833333</v>
      </c>
      <c r="X379" s="84">
        <v>44816</v>
      </c>
      <c r="Y379" s="81" t="s">
        <v>1156</v>
      </c>
      <c r="Z379" s="79" t="str">
        <f>HYPERLINK("https://twitter.com/_b0lil0d_/status/1569357795870351360")</f>
        <v>https://twitter.com/_b0lil0d_/status/1569357795870351360</v>
      </c>
      <c r="AA379" s="76"/>
      <c r="AB379" s="76"/>
      <c r="AC379" s="81" t="s">
        <v>1488</v>
      </c>
      <c r="AD379" s="76"/>
      <c r="AE379" s="76" t="b">
        <v>0</v>
      </c>
      <c r="AF379" s="76">
        <v>0</v>
      </c>
      <c r="AG379" s="81" t="s">
        <v>1674</v>
      </c>
      <c r="AH379" s="76" t="b">
        <v>0</v>
      </c>
      <c r="AI379" s="76" t="s">
        <v>1782</v>
      </c>
      <c r="AJ379" s="76"/>
      <c r="AK379" s="81" t="s">
        <v>1674</v>
      </c>
      <c r="AL379" s="76" t="b">
        <v>0</v>
      </c>
      <c r="AM379" s="76">
        <v>0</v>
      </c>
      <c r="AN379" s="81" t="s">
        <v>1674</v>
      </c>
      <c r="AO379" s="81" t="s">
        <v>1811</v>
      </c>
      <c r="AP379" s="76" t="b">
        <v>0</v>
      </c>
      <c r="AQ379" s="81" t="s">
        <v>1488</v>
      </c>
      <c r="AR379" s="76" t="s">
        <v>219</v>
      </c>
      <c r="AS379" s="76">
        <v>0</v>
      </c>
      <c r="AT379" s="76">
        <v>0</v>
      </c>
      <c r="AU379" s="76"/>
      <c r="AV379" s="76"/>
      <c r="AW379" s="76"/>
      <c r="AX379" s="76"/>
      <c r="AY379" s="76"/>
      <c r="AZ379" s="76"/>
      <c r="BA379" s="76"/>
      <c r="BB379" s="76"/>
      <c r="BC379">
        <v>9</v>
      </c>
      <c r="BD379" s="75" t="str">
        <f>REPLACE(INDEX(GroupVertices[Group],MATCH(Edges[[#This Row],[Vertex 1]],GroupVertices[Vertex],0)),1,1,"")</f>
        <v>2</v>
      </c>
      <c r="BE379" s="75" t="str">
        <f>REPLACE(INDEX(GroupVertices[Group],MATCH(Edges[[#This Row],[Vertex 2]],GroupVertices[Vertex],0)),1,1,"")</f>
        <v>2</v>
      </c>
      <c r="BF379" s="45">
        <v>0</v>
      </c>
      <c r="BG379" s="46">
        <v>0</v>
      </c>
      <c r="BH379" s="45">
        <v>0</v>
      </c>
      <c r="BI379" s="46">
        <v>0</v>
      </c>
      <c r="BJ379" s="45">
        <v>0</v>
      </c>
      <c r="BK379" s="46">
        <v>0</v>
      </c>
      <c r="BL379" s="45">
        <v>4</v>
      </c>
      <c r="BM379" s="46">
        <v>100</v>
      </c>
      <c r="BN379" s="45">
        <v>4</v>
      </c>
    </row>
    <row r="380" spans="1:66" ht="15">
      <c r="A380" s="61" t="s">
        <v>419</v>
      </c>
      <c r="B380" s="61" t="s">
        <v>419</v>
      </c>
      <c r="C380" s="62" t="s">
        <v>4696</v>
      </c>
      <c r="D380" s="63">
        <v>8.333333333333334</v>
      </c>
      <c r="E380" s="62"/>
      <c r="F380" s="65">
        <v>26.666666666666668</v>
      </c>
      <c r="G380" s="62"/>
      <c r="H380" s="66"/>
      <c r="I380" s="67"/>
      <c r="J380" s="67"/>
      <c r="K380" s="31" t="s">
        <v>65</v>
      </c>
      <c r="L380" s="68">
        <v>380</v>
      </c>
      <c r="M380" s="68"/>
      <c r="N380" s="69"/>
      <c r="O380" s="76" t="s">
        <v>219</v>
      </c>
      <c r="P380" s="78">
        <v>44817.673993055556</v>
      </c>
      <c r="Q380" s="76" t="s">
        <v>749</v>
      </c>
      <c r="R380" s="79" t="str">
        <f>HYPERLINK("https://www.restaurant-kiev.com")</f>
        <v>https://www.restaurant-kiev.com</v>
      </c>
      <c r="S380" s="76" t="s">
        <v>789</v>
      </c>
      <c r="T380" s="81" t="s">
        <v>874</v>
      </c>
      <c r="U380" s="76"/>
      <c r="V380" s="79" t="str">
        <f>HYPERLINK("https://pbs.twimg.com/profile_images/1480295098273644544/Ns_7wxQQ_normal.jpg")</f>
        <v>https://pbs.twimg.com/profile_images/1480295098273644544/Ns_7wxQQ_normal.jpg</v>
      </c>
      <c r="W380" s="78">
        <v>44817.673993055556</v>
      </c>
      <c r="X380" s="84">
        <v>44817</v>
      </c>
      <c r="Y380" s="81" t="s">
        <v>1154</v>
      </c>
      <c r="Z380" s="79" t="str">
        <f>HYPERLINK("https://twitter.com/_b0lil0d_/status/1569720195320582144")</f>
        <v>https://twitter.com/_b0lil0d_/status/1569720195320582144</v>
      </c>
      <c r="AA380" s="76"/>
      <c r="AB380" s="76"/>
      <c r="AC380" s="81" t="s">
        <v>1489</v>
      </c>
      <c r="AD380" s="76"/>
      <c r="AE380" s="76" t="b">
        <v>0</v>
      </c>
      <c r="AF380" s="76">
        <v>0</v>
      </c>
      <c r="AG380" s="81" t="s">
        <v>1674</v>
      </c>
      <c r="AH380" s="76" t="b">
        <v>0</v>
      </c>
      <c r="AI380" s="76" t="s">
        <v>1782</v>
      </c>
      <c r="AJ380" s="76"/>
      <c r="AK380" s="81" t="s">
        <v>1674</v>
      </c>
      <c r="AL380" s="76" t="b">
        <v>0</v>
      </c>
      <c r="AM380" s="76">
        <v>0</v>
      </c>
      <c r="AN380" s="81" t="s">
        <v>1674</v>
      </c>
      <c r="AO380" s="81" t="s">
        <v>1811</v>
      </c>
      <c r="AP380" s="76" t="b">
        <v>0</v>
      </c>
      <c r="AQ380" s="81" t="s">
        <v>1489</v>
      </c>
      <c r="AR380" s="76" t="s">
        <v>219</v>
      </c>
      <c r="AS380" s="76">
        <v>0</v>
      </c>
      <c r="AT380" s="76">
        <v>0</v>
      </c>
      <c r="AU380" s="76"/>
      <c r="AV380" s="76"/>
      <c r="AW380" s="76"/>
      <c r="AX380" s="76"/>
      <c r="AY380" s="76"/>
      <c r="AZ380" s="76"/>
      <c r="BA380" s="76"/>
      <c r="BB380" s="76"/>
      <c r="BC380">
        <v>9</v>
      </c>
      <c r="BD380" s="75" t="str">
        <f>REPLACE(INDEX(GroupVertices[Group],MATCH(Edges[[#This Row],[Vertex 1]],GroupVertices[Vertex],0)),1,1,"")</f>
        <v>2</v>
      </c>
      <c r="BE380" s="75" t="str">
        <f>REPLACE(INDEX(GroupVertices[Group],MATCH(Edges[[#This Row],[Vertex 2]],GroupVertices[Vertex],0)),1,1,"")</f>
        <v>2</v>
      </c>
      <c r="BF380" s="45">
        <v>0</v>
      </c>
      <c r="BG380" s="46">
        <v>0</v>
      </c>
      <c r="BH380" s="45">
        <v>0</v>
      </c>
      <c r="BI380" s="46">
        <v>0</v>
      </c>
      <c r="BJ380" s="45">
        <v>0</v>
      </c>
      <c r="BK380" s="46">
        <v>0</v>
      </c>
      <c r="BL380" s="45">
        <v>4</v>
      </c>
      <c r="BM380" s="46">
        <v>100</v>
      </c>
      <c r="BN380" s="45">
        <v>4</v>
      </c>
    </row>
    <row r="381" spans="1:66" ht="15">
      <c r="A381" s="61" t="s">
        <v>419</v>
      </c>
      <c r="B381" s="61" t="s">
        <v>419</v>
      </c>
      <c r="C381" s="62" t="s">
        <v>4696</v>
      </c>
      <c r="D381" s="63">
        <v>8.333333333333334</v>
      </c>
      <c r="E381" s="62"/>
      <c r="F381" s="65">
        <v>26.666666666666668</v>
      </c>
      <c r="G381" s="62"/>
      <c r="H381" s="66"/>
      <c r="I381" s="67"/>
      <c r="J381" s="67"/>
      <c r="K381" s="31" t="s">
        <v>65</v>
      </c>
      <c r="L381" s="68">
        <v>381</v>
      </c>
      <c r="M381" s="68"/>
      <c r="N381" s="69"/>
      <c r="O381" s="76" t="s">
        <v>219</v>
      </c>
      <c r="P381" s="78">
        <v>44818.67393518519</v>
      </c>
      <c r="Q381" s="76" t="s">
        <v>750</v>
      </c>
      <c r="R381" s="79" t="str">
        <f>HYPERLINK("https://www.restaurant-kiev.com")</f>
        <v>https://www.restaurant-kiev.com</v>
      </c>
      <c r="S381" s="76" t="s">
        <v>789</v>
      </c>
      <c r="T381" s="81" t="s">
        <v>874</v>
      </c>
      <c r="U381" s="76"/>
      <c r="V381" s="79" t="str">
        <f>HYPERLINK("https://pbs.twimg.com/profile_images/1480295098273644544/Ns_7wxQQ_normal.jpg")</f>
        <v>https://pbs.twimg.com/profile_images/1480295098273644544/Ns_7wxQQ_normal.jpg</v>
      </c>
      <c r="W381" s="78">
        <v>44818.67393518519</v>
      </c>
      <c r="X381" s="84">
        <v>44818</v>
      </c>
      <c r="Y381" s="81" t="s">
        <v>1155</v>
      </c>
      <c r="Z381" s="79" t="str">
        <f>HYPERLINK("https://twitter.com/_b0lil0d_/status/1570082564408487939")</f>
        <v>https://twitter.com/_b0lil0d_/status/1570082564408487939</v>
      </c>
      <c r="AA381" s="76"/>
      <c r="AB381" s="76"/>
      <c r="AC381" s="81" t="s">
        <v>1490</v>
      </c>
      <c r="AD381" s="76"/>
      <c r="AE381" s="76" t="b">
        <v>0</v>
      </c>
      <c r="AF381" s="76">
        <v>0</v>
      </c>
      <c r="AG381" s="81" t="s">
        <v>1674</v>
      </c>
      <c r="AH381" s="76" t="b">
        <v>0</v>
      </c>
      <c r="AI381" s="76" t="s">
        <v>1782</v>
      </c>
      <c r="AJ381" s="76"/>
      <c r="AK381" s="81" t="s">
        <v>1674</v>
      </c>
      <c r="AL381" s="76" t="b">
        <v>0</v>
      </c>
      <c r="AM381" s="76">
        <v>0</v>
      </c>
      <c r="AN381" s="81" t="s">
        <v>1674</v>
      </c>
      <c r="AO381" s="81" t="s">
        <v>1811</v>
      </c>
      <c r="AP381" s="76" t="b">
        <v>0</v>
      </c>
      <c r="AQ381" s="81" t="s">
        <v>1490</v>
      </c>
      <c r="AR381" s="76" t="s">
        <v>219</v>
      </c>
      <c r="AS381" s="76">
        <v>0</v>
      </c>
      <c r="AT381" s="76">
        <v>0</v>
      </c>
      <c r="AU381" s="76"/>
      <c r="AV381" s="76"/>
      <c r="AW381" s="76"/>
      <c r="AX381" s="76"/>
      <c r="AY381" s="76"/>
      <c r="AZ381" s="76"/>
      <c r="BA381" s="76"/>
      <c r="BB381" s="76"/>
      <c r="BC381">
        <v>9</v>
      </c>
      <c r="BD381" s="75" t="str">
        <f>REPLACE(INDEX(GroupVertices[Group],MATCH(Edges[[#This Row],[Vertex 1]],GroupVertices[Vertex],0)),1,1,"")</f>
        <v>2</v>
      </c>
      <c r="BE381" s="75" t="str">
        <f>REPLACE(INDEX(GroupVertices[Group],MATCH(Edges[[#This Row],[Vertex 2]],GroupVertices[Vertex],0)),1,1,"")</f>
        <v>2</v>
      </c>
      <c r="BF381" s="45">
        <v>0</v>
      </c>
      <c r="BG381" s="46">
        <v>0</v>
      </c>
      <c r="BH381" s="45">
        <v>0</v>
      </c>
      <c r="BI381" s="46">
        <v>0</v>
      </c>
      <c r="BJ381" s="45">
        <v>0</v>
      </c>
      <c r="BK381" s="46">
        <v>0</v>
      </c>
      <c r="BL381" s="45">
        <v>4</v>
      </c>
      <c r="BM381" s="46">
        <v>100</v>
      </c>
      <c r="BN381" s="45">
        <v>4</v>
      </c>
    </row>
    <row r="382" spans="1:66" ht="15">
      <c r="A382" s="61" t="s">
        <v>419</v>
      </c>
      <c r="B382" s="61" t="s">
        <v>419</v>
      </c>
      <c r="C382" s="62" t="s">
        <v>4696</v>
      </c>
      <c r="D382" s="63">
        <v>8.333333333333334</v>
      </c>
      <c r="E382" s="62"/>
      <c r="F382" s="65">
        <v>26.666666666666668</v>
      </c>
      <c r="G382" s="62"/>
      <c r="H382" s="66"/>
      <c r="I382" s="67"/>
      <c r="J382" s="67"/>
      <c r="K382" s="31" t="s">
        <v>65</v>
      </c>
      <c r="L382" s="68">
        <v>382</v>
      </c>
      <c r="M382" s="68"/>
      <c r="N382" s="69"/>
      <c r="O382" s="76" t="s">
        <v>219</v>
      </c>
      <c r="P382" s="78">
        <v>44819.67403935185</v>
      </c>
      <c r="Q382" s="76" t="s">
        <v>749</v>
      </c>
      <c r="R382" s="79" t="str">
        <f>HYPERLINK("https://www.restaurant-kiev.com")</f>
        <v>https://www.restaurant-kiev.com</v>
      </c>
      <c r="S382" s="76" t="s">
        <v>789</v>
      </c>
      <c r="T382" s="81" t="s">
        <v>874</v>
      </c>
      <c r="U382" s="76"/>
      <c r="V382" s="79" t="str">
        <f>HYPERLINK("https://pbs.twimg.com/profile_images/1480295098273644544/Ns_7wxQQ_normal.jpg")</f>
        <v>https://pbs.twimg.com/profile_images/1480295098273644544/Ns_7wxQQ_normal.jpg</v>
      </c>
      <c r="W382" s="78">
        <v>44819.67403935185</v>
      </c>
      <c r="X382" s="84">
        <v>44819</v>
      </c>
      <c r="Y382" s="81" t="s">
        <v>1152</v>
      </c>
      <c r="Z382" s="79" t="str">
        <f>HYPERLINK("https://twitter.com/_b0lil0d_/status/1570444987980025858")</f>
        <v>https://twitter.com/_b0lil0d_/status/1570444987980025858</v>
      </c>
      <c r="AA382" s="76"/>
      <c r="AB382" s="76"/>
      <c r="AC382" s="81" t="s">
        <v>1491</v>
      </c>
      <c r="AD382" s="76"/>
      <c r="AE382" s="76" t="b">
        <v>0</v>
      </c>
      <c r="AF382" s="76">
        <v>0</v>
      </c>
      <c r="AG382" s="81" t="s">
        <v>1674</v>
      </c>
      <c r="AH382" s="76" t="b">
        <v>0</v>
      </c>
      <c r="AI382" s="76" t="s">
        <v>1782</v>
      </c>
      <c r="AJ382" s="76"/>
      <c r="AK382" s="81" t="s">
        <v>1674</v>
      </c>
      <c r="AL382" s="76" t="b">
        <v>0</v>
      </c>
      <c r="AM382" s="76">
        <v>0</v>
      </c>
      <c r="AN382" s="81" t="s">
        <v>1674</v>
      </c>
      <c r="AO382" s="81" t="s">
        <v>1811</v>
      </c>
      <c r="AP382" s="76" t="b">
        <v>0</v>
      </c>
      <c r="AQ382" s="81" t="s">
        <v>1491</v>
      </c>
      <c r="AR382" s="76" t="s">
        <v>219</v>
      </c>
      <c r="AS382" s="76">
        <v>0</v>
      </c>
      <c r="AT382" s="76">
        <v>0</v>
      </c>
      <c r="AU382" s="76"/>
      <c r="AV382" s="76"/>
      <c r="AW382" s="76"/>
      <c r="AX382" s="76"/>
      <c r="AY382" s="76"/>
      <c r="AZ382" s="76"/>
      <c r="BA382" s="76"/>
      <c r="BB382" s="76"/>
      <c r="BC382">
        <v>9</v>
      </c>
      <c r="BD382" s="75" t="str">
        <f>REPLACE(INDEX(GroupVertices[Group],MATCH(Edges[[#This Row],[Vertex 1]],GroupVertices[Vertex],0)),1,1,"")</f>
        <v>2</v>
      </c>
      <c r="BE382" s="75" t="str">
        <f>REPLACE(INDEX(GroupVertices[Group],MATCH(Edges[[#This Row],[Vertex 2]],GroupVertices[Vertex],0)),1,1,"")</f>
        <v>2</v>
      </c>
      <c r="BF382" s="45">
        <v>0</v>
      </c>
      <c r="BG382" s="46">
        <v>0</v>
      </c>
      <c r="BH382" s="45">
        <v>0</v>
      </c>
      <c r="BI382" s="46">
        <v>0</v>
      </c>
      <c r="BJ382" s="45">
        <v>0</v>
      </c>
      <c r="BK382" s="46">
        <v>0</v>
      </c>
      <c r="BL382" s="45">
        <v>4</v>
      </c>
      <c r="BM382" s="46">
        <v>100</v>
      </c>
      <c r="BN382" s="45">
        <v>4</v>
      </c>
    </row>
    <row r="383" spans="1:66" ht="15">
      <c r="A383" s="61" t="s">
        <v>420</v>
      </c>
      <c r="B383" s="61" t="s">
        <v>562</v>
      </c>
      <c r="C383" s="62" t="s">
        <v>4688</v>
      </c>
      <c r="D383" s="63">
        <v>5</v>
      </c>
      <c r="E383" s="62"/>
      <c r="F383" s="65">
        <v>50</v>
      </c>
      <c r="G383" s="62"/>
      <c r="H383" s="66"/>
      <c r="I383" s="67"/>
      <c r="J383" s="67"/>
      <c r="K383" s="31" t="s">
        <v>65</v>
      </c>
      <c r="L383" s="68">
        <v>383</v>
      </c>
      <c r="M383" s="68"/>
      <c r="N383" s="69"/>
      <c r="O383" s="76" t="s">
        <v>587</v>
      </c>
      <c r="P383" s="78">
        <v>44812.38116898148</v>
      </c>
      <c r="Q383" s="76" t="s">
        <v>751</v>
      </c>
      <c r="R383" s="76"/>
      <c r="S383" s="76"/>
      <c r="T383" s="81" t="s">
        <v>795</v>
      </c>
      <c r="U383" s="79" t="str">
        <f>HYPERLINK("https://pbs.twimg.com/media/FcHzs4MXwAEOwI1.jpg")</f>
        <v>https://pbs.twimg.com/media/FcHzs4MXwAEOwI1.jpg</v>
      </c>
      <c r="V383" s="79" t="str">
        <f>HYPERLINK("https://pbs.twimg.com/media/FcHzs4MXwAEOwI1.jpg")</f>
        <v>https://pbs.twimg.com/media/FcHzs4MXwAEOwI1.jpg</v>
      </c>
      <c r="W383" s="78">
        <v>44812.38116898148</v>
      </c>
      <c r="X383" s="84">
        <v>44812</v>
      </c>
      <c r="Y383" s="81" t="s">
        <v>1157</v>
      </c>
      <c r="Z383" s="79" t="str">
        <f>HYPERLINK("https://twitter.com/krollspellt/status/1567802140608942081")</f>
        <v>https://twitter.com/krollspellt/status/1567802140608942081</v>
      </c>
      <c r="AA383" s="76"/>
      <c r="AB383" s="76"/>
      <c r="AC383" s="81" t="s">
        <v>1492</v>
      </c>
      <c r="AD383" s="81" t="s">
        <v>1652</v>
      </c>
      <c r="AE383" s="76" t="b">
        <v>0</v>
      </c>
      <c r="AF383" s="76">
        <v>0</v>
      </c>
      <c r="AG383" s="81" t="s">
        <v>1753</v>
      </c>
      <c r="AH383" s="76" t="b">
        <v>0</v>
      </c>
      <c r="AI383" s="76" t="s">
        <v>1770</v>
      </c>
      <c r="AJ383" s="76"/>
      <c r="AK383" s="81" t="s">
        <v>1674</v>
      </c>
      <c r="AL383" s="76" t="b">
        <v>0</v>
      </c>
      <c r="AM383" s="76">
        <v>0</v>
      </c>
      <c r="AN383" s="81" t="s">
        <v>1674</v>
      </c>
      <c r="AO383" s="81" t="s">
        <v>1808</v>
      </c>
      <c r="AP383" s="76" t="b">
        <v>0</v>
      </c>
      <c r="AQ383" s="81" t="s">
        <v>1652</v>
      </c>
      <c r="AR383" s="76" t="s">
        <v>219</v>
      </c>
      <c r="AS383" s="76">
        <v>0</v>
      </c>
      <c r="AT383" s="76">
        <v>0</v>
      </c>
      <c r="AU383" s="76"/>
      <c r="AV383" s="76"/>
      <c r="AW383" s="76"/>
      <c r="AX383" s="76"/>
      <c r="AY383" s="76"/>
      <c r="AZ383" s="76"/>
      <c r="BA383" s="76"/>
      <c r="BB383" s="76"/>
      <c r="BC383">
        <v>1</v>
      </c>
      <c r="BD383" s="75" t="str">
        <f>REPLACE(INDEX(GroupVertices[Group],MATCH(Edges[[#This Row],[Vertex 1]],GroupVertices[Vertex],0)),1,1,"")</f>
        <v>22</v>
      </c>
      <c r="BE383" s="75" t="str">
        <f>REPLACE(INDEX(GroupVertices[Group],MATCH(Edges[[#This Row],[Vertex 2]],GroupVertices[Vertex],0)),1,1,"")</f>
        <v>22</v>
      </c>
      <c r="BF383" s="45">
        <v>0</v>
      </c>
      <c r="BG383" s="46">
        <v>0</v>
      </c>
      <c r="BH383" s="45">
        <v>0</v>
      </c>
      <c r="BI383" s="46">
        <v>0</v>
      </c>
      <c r="BJ383" s="45">
        <v>0</v>
      </c>
      <c r="BK383" s="46">
        <v>0</v>
      </c>
      <c r="BL383" s="45">
        <v>32</v>
      </c>
      <c r="BM383" s="46">
        <v>100</v>
      </c>
      <c r="BN383" s="45">
        <v>32</v>
      </c>
    </row>
    <row r="384" spans="1:66" ht="15">
      <c r="A384" s="61" t="s">
        <v>420</v>
      </c>
      <c r="B384" s="61" t="s">
        <v>563</v>
      </c>
      <c r="C384" s="62" t="s">
        <v>4688</v>
      </c>
      <c r="D384" s="63">
        <v>5</v>
      </c>
      <c r="E384" s="62"/>
      <c r="F384" s="65">
        <v>50</v>
      </c>
      <c r="G384" s="62"/>
      <c r="H384" s="66"/>
      <c r="I384" s="67"/>
      <c r="J384" s="67"/>
      <c r="K384" s="31" t="s">
        <v>65</v>
      </c>
      <c r="L384" s="68">
        <v>384</v>
      </c>
      <c r="M384" s="68"/>
      <c r="N384" s="69"/>
      <c r="O384" s="76" t="s">
        <v>588</v>
      </c>
      <c r="P384" s="78">
        <v>44819.695868055554</v>
      </c>
      <c r="Q384" s="76" t="s">
        <v>752</v>
      </c>
      <c r="R384" s="76"/>
      <c r="S384" s="76"/>
      <c r="T384" s="81" t="s">
        <v>795</v>
      </c>
      <c r="U384" s="76"/>
      <c r="V384" s="79" t="str">
        <f>HYPERLINK("https://pbs.twimg.com/profile_images/1548367315606970370/Wm0GhuZw_normal.jpg")</f>
        <v>https://pbs.twimg.com/profile_images/1548367315606970370/Wm0GhuZw_normal.jpg</v>
      </c>
      <c r="W384" s="78">
        <v>44819.695868055554</v>
      </c>
      <c r="X384" s="84">
        <v>44819</v>
      </c>
      <c r="Y384" s="81" t="s">
        <v>1158</v>
      </c>
      <c r="Z384" s="79" t="str">
        <f>HYPERLINK("https://twitter.com/krollspellt/status/1570452901260140545")</f>
        <v>https://twitter.com/krollspellt/status/1570452901260140545</v>
      </c>
      <c r="AA384" s="76"/>
      <c r="AB384" s="76"/>
      <c r="AC384" s="81" t="s">
        <v>1493</v>
      </c>
      <c r="AD384" s="81" t="s">
        <v>1653</v>
      </c>
      <c r="AE384" s="76" t="b">
        <v>0</v>
      </c>
      <c r="AF384" s="76">
        <v>0</v>
      </c>
      <c r="AG384" s="81" t="s">
        <v>1754</v>
      </c>
      <c r="AH384" s="76" t="b">
        <v>0</v>
      </c>
      <c r="AI384" s="76" t="s">
        <v>1770</v>
      </c>
      <c r="AJ384" s="76"/>
      <c r="AK384" s="81" t="s">
        <v>1674</v>
      </c>
      <c r="AL384" s="76" t="b">
        <v>0</v>
      </c>
      <c r="AM384" s="76">
        <v>0</v>
      </c>
      <c r="AN384" s="81" t="s">
        <v>1674</v>
      </c>
      <c r="AO384" s="81" t="s">
        <v>1808</v>
      </c>
      <c r="AP384" s="76" t="b">
        <v>0</v>
      </c>
      <c r="AQ384" s="81" t="s">
        <v>1653</v>
      </c>
      <c r="AR384" s="76" t="s">
        <v>219</v>
      </c>
      <c r="AS384" s="76">
        <v>0</v>
      </c>
      <c r="AT384" s="76">
        <v>0</v>
      </c>
      <c r="AU384" s="76"/>
      <c r="AV384" s="76"/>
      <c r="AW384" s="76"/>
      <c r="AX384" s="76"/>
      <c r="AY384" s="76"/>
      <c r="AZ384" s="76"/>
      <c r="BA384" s="76"/>
      <c r="BB384" s="76"/>
      <c r="BC384">
        <v>1</v>
      </c>
      <c r="BD384" s="75" t="str">
        <f>REPLACE(INDEX(GroupVertices[Group],MATCH(Edges[[#This Row],[Vertex 1]],GroupVertices[Vertex],0)),1,1,"")</f>
        <v>22</v>
      </c>
      <c r="BE384" s="75" t="str">
        <f>REPLACE(INDEX(GroupVertices[Group],MATCH(Edges[[#This Row],[Vertex 2]],GroupVertices[Vertex],0)),1,1,"")</f>
        <v>22</v>
      </c>
      <c r="BF384" s="45"/>
      <c r="BG384" s="46"/>
      <c r="BH384" s="45"/>
      <c r="BI384" s="46"/>
      <c r="BJ384" s="45"/>
      <c r="BK384" s="46"/>
      <c r="BL384" s="45"/>
      <c r="BM384" s="46"/>
      <c r="BN384" s="45"/>
    </row>
    <row r="385" spans="1:66" ht="15">
      <c r="A385" s="61" t="s">
        <v>420</v>
      </c>
      <c r="B385" s="61" t="s">
        <v>564</v>
      </c>
      <c r="C385" s="62" t="s">
        <v>4688</v>
      </c>
      <c r="D385" s="63">
        <v>5</v>
      </c>
      <c r="E385" s="62"/>
      <c r="F385" s="65">
        <v>50</v>
      </c>
      <c r="G385" s="62"/>
      <c r="H385" s="66"/>
      <c r="I385" s="67"/>
      <c r="J385" s="67"/>
      <c r="K385" s="31" t="s">
        <v>65</v>
      </c>
      <c r="L385" s="68">
        <v>385</v>
      </c>
      <c r="M385" s="68"/>
      <c r="N385" s="69"/>
      <c r="O385" s="76" t="s">
        <v>587</v>
      </c>
      <c r="P385" s="78">
        <v>44819.695868055554</v>
      </c>
      <c r="Q385" s="76" t="s">
        <v>752</v>
      </c>
      <c r="R385" s="76"/>
      <c r="S385" s="76"/>
      <c r="T385" s="81" t="s">
        <v>795</v>
      </c>
      <c r="U385" s="76"/>
      <c r="V385" s="79" t="str">
        <f>HYPERLINK("https://pbs.twimg.com/profile_images/1548367315606970370/Wm0GhuZw_normal.jpg")</f>
        <v>https://pbs.twimg.com/profile_images/1548367315606970370/Wm0GhuZw_normal.jpg</v>
      </c>
      <c r="W385" s="78">
        <v>44819.695868055554</v>
      </c>
      <c r="X385" s="84">
        <v>44819</v>
      </c>
      <c r="Y385" s="81" t="s">
        <v>1158</v>
      </c>
      <c r="Z385" s="79" t="str">
        <f>HYPERLINK("https://twitter.com/krollspellt/status/1570452901260140545")</f>
        <v>https://twitter.com/krollspellt/status/1570452901260140545</v>
      </c>
      <c r="AA385" s="76"/>
      <c r="AB385" s="76"/>
      <c r="AC385" s="81" t="s">
        <v>1493</v>
      </c>
      <c r="AD385" s="81" t="s">
        <v>1653</v>
      </c>
      <c r="AE385" s="76" t="b">
        <v>0</v>
      </c>
      <c r="AF385" s="76">
        <v>0</v>
      </c>
      <c r="AG385" s="81" t="s">
        <v>1754</v>
      </c>
      <c r="AH385" s="76" t="b">
        <v>0</v>
      </c>
      <c r="AI385" s="76" t="s">
        <v>1770</v>
      </c>
      <c r="AJ385" s="76"/>
      <c r="AK385" s="81" t="s">
        <v>1674</v>
      </c>
      <c r="AL385" s="76" t="b">
        <v>0</v>
      </c>
      <c r="AM385" s="76">
        <v>0</v>
      </c>
      <c r="AN385" s="81" t="s">
        <v>1674</v>
      </c>
      <c r="AO385" s="81" t="s">
        <v>1808</v>
      </c>
      <c r="AP385" s="76" t="b">
        <v>0</v>
      </c>
      <c r="AQ385" s="81" t="s">
        <v>1653</v>
      </c>
      <c r="AR385" s="76" t="s">
        <v>219</v>
      </c>
      <c r="AS385" s="76">
        <v>0</v>
      </c>
      <c r="AT385" s="76">
        <v>0</v>
      </c>
      <c r="AU385" s="76"/>
      <c r="AV385" s="76"/>
      <c r="AW385" s="76"/>
      <c r="AX385" s="76"/>
      <c r="AY385" s="76"/>
      <c r="AZ385" s="76"/>
      <c r="BA385" s="76"/>
      <c r="BB385" s="76"/>
      <c r="BC385">
        <v>1</v>
      </c>
      <c r="BD385" s="75" t="str">
        <f>REPLACE(INDEX(GroupVertices[Group],MATCH(Edges[[#This Row],[Vertex 1]],GroupVertices[Vertex],0)),1,1,"")</f>
        <v>22</v>
      </c>
      <c r="BE385" s="75" t="str">
        <f>REPLACE(INDEX(GroupVertices[Group],MATCH(Edges[[#This Row],[Vertex 2]],GroupVertices[Vertex],0)),1,1,"")</f>
        <v>22</v>
      </c>
      <c r="BF385" s="45">
        <v>0</v>
      </c>
      <c r="BG385" s="46">
        <v>0</v>
      </c>
      <c r="BH385" s="45">
        <v>0</v>
      </c>
      <c r="BI385" s="46">
        <v>0</v>
      </c>
      <c r="BJ385" s="45">
        <v>0</v>
      </c>
      <c r="BK385" s="46">
        <v>0</v>
      </c>
      <c r="BL385" s="45">
        <v>34</v>
      </c>
      <c r="BM385" s="46">
        <v>100</v>
      </c>
      <c r="BN385" s="45">
        <v>34</v>
      </c>
    </row>
    <row r="386" spans="1:66" ht="15">
      <c r="A386" s="61" t="s">
        <v>421</v>
      </c>
      <c r="B386" s="61" t="s">
        <v>565</v>
      </c>
      <c r="C386" s="62" t="s">
        <v>4688</v>
      </c>
      <c r="D386" s="63">
        <v>5</v>
      </c>
      <c r="E386" s="62"/>
      <c r="F386" s="65">
        <v>50</v>
      </c>
      <c r="G386" s="62"/>
      <c r="H386" s="66"/>
      <c r="I386" s="67"/>
      <c r="J386" s="67"/>
      <c r="K386" s="31" t="s">
        <v>65</v>
      </c>
      <c r="L386" s="68">
        <v>386</v>
      </c>
      <c r="M386" s="68"/>
      <c r="N386" s="69"/>
      <c r="O386" s="76" t="s">
        <v>588</v>
      </c>
      <c r="P386" s="78">
        <v>44819.716365740744</v>
      </c>
      <c r="Q386" s="76" t="s">
        <v>753</v>
      </c>
      <c r="R386" s="76"/>
      <c r="S386" s="76"/>
      <c r="T386" s="81" t="s">
        <v>795</v>
      </c>
      <c r="U386" s="76"/>
      <c r="V386" s="79" t="str">
        <f>HYPERLINK("https://pbs.twimg.com/profile_images/1547329555953852418/RVexXU-0_normal.jpg")</f>
        <v>https://pbs.twimg.com/profile_images/1547329555953852418/RVexXU-0_normal.jpg</v>
      </c>
      <c r="W386" s="78">
        <v>44819.716365740744</v>
      </c>
      <c r="X386" s="84">
        <v>44819</v>
      </c>
      <c r="Y386" s="81" t="s">
        <v>1159</v>
      </c>
      <c r="Z386" s="79" t="str">
        <f>HYPERLINK("https://twitter.com/godandtrump114/status/1570460326319067138")</f>
        <v>https://twitter.com/godandtrump114/status/1570460326319067138</v>
      </c>
      <c r="AA386" s="76"/>
      <c r="AB386" s="76"/>
      <c r="AC386" s="81" t="s">
        <v>1494</v>
      </c>
      <c r="AD386" s="81" t="s">
        <v>1654</v>
      </c>
      <c r="AE386" s="76" t="b">
        <v>0</v>
      </c>
      <c r="AF386" s="76">
        <v>0</v>
      </c>
      <c r="AG386" s="81" t="s">
        <v>1755</v>
      </c>
      <c r="AH386" s="76" t="b">
        <v>0</v>
      </c>
      <c r="AI386" s="76" t="s">
        <v>1772</v>
      </c>
      <c r="AJ386" s="76"/>
      <c r="AK386" s="81" t="s">
        <v>1674</v>
      </c>
      <c r="AL386" s="76" t="b">
        <v>0</v>
      </c>
      <c r="AM386" s="76">
        <v>0</v>
      </c>
      <c r="AN386" s="81" t="s">
        <v>1674</v>
      </c>
      <c r="AO386" s="81" t="s">
        <v>1809</v>
      </c>
      <c r="AP386" s="76" t="b">
        <v>0</v>
      </c>
      <c r="AQ386" s="81" t="s">
        <v>1654</v>
      </c>
      <c r="AR386" s="76" t="s">
        <v>219</v>
      </c>
      <c r="AS386" s="76">
        <v>0</v>
      </c>
      <c r="AT386" s="76">
        <v>0</v>
      </c>
      <c r="AU386" s="76"/>
      <c r="AV386" s="76"/>
      <c r="AW386" s="76"/>
      <c r="AX386" s="76"/>
      <c r="AY386" s="76"/>
      <c r="AZ386" s="76"/>
      <c r="BA386" s="76"/>
      <c r="BB386" s="76"/>
      <c r="BC386">
        <v>1</v>
      </c>
      <c r="BD386" s="75" t="str">
        <f>REPLACE(INDEX(GroupVertices[Group],MATCH(Edges[[#This Row],[Vertex 1]],GroupVertices[Vertex],0)),1,1,"")</f>
        <v>31</v>
      </c>
      <c r="BE386" s="75" t="str">
        <f>REPLACE(INDEX(GroupVertices[Group],MATCH(Edges[[#This Row],[Vertex 2]],GroupVertices[Vertex],0)),1,1,"")</f>
        <v>31</v>
      </c>
      <c r="BF386" s="45"/>
      <c r="BG386" s="46"/>
      <c r="BH386" s="45"/>
      <c r="BI386" s="46"/>
      <c r="BJ386" s="45"/>
      <c r="BK386" s="46"/>
      <c r="BL386" s="45"/>
      <c r="BM386" s="46"/>
      <c r="BN386" s="45"/>
    </row>
    <row r="387" spans="1:66" ht="15">
      <c r="A387" s="61" t="s">
        <v>421</v>
      </c>
      <c r="B387" s="61" t="s">
        <v>566</v>
      </c>
      <c r="C387" s="62" t="s">
        <v>4688</v>
      </c>
      <c r="D387" s="63">
        <v>5</v>
      </c>
      <c r="E387" s="62"/>
      <c r="F387" s="65">
        <v>50</v>
      </c>
      <c r="G387" s="62"/>
      <c r="H387" s="66"/>
      <c r="I387" s="67"/>
      <c r="J387" s="67"/>
      <c r="K387" s="31" t="s">
        <v>65</v>
      </c>
      <c r="L387" s="68">
        <v>387</v>
      </c>
      <c r="M387" s="68"/>
      <c r="N387" s="69"/>
      <c r="O387" s="76" t="s">
        <v>587</v>
      </c>
      <c r="P387" s="78">
        <v>44819.716365740744</v>
      </c>
      <c r="Q387" s="76" t="s">
        <v>753</v>
      </c>
      <c r="R387" s="76"/>
      <c r="S387" s="76"/>
      <c r="T387" s="81" t="s">
        <v>795</v>
      </c>
      <c r="U387" s="76"/>
      <c r="V387" s="79" t="str">
        <f>HYPERLINK("https://pbs.twimg.com/profile_images/1547329555953852418/RVexXU-0_normal.jpg")</f>
        <v>https://pbs.twimg.com/profile_images/1547329555953852418/RVexXU-0_normal.jpg</v>
      </c>
      <c r="W387" s="78">
        <v>44819.716365740744</v>
      </c>
      <c r="X387" s="84">
        <v>44819</v>
      </c>
      <c r="Y387" s="81" t="s">
        <v>1159</v>
      </c>
      <c r="Z387" s="79" t="str">
        <f>HYPERLINK("https://twitter.com/godandtrump114/status/1570460326319067138")</f>
        <v>https://twitter.com/godandtrump114/status/1570460326319067138</v>
      </c>
      <c r="AA387" s="76"/>
      <c r="AB387" s="76"/>
      <c r="AC387" s="81" t="s">
        <v>1494</v>
      </c>
      <c r="AD387" s="81" t="s">
        <v>1654</v>
      </c>
      <c r="AE387" s="76" t="b">
        <v>0</v>
      </c>
      <c r="AF387" s="76">
        <v>0</v>
      </c>
      <c r="AG387" s="81" t="s">
        <v>1755</v>
      </c>
      <c r="AH387" s="76" t="b">
        <v>0</v>
      </c>
      <c r="AI387" s="76" t="s">
        <v>1772</v>
      </c>
      <c r="AJ387" s="76"/>
      <c r="AK387" s="81" t="s">
        <v>1674</v>
      </c>
      <c r="AL387" s="76" t="b">
        <v>0</v>
      </c>
      <c r="AM387" s="76">
        <v>0</v>
      </c>
      <c r="AN387" s="81" t="s">
        <v>1674</v>
      </c>
      <c r="AO387" s="81" t="s">
        <v>1809</v>
      </c>
      <c r="AP387" s="76" t="b">
        <v>0</v>
      </c>
      <c r="AQ387" s="81" t="s">
        <v>1654</v>
      </c>
      <c r="AR387" s="76" t="s">
        <v>219</v>
      </c>
      <c r="AS387" s="76">
        <v>0</v>
      </c>
      <c r="AT387" s="76">
        <v>0</v>
      </c>
      <c r="AU387" s="76"/>
      <c r="AV387" s="76"/>
      <c r="AW387" s="76"/>
      <c r="AX387" s="76"/>
      <c r="AY387" s="76"/>
      <c r="AZ387" s="76"/>
      <c r="BA387" s="76"/>
      <c r="BB387" s="76"/>
      <c r="BC387">
        <v>1</v>
      </c>
      <c r="BD387" s="75" t="str">
        <f>REPLACE(INDEX(GroupVertices[Group],MATCH(Edges[[#This Row],[Vertex 1]],GroupVertices[Vertex],0)),1,1,"")</f>
        <v>31</v>
      </c>
      <c r="BE387" s="75" t="str">
        <f>REPLACE(INDEX(GroupVertices[Group],MATCH(Edges[[#This Row],[Vertex 2]],GroupVertices[Vertex],0)),1,1,"")</f>
        <v>31</v>
      </c>
      <c r="BF387" s="45">
        <v>0</v>
      </c>
      <c r="BG387" s="46">
        <v>0</v>
      </c>
      <c r="BH387" s="45">
        <v>2</v>
      </c>
      <c r="BI387" s="46">
        <v>14.285714285714286</v>
      </c>
      <c r="BJ387" s="45">
        <v>0</v>
      </c>
      <c r="BK387" s="46">
        <v>0</v>
      </c>
      <c r="BL387" s="45">
        <v>12</v>
      </c>
      <c r="BM387" s="46">
        <v>85.71428571428571</v>
      </c>
      <c r="BN387" s="45">
        <v>14</v>
      </c>
    </row>
    <row r="388" spans="1:66" ht="15">
      <c r="A388" s="61" t="s">
        <v>413</v>
      </c>
      <c r="B388" s="61" t="s">
        <v>567</v>
      </c>
      <c r="C388" s="62" t="s">
        <v>4691</v>
      </c>
      <c r="D388" s="63">
        <v>5.833333333333333</v>
      </c>
      <c r="E388" s="62"/>
      <c r="F388" s="65">
        <v>44.166666666666664</v>
      </c>
      <c r="G388" s="62"/>
      <c r="H388" s="66"/>
      <c r="I388" s="67"/>
      <c r="J388" s="67"/>
      <c r="K388" s="31" t="s">
        <v>65</v>
      </c>
      <c r="L388" s="68">
        <v>388</v>
      </c>
      <c r="M388" s="68"/>
      <c r="N388" s="69"/>
      <c r="O388" s="76" t="s">
        <v>587</v>
      </c>
      <c r="P388" s="78">
        <v>44817.77234953704</v>
      </c>
      <c r="Q388" s="76" t="s">
        <v>754</v>
      </c>
      <c r="R388" s="76"/>
      <c r="S388" s="76"/>
      <c r="T388" s="81" t="s">
        <v>795</v>
      </c>
      <c r="U388" s="76"/>
      <c r="V388" s="79" t="str">
        <f>HYPERLINK("https://pbs.twimg.com/profile_images/1560723548540489739/Cp800W5O_normal.jpg")</f>
        <v>https://pbs.twimg.com/profile_images/1560723548540489739/Cp800W5O_normal.jpg</v>
      </c>
      <c r="W388" s="78">
        <v>44817.77234953704</v>
      </c>
      <c r="X388" s="84">
        <v>44817</v>
      </c>
      <c r="Y388" s="81" t="s">
        <v>1160</v>
      </c>
      <c r="Z388" s="79" t="str">
        <f>HYPERLINK("https://twitter.com/bobmozg/status/1569755841724571648")</f>
        <v>https://twitter.com/bobmozg/status/1569755841724571648</v>
      </c>
      <c r="AA388" s="76"/>
      <c r="AB388" s="76"/>
      <c r="AC388" s="81" t="s">
        <v>1495</v>
      </c>
      <c r="AD388" s="81" t="s">
        <v>1655</v>
      </c>
      <c r="AE388" s="76" t="b">
        <v>0</v>
      </c>
      <c r="AF388" s="76">
        <v>3</v>
      </c>
      <c r="AG388" s="81" t="s">
        <v>1756</v>
      </c>
      <c r="AH388" s="76" t="b">
        <v>0</v>
      </c>
      <c r="AI388" s="76" t="s">
        <v>1773</v>
      </c>
      <c r="AJ388" s="76"/>
      <c r="AK388" s="81" t="s">
        <v>1674</v>
      </c>
      <c r="AL388" s="76" t="b">
        <v>0</v>
      </c>
      <c r="AM388" s="76">
        <v>0</v>
      </c>
      <c r="AN388" s="81" t="s">
        <v>1674</v>
      </c>
      <c r="AO388" s="81" t="s">
        <v>1807</v>
      </c>
      <c r="AP388" s="76" t="b">
        <v>0</v>
      </c>
      <c r="AQ388" s="81" t="s">
        <v>1655</v>
      </c>
      <c r="AR388" s="76" t="s">
        <v>219</v>
      </c>
      <c r="AS388" s="76">
        <v>0</v>
      </c>
      <c r="AT388" s="76">
        <v>0</v>
      </c>
      <c r="AU388" s="76"/>
      <c r="AV388" s="76"/>
      <c r="AW388" s="76"/>
      <c r="AX388" s="76"/>
      <c r="AY388" s="76"/>
      <c r="AZ388" s="76"/>
      <c r="BA388" s="76"/>
      <c r="BB388" s="76"/>
      <c r="BC388">
        <v>3</v>
      </c>
      <c r="BD388" s="75" t="str">
        <f>REPLACE(INDEX(GroupVertices[Group],MATCH(Edges[[#This Row],[Vertex 1]],GroupVertices[Vertex],0)),1,1,"")</f>
        <v>15</v>
      </c>
      <c r="BE388" s="75" t="str">
        <f>REPLACE(INDEX(GroupVertices[Group],MATCH(Edges[[#This Row],[Vertex 2]],GroupVertices[Vertex],0)),1,1,"")</f>
        <v>15</v>
      </c>
      <c r="BF388" s="45">
        <v>0</v>
      </c>
      <c r="BG388" s="46">
        <v>0</v>
      </c>
      <c r="BH388" s="45">
        <v>0</v>
      </c>
      <c r="BI388" s="46">
        <v>0</v>
      </c>
      <c r="BJ388" s="45">
        <v>0</v>
      </c>
      <c r="BK388" s="46">
        <v>0</v>
      </c>
      <c r="BL388" s="45">
        <v>2</v>
      </c>
      <c r="BM388" s="46">
        <v>100</v>
      </c>
      <c r="BN388" s="45">
        <v>2</v>
      </c>
    </row>
    <row r="389" spans="1:66" ht="15">
      <c r="A389" s="61" t="s">
        <v>413</v>
      </c>
      <c r="B389" s="61" t="s">
        <v>567</v>
      </c>
      <c r="C389" s="62" t="s">
        <v>4691</v>
      </c>
      <c r="D389" s="63">
        <v>5.833333333333333</v>
      </c>
      <c r="E389" s="62"/>
      <c r="F389" s="65">
        <v>44.166666666666664</v>
      </c>
      <c r="G389" s="62"/>
      <c r="H389" s="66"/>
      <c r="I389" s="67"/>
      <c r="J389" s="67"/>
      <c r="K389" s="31" t="s">
        <v>65</v>
      </c>
      <c r="L389" s="68">
        <v>389</v>
      </c>
      <c r="M389" s="68"/>
      <c r="N389" s="69"/>
      <c r="O389" s="76" t="s">
        <v>587</v>
      </c>
      <c r="P389" s="78">
        <v>44819.47162037037</v>
      </c>
      <c r="Q389" s="76" t="s">
        <v>754</v>
      </c>
      <c r="R389" s="76"/>
      <c r="S389" s="76"/>
      <c r="T389" s="81" t="s">
        <v>795</v>
      </c>
      <c r="U389" s="76"/>
      <c r="V389" s="79" t="str">
        <f>HYPERLINK("https://pbs.twimg.com/profile_images/1560723548540489739/Cp800W5O_normal.jpg")</f>
        <v>https://pbs.twimg.com/profile_images/1560723548540489739/Cp800W5O_normal.jpg</v>
      </c>
      <c r="W389" s="78">
        <v>44819.47162037037</v>
      </c>
      <c r="X389" s="84">
        <v>44819</v>
      </c>
      <c r="Y389" s="81" t="s">
        <v>1161</v>
      </c>
      <c r="Z389" s="79" t="str">
        <f>HYPERLINK("https://twitter.com/bobmozg/status/1570371632971259905")</f>
        <v>https://twitter.com/bobmozg/status/1570371632971259905</v>
      </c>
      <c r="AA389" s="76"/>
      <c r="AB389" s="76"/>
      <c r="AC389" s="81" t="s">
        <v>1496</v>
      </c>
      <c r="AD389" s="81" t="s">
        <v>1656</v>
      </c>
      <c r="AE389" s="76" t="b">
        <v>0</v>
      </c>
      <c r="AF389" s="76">
        <v>3</v>
      </c>
      <c r="AG389" s="81" t="s">
        <v>1756</v>
      </c>
      <c r="AH389" s="76" t="b">
        <v>0</v>
      </c>
      <c r="AI389" s="76" t="s">
        <v>1773</v>
      </c>
      <c r="AJ389" s="76"/>
      <c r="AK389" s="81" t="s">
        <v>1674</v>
      </c>
      <c r="AL389" s="76" t="b">
        <v>0</v>
      </c>
      <c r="AM389" s="76">
        <v>1</v>
      </c>
      <c r="AN389" s="81" t="s">
        <v>1674</v>
      </c>
      <c r="AO389" s="81" t="s">
        <v>1808</v>
      </c>
      <c r="AP389" s="76" t="b">
        <v>0</v>
      </c>
      <c r="AQ389" s="81" t="s">
        <v>1656</v>
      </c>
      <c r="AR389" s="76" t="s">
        <v>219</v>
      </c>
      <c r="AS389" s="76">
        <v>0</v>
      </c>
      <c r="AT389" s="76">
        <v>0</v>
      </c>
      <c r="AU389" s="76"/>
      <c r="AV389" s="76"/>
      <c r="AW389" s="76"/>
      <c r="AX389" s="76"/>
      <c r="AY389" s="76"/>
      <c r="AZ389" s="76"/>
      <c r="BA389" s="76"/>
      <c r="BB389" s="76"/>
      <c r="BC389">
        <v>3</v>
      </c>
      <c r="BD389" s="75" t="str">
        <f>REPLACE(INDEX(GroupVertices[Group],MATCH(Edges[[#This Row],[Vertex 1]],GroupVertices[Vertex],0)),1,1,"")</f>
        <v>15</v>
      </c>
      <c r="BE389" s="75" t="str">
        <f>REPLACE(INDEX(GroupVertices[Group],MATCH(Edges[[#This Row],[Vertex 2]],GroupVertices[Vertex],0)),1,1,"")</f>
        <v>15</v>
      </c>
      <c r="BF389" s="45">
        <v>0</v>
      </c>
      <c r="BG389" s="46">
        <v>0</v>
      </c>
      <c r="BH389" s="45">
        <v>0</v>
      </c>
      <c r="BI389" s="46">
        <v>0</v>
      </c>
      <c r="BJ389" s="45">
        <v>0</v>
      </c>
      <c r="BK389" s="46">
        <v>0</v>
      </c>
      <c r="BL389" s="45">
        <v>2</v>
      </c>
      <c r="BM389" s="46">
        <v>100</v>
      </c>
      <c r="BN389" s="45">
        <v>2</v>
      </c>
    </row>
    <row r="390" spans="1:66" ht="15">
      <c r="A390" s="61" t="s">
        <v>413</v>
      </c>
      <c r="B390" s="61" t="s">
        <v>567</v>
      </c>
      <c r="C390" s="62" t="s">
        <v>4691</v>
      </c>
      <c r="D390" s="63">
        <v>5.833333333333333</v>
      </c>
      <c r="E390" s="62"/>
      <c r="F390" s="65">
        <v>44.166666666666664</v>
      </c>
      <c r="G390" s="62"/>
      <c r="H390" s="66"/>
      <c r="I390" s="67"/>
      <c r="J390" s="67"/>
      <c r="K390" s="31" t="s">
        <v>65</v>
      </c>
      <c r="L390" s="68">
        <v>390</v>
      </c>
      <c r="M390" s="68"/>
      <c r="N390" s="69"/>
      <c r="O390" s="76" t="s">
        <v>587</v>
      </c>
      <c r="P390" s="78">
        <v>44819.480046296296</v>
      </c>
      <c r="Q390" s="76" t="s">
        <v>754</v>
      </c>
      <c r="R390" s="76"/>
      <c r="S390" s="76"/>
      <c r="T390" s="81" t="s">
        <v>795</v>
      </c>
      <c r="U390" s="76"/>
      <c r="V390" s="79" t="str">
        <f>HYPERLINK("https://pbs.twimg.com/profile_images/1560723548540489739/Cp800W5O_normal.jpg")</f>
        <v>https://pbs.twimg.com/profile_images/1560723548540489739/Cp800W5O_normal.jpg</v>
      </c>
      <c r="W390" s="78">
        <v>44819.480046296296</v>
      </c>
      <c r="X390" s="84">
        <v>44819</v>
      </c>
      <c r="Y390" s="81" t="s">
        <v>1162</v>
      </c>
      <c r="Z390" s="79" t="str">
        <f>HYPERLINK("https://twitter.com/bobmozg/status/1570374688911532034")</f>
        <v>https://twitter.com/bobmozg/status/1570374688911532034</v>
      </c>
      <c r="AA390" s="76"/>
      <c r="AB390" s="76"/>
      <c r="AC390" s="81" t="s">
        <v>1497</v>
      </c>
      <c r="AD390" s="81" t="s">
        <v>1657</v>
      </c>
      <c r="AE390" s="76" t="b">
        <v>0</v>
      </c>
      <c r="AF390" s="76">
        <v>2</v>
      </c>
      <c r="AG390" s="81" t="s">
        <v>1756</v>
      </c>
      <c r="AH390" s="76" t="b">
        <v>0</v>
      </c>
      <c r="AI390" s="76" t="s">
        <v>1773</v>
      </c>
      <c r="AJ390" s="76"/>
      <c r="AK390" s="81" t="s">
        <v>1674</v>
      </c>
      <c r="AL390" s="76" t="b">
        <v>0</v>
      </c>
      <c r="AM390" s="76">
        <v>0</v>
      </c>
      <c r="AN390" s="81" t="s">
        <v>1674</v>
      </c>
      <c r="AO390" s="81" t="s">
        <v>1808</v>
      </c>
      <c r="AP390" s="76" t="b">
        <v>0</v>
      </c>
      <c r="AQ390" s="81" t="s">
        <v>1657</v>
      </c>
      <c r="AR390" s="76" t="s">
        <v>219</v>
      </c>
      <c r="AS390" s="76">
        <v>0</v>
      </c>
      <c r="AT390" s="76">
        <v>0</v>
      </c>
      <c r="AU390" s="76"/>
      <c r="AV390" s="76"/>
      <c r="AW390" s="76"/>
      <c r="AX390" s="76"/>
      <c r="AY390" s="76"/>
      <c r="AZ390" s="76"/>
      <c r="BA390" s="76"/>
      <c r="BB390" s="76"/>
      <c r="BC390">
        <v>3</v>
      </c>
      <c r="BD390" s="75" t="str">
        <f>REPLACE(INDEX(GroupVertices[Group],MATCH(Edges[[#This Row],[Vertex 1]],GroupVertices[Vertex],0)),1,1,"")</f>
        <v>15</v>
      </c>
      <c r="BE390" s="75" t="str">
        <f>REPLACE(INDEX(GroupVertices[Group],MATCH(Edges[[#This Row],[Vertex 2]],GroupVertices[Vertex],0)),1,1,"")</f>
        <v>15</v>
      </c>
      <c r="BF390" s="45">
        <v>0</v>
      </c>
      <c r="BG390" s="46">
        <v>0</v>
      </c>
      <c r="BH390" s="45">
        <v>0</v>
      </c>
      <c r="BI390" s="46">
        <v>0</v>
      </c>
      <c r="BJ390" s="45">
        <v>0</v>
      </c>
      <c r="BK390" s="46">
        <v>0</v>
      </c>
      <c r="BL390" s="45">
        <v>2</v>
      </c>
      <c r="BM390" s="46">
        <v>100</v>
      </c>
      <c r="BN390" s="45">
        <v>2</v>
      </c>
    </row>
    <row r="391" spans="1:66" ht="15">
      <c r="A391" s="61" t="s">
        <v>422</v>
      </c>
      <c r="B391" s="61" t="s">
        <v>413</v>
      </c>
      <c r="C391" s="62" t="s">
        <v>4688</v>
      </c>
      <c r="D391" s="63">
        <v>5</v>
      </c>
      <c r="E391" s="62"/>
      <c r="F391" s="65">
        <v>50</v>
      </c>
      <c r="G391" s="62"/>
      <c r="H391" s="66"/>
      <c r="I391" s="67"/>
      <c r="J391" s="67"/>
      <c r="K391" s="31" t="s">
        <v>65</v>
      </c>
      <c r="L391" s="68">
        <v>391</v>
      </c>
      <c r="M391" s="68"/>
      <c r="N391" s="69"/>
      <c r="O391" s="76" t="s">
        <v>586</v>
      </c>
      <c r="P391" s="78">
        <v>44819.74172453704</v>
      </c>
      <c r="Q391" s="76" t="s">
        <v>754</v>
      </c>
      <c r="R391" s="76"/>
      <c r="S391" s="76"/>
      <c r="T391" s="81" t="s">
        <v>795</v>
      </c>
      <c r="U391" s="76"/>
      <c r="V391" s="79" t="str">
        <f>HYPERLINK("https://pbs.twimg.com/profile_images/1491225511716139015/TUVUa4rD_normal.jpg")</f>
        <v>https://pbs.twimg.com/profile_images/1491225511716139015/TUVUa4rD_normal.jpg</v>
      </c>
      <c r="W391" s="78">
        <v>44819.74172453704</v>
      </c>
      <c r="X391" s="84">
        <v>44819</v>
      </c>
      <c r="Y391" s="81" t="s">
        <v>1163</v>
      </c>
      <c r="Z391" s="79" t="str">
        <f>HYPERLINK("https://twitter.com/m_degage/status/1570469517146324994")</f>
        <v>https://twitter.com/m_degage/status/1570469517146324994</v>
      </c>
      <c r="AA391" s="76"/>
      <c r="AB391" s="76"/>
      <c r="AC391" s="81" t="s">
        <v>1498</v>
      </c>
      <c r="AD391" s="76"/>
      <c r="AE391" s="76" t="b">
        <v>0</v>
      </c>
      <c r="AF391" s="76">
        <v>0</v>
      </c>
      <c r="AG391" s="81" t="s">
        <v>1674</v>
      </c>
      <c r="AH391" s="76" t="b">
        <v>0</v>
      </c>
      <c r="AI391" s="76" t="s">
        <v>1773</v>
      </c>
      <c r="AJ391" s="76"/>
      <c r="AK391" s="81" t="s">
        <v>1674</v>
      </c>
      <c r="AL391" s="76" t="b">
        <v>0</v>
      </c>
      <c r="AM391" s="76">
        <v>1</v>
      </c>
      <c r="AN391" s="81" t="s">
        <v>1496</v>
      </c>
      <c r="AO391" s="81" t="s">
        <v>1808</v>
      </c>
      <c r="AP391" s="76" t="b">
        <v>0</v>
      </c>
      <c r="AQ391" s="81" t="s">
        <v>1496</v>
      </c>
      <c r="AR391" s="76" t="s">
        <v>219</v>
      </c>
      <c r="AS391" s="76">
        <v>0</v>
      </c>
      <c r="AT391" s="76">
        <v>0</v>
      </c>
      <c r="AU391" s="76"/>
      <c r="AV391" s="76"/>
      <c r="AW391" s="76"/>
      <c r="AX391" s="76"/>
      <c r="AY391" s="76"/>
      <c r="AZ391" s="76"/>
      <c r="BA391" s="76"/>
      <c r="BB391" s="76"/>
      <c r="BC391">
        <v>1</v>
      </c>
      <c r="BD391" s="75" t="str">
        <f>REPLACE(INDEX(GroupVertices[Group],MATCH(Edges[[#This Row],[Vertex 1]],GroupVertices[Vertex],0)),1,1,"")</f>
        <v>15</v>
      </c>
      <c r="BE391" s="75" t="str">
        <f>REPLACE(INDEX(GroupVertices[Group],MATCH(Edges[[#This Row],[Vertex 2]],GroupVertices[Vertex],0)),1,1,"")</f>
        <v>15</v>
      </c>
      <c r="BF391" s="45"/>
      <c r="BG391" s="46"/>
      <c r="BH391" s="45"/>
      <c r="BI391" s="46"/>
      <c r="BJ391" s="45"/>
      <c r="BK391" s="46"/>
      <c r="BL391" s="45"/>
      <c r="BM391" s="46"/>
      <c r="BN391" s="45"/>
    </row>
    <row r="392" spans="1:66" ht="15">
      <c r="A392" s="61" t="s">
        <v>422</v>
      </c>
      <c r="B392" s="61" t="s">
        <v>567</v>
      </c>
      <c r="C392" s="62" t="s">
        <v>4688</v>
      </c>
      <c r="D392" s="63">
        <v>5</v>
      </c>
      <c r="E392" s="62"/>
      <c r="F392" s="65">
        <v>50</v>
      </c>
      <c r="G392" s="62"/>
      <c r="H392" s="66"/>
      <c r="I392" s="67"/>
      <c r="J392" s="67"/>
      <c r="K392" s="31" t="s">
        <v>65</v>
      </c>
      <c r="L392" s="68">
        <v>392</v>
      </c>
      <c r="M392" s="68"/>
      <c r="N392" s="69"/>
      <c r="O392" s="76" t="s">
        <v>587</v>
      </c>
      <c r="P392" s="78">
        <v>44819.74172453704</v>
      </c>
      <c r="Q392" s="76" t="s">
        <v>754</v>
      </c>
      <c r="R392" s="76"/>
      <c r="S392" s="76"/>
      <c r="T392" s="81" t="s">
        <v>795</v>
      </c>
      <c r="U392" s="76"/>
      <c r="V392" s="79" t="str">
        <f>HYPERLINK("https://pbs.twimg.com/profile_images/1491225511716139015/TUVUa4rD_normal.jpg")</f>
        <v>https://pbs.twimg.com/profile_images/1491225511716139015/TUVUa4rD_normal.jpg</v>
      </c>
      <c r="W392" s="78">
        <v>44819.74172453704</v>
      </c>
      <c r="X392" s="84">
        <v>44819</v>
      </c>
      <c r="Y392" s="81" t="s">
        <v>1163</v>
      </c>
      <c r="Z392" s="79" t="str">
        <f>HYPERLINK("https://twitter.com/m_degage/status/1570469517146324994")</f>
        <v>https://twitter.com/m_degage/status/1570469517146324994</v>
      </c>
      <c r="AA392" s="76"/>
      <c r="AB392" s="76"/>
      <c r="AC392" s="81" t="s">
        <v>1498</v>
      </c>
      <c r="AD392" s="76"/>
      <c r="AE392" s="76" t="b">
        <v>0</v>
      </c>
      <c r="AF392" s="76">
        <v>0</v>
      </c>
      <c r="AG392" s="81" t="s">
        <v>1674</v>
      </c>
      <c r="AH392" s="76" t="b">
        <v>0</v>
      </c>
      <c r="AI392" s="76" t="s">
        <v>1773</v>
      </c>
      <c r="AJ392" s="76"/>
      <c r="AK392" s="81" t="s">
        <v>1674</v>
      </c>
      <c r="AL392" s="76" t="b">
        <v>0</v>
      </c>
      <c r="AM392" s="76">
        <v>1</v>
      </c>
      <c r="AN392" s="81" t="s">
        <v>1496</v>
      </c>
      <c r="AO392" s="81" t="s">
        <v>1808</v>
      </c>
      <c r="AP392" s="76" t="b">
        <v>0</v>
      </c>
      <c r="AQ392" s="81" t="s">
        <v>1496</v>
      </c>
      <c r="AR392" s="76" t="s">
        <v>219</v>
      </c>
      <c r="AS392" s="76">
        <v>0</v>
      </c>
      <c r="AT392" s="76">
        <v>0</v>
      </c>
      <c r="AU392" s="76"/>
      <c r="AV392" s="76"/>
      <c r="AW392" s="76"/>
      <c r="AX392" s="76"/>
      <c r="AY392" s="76"/>
      <c r="AZ392" s="76"/>
      <c r="BA392" s="76"/>
      <c r="BB392" s="76"/>
      <c r="BC392">
        <v>1</v>
      </c>
      <c r="BD392" s="75" t="str">
        <f>REPLACE(INDEX(GroupVertices[Group],MATCH(Edges[[#This Row],[Vertex 1]],GroupVertices[Vertex],0)),1,1,"")</f>
        <v>15</v>
      </c>
      <c r="BE392" s="75" t="str">
        <f>REPLACE(INDEX(GroupVertices[Group],MATCH(Edges[[#This Row],[Vertex 2]],GroupVertices[Vertex],0)),1,1,"")</f>
        <v>15</v>
      </c>
      <c r="BF392" s="45">
        <v>0</v>
      </c>
      <c r="BG392" s="46">
        <v>0</v>
      </c>
      <c r="BH392" s="45">
        <v>0</v>
      </c>
      <c r="BI392" s="46">
        <v>0</v>
      </c>
      <c r="BJ392" s="45">
        <v>0</v>
      </c>
      <c r="BK392" s="46">
        <v>0</v>
      </c>
      <c r="BL392" s="45">
        <v>2</v>
      </c>
      <c r="BM392" s="46">
        <v>100</v>
      </c>
      <c r="BN392" s="45">
        <v>2</v>
      </c>
    </row>
    <row r="393" spans="1:66" ht="15">
      <c r="A393" s="61" t="s">
        <v>423</v>
      </c>
      <c r="B393" s="61" t="s">
        <v>423</v>
      </c>
      <c r="C393" s="62" t="s">
        <v>4695</v>
      </c>
      <c r="D393" s="63">
        <v>10</v>
      </c>
      <c r="E393" s="62"/>
      <c r="F393" s="65">
        <v>15</v>
      </c>
      <c r="G393" s="62"/>
      <c r="H393" s="66"/>
      <c r="I393" s="67"/>
      <c r="J393" s="67"/>
      <c r="K393" s="31" t="s">
        <v>65</v>
      </c>
      <c r="L393" s="68">
        <v>393</v>
      </c>
      <c r="M393" s="68"/>
      <c r="N393" s="69"/>
      <c r="O393" s="76" t="s">
        <v>219</v>
      </c>
      <c r="P393" s="78">
        <v>44811.62568287037</v>
      </c>
      <c r="Q393" s="76" t="s">
        <v>755</v>
      </c>
      <c r="R393" s="79" t="str">
        <f>HYPERLINK("https://www.youtube.com/watch?v=V75pj41VFGk")</f>
        <v>https://www.youtube.com/watch?v=V75pj41VFGk</v>
      </c>
      <c r="S393" s="76" t="s">
        <v>790</v>
      </c>
      <c r="T393" s="81" t="s">
        <v>875</v>
      </c>
      <c r="U393" s="76"/>
      <c r="V393" s="79" t="str">
        <f>HYPERLINK("https://abs.twimg.com/sticky/default_profile_images/default_profile_normal.png")</f>
        <v>https://abs.twimg.com/sticky/default_profile_images/default_profile_normal.png</v>
      </c>
      <c r="W393" s="78">
        <v>44811.62568287037</v>
      </c>
      <c r="X393" s="84">
        <v>44811</v>
      </c>
      <c r="Y393" s="81" t="s">
        <v>1164</v>
      </c>
      <c r="Z393" s="79" t="str">
        <f>HYPERLINK("https://twitter.com/reinbow05061512/status/1567528364138717184")</f>
        <v>https://twitter.com/reinbow05061512/status/1567528364138717184</v>
      </c>
      <c r="AA393" s="76"/>
      <c r="AB393" s="76"/>
      <c r="AC393" s="81" t="s">
        <v>1499</v>
      </c>
      <c r="AD393" s="76"/>
      <c r="AE393" s="76" t="b">
        <v>0</v>
      </c>
      <c r="AF393" s="76">
        <v>0</v>
      </c>
      <c r="AG393" s="81" t="s">
        <v>1674</v>
      </c>
      <c r="AH393" s="76" t="b">
        <v>0</v>
      </c>
      <c r="AI393" s="76" t="s">
        <v>1772</v>
      </c>
      <c r="AJ393" s="76"/>
      <c r="AK393" s="81" t="s">
        <v>1674</v>
      </c>
      <c r="AL393" s="76" t="b">
        <v>0</v>
      </c>
      <c r="AM393" s="76">
        <v>0</v>
      </c>
      <c r="AN393" s="81" t="s">
        <v>1674</v>
      </c>
      <c r="AO393" s="81" t="s">
        <v>1811</v>
      </c>
      <c r="AP393" s="76" t="b">
        <v>0</v>
      </c>
      <c r="AQ393" s="81" t="s">
        <v>1499</v>
      </c>
      <c r="AR393" s="76" t="s">
        <v>219</v>
      </c>
      <c r="AS393" s="76">
        <v>0</v>
      </c>
      <c r="AT393" s="76">
        <v>0</v>
      </c>
      <c r="AU393" s="76"/>
      <c r="AV393" s="76"/>
      <c r="AW393" s="76"/>
      <c r="AX393" s="76"/>
      <c r="AY393" s="76"/>
      <c r="AZ393" s="76"/>
      <c r="BA393" s="76"/>
      <c r="BB393" s="76"/>
      <c r="BC393">
        <v>43</v>
      </c>
      <c r="BD393" s="75" t="str">
        <f>REPLACE(INDEX(GroupVertices[Group],MATCH(Edges[[#This Row],[Vertex 1]],GroupVertices[Vertex],0)),1,1,"")</f>
        <v>2</v>
      </c>
      <c r="BE393" s="75" t="str">
        <f>REPLACE(INDEX(GroupVertices[Group],MATCH(Edges[[#This Row],[Vertex 2]],GroupVertices[Vertex],0)),1,1,"")</f>
        <v>2</v>
      </c>
      <c r="BF393" s="45">
        <v>0</v>
      </c>
      <c r="BG393" s="46">
        <v>0</v>
      </c>
      <c r="BH393" s="45">
        <v>0</v>
      </c>
      <c r="BI393" s="46">
        <v>0</v>
      </c>
      <c r="BJ393" s="45">
        <v>0</v>
      </c>
      <c r="BK393" s="46">
        <v>0</v>
      </c>
      <c r="BL393" s="45">
        <v>19</v>
      </c>
      <c r="BM393" s="46">
        <v>100</v>
      </c>
      <c r="BN393" s="45">
        <v>19</v>
      </c>
    </row>
    <row r="394" spans="1:66" ht="15">
      <c r="A394" s="61" t="s">
        <v>423</v>
      </c>
      <c r="B394" s="61" t="s">
        <v>423</v>
      </c>
      <c r="C394" s="62" t="s">
        <v>4695</v>
      </c>
      <c r="D394" s="63">
        <v>10</v>
      </c>
      <c r="E394" s="62"/>
      <c r="F394" s="65">
        <v>15</v>
      </c>
      <c r="G394" s="62"/>
      <c r="H394" s="66"/>
      <c r="I394" s="67"/>
      <c r="J394" s="67"/>
      <c r="K394" s="31" t="s">
        <v>65</v>
      </c>
      <c r="L394" s="68">
        <v>394</v>
      </c>
      <c r="M394" s="68"/>
      <c r="N394" s="69"/>
      <c r="O394" s="76" t="s">
        <v>219</v>
      </c>
      <c r="P394" s="78">
        <v>44811.62577546296</v>
      </c>
      <c r="Q394" s="76" t="s">
        <v>756</v>
      </c>
      <c r="R394" s="79" t="str">
        <f>HYPERLINK("https://www.youtube.com/watch?v=ejG32fwnsV4&amp;feature=youtu.be")</f>
        <v>https://www.youtube.com/watch?v=ejG32fwnsV4&amp;feature=youtu.be</v>
      </c>
      <c r="S394" s="76" t="s">
        <v>790</v>
      </c>
      <c r="T394" s="81" t="s">
        <v>875</v>
      </c>
      <c r="U394" s="76"/>
      <c r="V394" s="79" t="str">
        <f>HYPERLINK("https://abs.twimg.com/sticky/default_profile_images/default_profile_normal.png")</f>
        <v>https://abs.twimg.com/sticky/default_profile_images/default_profile_normal.png</v>
      </c>
      <c r="W394" s="78">
        <v>44811.62577546296</v>
      </c>
      <c r="X394" s="84">
        <v>44811</v>
      </c>
      <c r="Y394" s="81" t="s">
        <v>1165</v>
      </c>
      <c r="Z394" s="79" t="str">
        <f>HYPERLINK("https://twitter.com/reinbow05061512/status/1567528397751914501")</f>
        <v>https://twitter.com/reinbow05061512/status/1567528397751914501</v>
      </c>
      <c r="AA394" s="76"/>
      <c r="AB394" s="76"/>
      <c r="AC394" s="81" t="s">
        <v>1500</v>
      </c>
      <c r="AD394" s="76"/>
      <c r="AE394" s="76" t="b">
        <v>0</v>
      </c>
      <c r="AF394" s="76">
        <v>0</v>
      </c>
      <c r="AG394" s="81" t="s">
        <v>1674</v>
      </c>
      <c r="AH394" s="76" t="b">
        <v>0</v>
      </c>
      <c r="AI394" s="76" t="s">
        <v>1772</v>
      </c>
      <c r="AJ394" s="76"/>
      <c r="AK394" s="81" t="s">
        <v>1674</v>
      </c>
      <c r="AL394" s="76" t="b">
        <v>0</v>
      </c>
      <c r="AM394" s="76">
        <v>0</v>
      </c>
      <c r="AN394" s="81" t="s">
        <v>1674</v>
      </c>
      <c r="AO394" s="81" t="s">
        <v>1811</v>
      </c>
      <c r="AP394" s="76" t="b">
        <v>0</v>
      </c>
      <c r="AQ394" s="81" t="s">
        <v>1500</v>
      </c>
      <c r="AR394" s="76" t="s">
        <v>219</v>
      </c>
      <c r="AS394" s="76">
        <v>0</v>
      </c>
      <c r="AT394" s="76">
        <v>0</v>
      </c>
      <c r="AU394" s="76"/>
      <c r="AV394" s="76"/>
      <c r="AW394" s="76"/>
      <c r="AX394" s="76"/>
      <c r="AY394" s="76"/>
      <c r="AZ394" s="76"/>
      <c r="BA394" s="76"/>
      <c r="BB394" s="76"/>
      <c r="BC394">
        <v>43</v>
      </c>
      <c r="BD394" s="75" t="str">
        <f>REPLACE(INDEX(GroupVertices[Group],MATCH(Edges[[#This Row],[Vertex 1]],GroupVertices[Vertex],0)),1,1,"")</f>
        <v>2</v>
      </c>
      <c r="BE394" s="75" t="str">
        <f>REPLACE(INDEX(GroupVertices[Group],MATCH(Edges[[#This Row],[Vertex 2]],GroupVertices[Vertex],0)),1,1,"")</f>
        <v>2</v>
      </c>
      <c r="BF394" s="45">
        <v>1</v>
      </c>
      <c r="BG394" s="46">
        <v>7.142857142857143</v>
      </c>
      <c r="BH394" s="45">
        <v>0</v>
      </c>
      <c r="BI394" s="46">
        <v>0</v>
      </c>
      <c r="BJ394" s="45">
        <v>0</v>
      </c>
      <c r="BK394" s="46">
        <v>0</v>
      </c>
      <c r="BL394" s="45">
        <v>13</v>
      </c>
      <c r="BM394" s="46">
        <v>92.85714285714286</v>
      </c>
      <c r="BN394" s="45">
        <v>14</v>
      </c>
    </row>
    <row r="395" spans="1:66" ht="15">
      <c r="A395" s="61" t="s">
        <v>423</v>
      </c>
      <c r="B395" s="61" t="s">
        <v>423</v>
      </c>
      <c r="C395" s="62" t="s">
        <v>4695</v>
      </c>
      <c r="D395" s="63">
        <v>10</v>
      </c>
      <c r="E395" s="62"/>
      <c r="F395" s="65">
        <v>15</v>
      </c>
      <c r="G395" s="62"/>
      <c r="H395" s="66"/>
      <c r="I395" s="67"/>
      <c r="J395" s="67"/>
      <c r="K395" s="31" t="s">
        <v>65</v>
      </c>
      <c r="L395" s="68">
        <v>395</v>
      </c>
      <c r="M395" s="68"/>
      <c r="N395" s="69"/>
      <c r="O395" s="76" t="s">
        <v>219</v>
      </c>
      <c r="P395" s="78">
        <v>44811.771157407406</v>
      </c>
      <c r="Q395" s="76" t="s">
        <v>757</v>
      </c>
      <c r="R395" s="79" t="str">
        <f>HYPERLINK("https://www.youtube.com/watch?v=PMOHqsUyk7Y&amp;feature=youtu.be")</f>
        <v>https://www.youtube.com/watch?v=PMOHqsUyk7Y&amp;feature=youtu.be</v>
      </c>
      <c r="S395" s="76" t="s">
        <v>790</v>
      </c>
      <c r="T395" s="81" t="s">
        <v>876</v>
      </c>
      <c r="U395" s="76"/>
      <c r="V395" s="79" t="str">
        <f>HYPERLINK("https://abs.twimg.com/sticky/default_profile_images/default_profile_normal.png")</f>
        <v>https://abs.twimg.com/sticky/default_profile_images/default_profile_normal.png</v>
      </c>
      <c r="W395" s="78">
        <v>44811.771157407406</v>
      </c>
      <c r="X395" s="84">
        <v>44811</v>
      </c>
      <c r="Y395" s="81" t="s">
        <v>1166</v>
      </c>
      <c r="Z395" s="79" t="str">
        <f>HYPERLINK("https://twitter.com/reinbow05061512/status/1567581082006036481")</f>
        <v>https://twitter.com/reinbow05061512/status/1567581082006036481</v>
      </c>
      <c r="AA395" s="76"/>
      <c r="AB395" s="76"/>
      <c r="AC395" s="81" t="s">
        <v>1501</v>
      </c>
      <c r="AD395" s="76"/>
      <c r="AE395" s="76" t="b">
        <v>0</v>
      </c>
      <c r="AF395" s="76">
        <v>0</v>
      </c>
      <c r="AG395" s="81" t="s">
        <v>1674</v>
      </c>
      <c r="AH395" s="76" t="b">
        <v>0</v>
      </c>
      <c r="AI395" s="76" t="s">
        <v>1773</v>
      </c>
      <c r="AJ395" s="76"/>
      <c r="AK395" s="81" t="s">
        <v>1674</v>
      </c>
      <c r="AL395" s="76" t="b">
        <v>0</v>
      </c>
      <c r="AM395" s="76">
        <v>0</v>
      </c>
      <c r="AN395" s="81" t="s">
        <v>1674</v>
      </c>
      <c r="AO395" s="81" t="s">
        <v>1811</v>
      </c>
      <c r="AP395" s="76" t="b">
        <v>0</v>
      </c>
      <c r="AQ395" s="81" t="s">
        <v>1501</v>
      </c>
      <c r="AR395" s="76" t="s">
        <v>219</v>
      </c>
      <c r="AS395" s="76">
        <v>0</v>
      </c>
      <c r="AT395" s="76">
        <v>0</v>
      </c>
      <c r="AU395" s="76"/>
      <c r="AV395" s="76"/>
      <c r="AW395" s="76"/>
      <c r="AX395" s="76"/>
      <c r="AY395" s="76"/>
      <c r="AZ395" s="76"/>
      <c r="BA395" s="76"/>
      <c r="BB395" s="76"/>
      <c r="BC395">
        <v>43</v>
      </c>
      <c r="BD395" s="75" t="str">
        <f>REPLACE(INDEX(GroupVertices[Group],MATCH(Edges[[#This Row],[Vertex 1]],GroupVertices[Vertex],0)),1,1,"")</f>
        <v>2</v>
      </c>
      <c r="BE395" s="75" t="str">
        <f>REPLACE(INDEX(GroupVertices[Group],MATCH(Edges[[#This Row],[Vertex 2]],GroupVertices[Vertex],0)),1,1,"")</f>
        <v>2</v>
      </c>
      <c r="BF395" s="45">
        <v>0</v>
      </c>
      <c r="BG395" s="46">
        <v>0</v>
      </c>
      <c r="BH395" s="45">
        <v>0</v>
      </c>
      <c r="BI395" s="46">
        <v>0</v>
      </c>
      <c r="BJ395" s="45">
        <v>0</v>
      </c>
      <c r="BK395" s="46">
        <v>0</v>
      </c>
      <c r="BL395" s="45">
        <v>13</v>
      </c>
      <c r="BM395" s="46">
        <v>100</v>
      </c>
      <c r="BN395" s="45">
        <v>13</v>
      </c>
    </row>
    <row r="396" spans="1:66" ht="15">
      <c r="A396" s="61" t="s">
        <v>423</v>
      </c>
      <c r="B396" s="61" t="s">
        <v>423</v>
      </c>
      <c r="C396" s="62" t="s">
        <v>4695</v>
      </c>
      <c r="D396" s="63">
        <v>10</v>
      </c>
      <c r="E396" s="62"/>
      <c r="F396" s="65">
        <v>15</v>
      </c>
      <c r="G396" s="62"/>
      <c r="H396" s="66"/>
      <c r="I396" s="67"/>
      <c r="J396" s="67"/>
      <c r="K396" s="31" t="s">
        <v>65</v>
      </c>
      <c r="L396" s="68">
        <v>396</v>
      </c>
      <c r="M396" s="68"/>
      <c r="N396" s="69"/>
      <c r="O396" s="76" t="s">
        <v>219</v>
      </c>
      <c r="P396" s="78">
        <v>44811.959340277775</v>
      </c>
      <c r="Q396" s="76" t="s">
        <v>758</v>
      </c>
      <c r="R396" s="79" t="str">
        <f>HYPERLINK("https://ameblo.jp/historical-gay/entry-10222227037.html")</f>
        <v>https://ameblo.jp/historical-gay/entry-10222227037.html</v>
      </c>
      <c r="S396" s="76" t="s">
        <v>791</v>
      </c>
      <c r="T396" s="81" t="s">
        <v>877</v>
      </c>
      <c r="U396" s="76"/>
      <c r="V396" s="79" t="str">
        <f>HYPERLINK("https://abs.twimg.com/sticky/default_profile_images/default_profile_normal.png")</f>
        <v>https://abs.twimg.com/sticky/default_profile_images/default_profile_normal.png</v>
      </c>
      <c r="W396" s="78">
        <v>44811.959340277775</v>
      </c>
      <c r="X396" s="84">
        <v>44811</v>
      </c>
      <c r="Y396" s="81" t="s">
        <v>1167</v>
      </c>
      <c r="Z396" s="79" t="str">
        <f>HYPERLINK("https://twitter.com/reinbow05061512/status/1567649274619469827")</f>
        <v>https://twitter.com/reinbow05061512/status/1567649274619469827</v>
      </c>
      <c r="AA396" s="76"/>
      <c r="AB396" s="76"/>
      <c r="AC396" s="81" t="s">
        <v>1502</v>
      </c>
      <c r="AD396" s="76"/>
      <c r="AE396" s="76" t="b">
        <v>0</v>
      </c>
      <c r="AF396" s="76">
        <v>0</v>
      </c>
      <c r="AG396" s="81" t="s">
        <v>1674</v>
      </c>
      <c r="AH396" s="76" t="b">
        <v>0</v>
      </c>
      <c r="AI396" s="76" t="s">
        <v>1773</v>
      </c>
      <c r="AJ396" s="76"/>
      <c r="AK396" s="81" t="s">
        <v>1674</v>
      </c>
      <c r="AL396" s="76" t="b">
        <v>0</v>
      </c>
      <c r="AM396" s="76">
        <v>0</v>
      </c>
      <c r="AN396" s="81" t="s">
        <v>1674</v>
      </c>
      <c r="AO396" s="81" t="s">
        <v>1811</v>
      </c>
      <c r="AP396" s="76" t="b">
        <v>0</v>
      </c>
      <c r="AQ396" s="81" t="s">
        <v>1502</v>
      </c>
      <c r="AR396" s="76" t="s">
        <v>219</v>
      </c>
      <c r="AS396" s="76">
        <v>0</v>
      </c>
      <c r="AT396" s="76">
        <v>0</v>
      </c>
      <c r="AU396" s="76"/>
      <c r="AV396" s="76"/>
      <c r="AW396" s="76"/>
      <c r="AX396" s="76"/>
      <c r="AY396" s="76"/>
      <c r="AZ396" s="76"/>
      <c r="BA396" s="76"/>
      <c r="BB396" s="76"/>
      <c r="BC396">
        <v>43</v>
      </c>
      <c r="BD396" s="75" t="str">
        <f>REPLACE(INDEX(GroupVertices[Group],MATCH(Edges[[#This Row],[Vertex 1]],GroupVertices[Vertex],0)),1,1,"")</f>
        <v>2</v>
      </c>
      <c r="BE396" s="75" t="str">
        <f>REPLACE(INDEX(GroupVertices[Group],MATCH(Edges[[#This Row],[Vertex 2]],GroupVertices[Vertex],0)),1,1,"")</f>
        <v>2</v>
      </c>
      <c r="BF396" s="45">
        <v>0</v>
      </c>
      <c r="BG396" s="46">
        <v>0</v>
      </c>
      <c r="BH396" s="45">
        <v>0</v>
      </c>
      <c r="BI396" s="46">
        <v>0</v>
      </c>
      <c r="BJ396" s="45">
        <v>0</v>
      </c>
      <c r="BK396" s="46">
        <v>0</v>
      </c>
      <c r="BL396" s="45">
        <v>13</v>
      </c>
      <c r="BM396" s="46">
        <v>100</v>
      </c>
      <c r="BN396" s="45">
        <v>13</v>
      </c>
    </row>
    <row r="397" spans="1:66" ht="15">
      <c r="A397" s="61" t="s">
        <v>423</v>
      </c>
      <c r="B397" s="61" t="s">
        <v>423</v>
      </c>
      <c r="C397" s="62" t="s">
        <v>4695</v>
      </c>
      <c r="D397" s="63">
        <v>10</v>
      </c>
      <c r="E397" s="62"/>
      <c r="F397" s="65">
        <v>15</v>
      </c>
      <c r="G397" s="62"/>
      <c r="H397" s="66"/>
      <c r="I397" s="67"/>
      <c r="J397" s="67"/>
      <c r="K397" s="31" t="s">
        <v>65</v>
      </c>
      <c r="L397" s="68">
        <v>397</v>
      </c>
      <c r="M397" s="68"/>
      <c r="N397" s="69"/>
      <c r="O397" s="76" t="s">
        <v>219</v>
      </c>
      <c r="P397" s="78">
        <v>44811.959340277775</v>
      </c>
      <c r="Q397" s="76" t="s">
        <v>759</v>
      </c>
      <c r="R397" s="79" t="str">
        <f>HYPERLINK("https://www.youtube.com/watch?v=uHIVevq290k&amp;feature=youtu.be")</f>
        <v>https://www.youtube.com/watch?v=uHIVevq290k&amp;feature=youtu.be</v>
      </c>
      <c r="S397" s="76" t="s">
        <v>790</v>
      </c>
      <c r="T397" s="81" t="s">
        <v>878</v>
      </c>
      <c r="U397" s="76"/>
      <c r="V397" s="79" t="str">
        <f>HYPERLINK("https://abs.twimg.com/sticky/default_profile_images/default_profile_normal.png")</f>
        <v>https://abs.twimg.com/sticky/default_profile_images/default_profile_normal.png</v>
      </c>
      <c r="W397" s="78">
        <v>44811.959340277775</v>
      </c>
      <c r="X397" s="84">
        <v>44811</v>
      </c>
      <c r="Y397" s="81" t="s">
        <v>1167</v>
      </c>
      <c r="Z397" s="79" t="str">
        <f>HYPERLINK("https://twitter.com/reinbow05061512/status/1567649277203079168")</f>
        <v>https://twitter.com/reinbow05061512/status/1567649277203079168</v>
      </c>
      <c r="AA397" s="76"/>
      <c r="AB397" s="76"/>
      <c r="AC397" s="81" t="s">
        <v>1503</v>
      </c>
      <c r="AD397" s="76"/>
      <c r="AE397" s="76" t="b">
        <v>0</v>
      </c>
      <c r="AF397" s="76">
        <v>0</v>
      </c>
      <c r="AG397" s="81" t="s">
        <v>1674</v>
      </c>
      <c r="AH397" s="76" t="b">
        <v>0</v>
      </c>
      <c r="AI397" s="76" t="s">
        <v>1772</v>
      </c>
      <c r="AJ397" s="76"/>
      <c r="AK397" s="81" t="s">
        <v>1674</v>
      </c>
      <c r="AL397" s="76" t="b">
        <v>0</v>
      </c>
      <c r="AM397" s="76">
        <v>0</v>
      </c>
      <c r="AN397" s="81" t="s">
        <v>1674</v>
      </c>
      <c r="AO397" s="81" t="s">
        <v>1811</v>
      </c>
      <c r="AP397" s="76" t="b">
        <v>0</v>
      </c>
      <c r="AQ397" s="81" t="s">
        <v>1503</v>
      </c>
      <c r="AR397" s="76" t="s">
        <v>219</v>
      </c>
      <c r="AS397" s="76">
        <v>0</v>
      </c>
      <c r="AT397" s="76">
        <v>0</v>
      </c>
      <c r="AU397" s="76"/>
      <c r="AV397" s="76"/>
      <c r="AW397" s="76"/>
      <c r="AX397" s="76"/>
      <c r="AY397" s="76"/>
      <c r="AZ397" s="76"/>
      <c r="BA397" s="76"/>
      <c r="BB397" s="76"/>
      <c r="BC397">
        <v>43</v>
      </c>
      <c r="BD397" s="75" t="str">
        <f>REPLACE(INDEX(GroupVertices[Group],MATCH(Edges[[#This Row],[Vertex 1]],GroupVertices[Vertex],0)),1,1,"")</f>
        <v>2</v>
      </c>
      <c r="BE397" s="75" t="str">
        <f>REPLACE(INDEX(GroupVertices[Group],MATCH(Edges[[#This Row],[Vertex 2]],GroupVertices[Vertex],0)),1,1,"")</f>
        <v>2</v>
      </c>
      <c r="BF397" s="45">
        <v>0</v>
      </c>
      <c r="BG397" s="46">
        <v>0</v>
      </c>
      <c r="BH397" s="45">
        <v>0</v>
      </c>
      <c r="BI397" s="46">
        <v>0</v>
      </c>
      <c r="BJ397" s="45">
        <v>0</v>
      </c>
      <c r="BK397" s="46">
        <v>0</v>
      </c>
      <c r="BL397" s="45">
        <v>16</v>
      </c>
      <c r="BM397" s="46">
        <v>100</v>
      </c>
      <c r="BN397" s="45">
        <v>16</v>
      </c>
    </row>
    <row r="398" spans="1:66" ht="15">
      <c r="A398" s="61" t="s">
        <v>423</v>
      </c>
      <c r="B398" s="61" t="s">
        <v>423</v>
      </c>
      <c r="C398" s="62" t="s">
        <v>4695</v>
      </c>
      <c r="D398" s="63">
        <v>10</v>
      </c>
      <c r="E398" s="62"/>
      <c r="F398" s="65">
        <v>15</v>
      </c>
      <c r="G398" s="62"/>
      <c r="H398" s="66"/>
      <c r="I398" s="67"/>
      <c r="J398" s="67"/>
      <c r="K398" s="31" t="s">
        <v>65</v>
      </c>
      <c r="L398" s="68">
        <v>398</v>
      </c>
      <c r="M398" s="68"/>
      <c r="N398" s="69"/>
      <c r="O398" s="76" t="s">
        <v>219</v>
      </c>
      <c r="P398" s="78">
        <v>44812.625659722224</v>
      </c>
      <c r="Q398" s="76" t="s">
        <v>756</v>
      </c>
      <c r="R398" s="79" t="str">
        <f>HYPERLINK("https://www.youtube.com/watch?v=ejG32fwnsV4&amp;feature=youtu.be")</f>
        <v>https://www.youtube.com/watch?v=ejG32fwnsV4&amp;feature=youtu.be</v>
      </c>
      <c r="S398" s="76" t="s">
        <v>790</v>
      </c>
      <c r="T398" s="81" t="s">
        <v>875</v>
      </c>
      <c r="U398" s="76"/>
      <c r="V398" s="79" t="str">
        <f>HYPERLINK("https://abs.twimg.com/sticky/default_profile_images/default_profile_normal.png")</f>
        <v>https://abs.twimg.com/sticky/default_profile_images/default_profile_normal.png</v>
      </c>
      <c r="W398" s="78">
        <v>44812.625659722224</v>
      </c>
      <c r="X398" s="84">
        <v>44812</v>
      </c>
      <c r="Y398" s="81" t="s">
        <v>1168</v>
      </c>
      <c r="Z398" s="79" t="str">
        <f>HYPERLINK("https://twitter.com/reinbow05061512/status/1567890741183057923")</f>
        <v>https://twitter.com/reinbow05061512/status/1567890741183057923</v>
      </c>
      <c r="AA398" s="76"/>
      <c r="AB398" s="76"/>
      <c r="AC398" s="81" t="s">
        <v>1504</v>
      </c>
      <c r="AD398" s="76"/>
      <c r="AE398" s="76" t="b">
        <v>0</v>
      </c>
      <c r="AF398" s="76">
        <v>0</v>
      </c>
      <c r="AG398" s="81" t="s">
        <v>1674</v>
      </c>
      <c r="AH398" s="76" t="b">
        <v>0</v>
      </c>
      <c r="AI398" s="76" t="s">
        <v>1772</v>
      </c>
      <c r="AJ398" s="76"/>
      <c r="AK398" s="81" t="s">
        <v>1674</v>
      </c>
      <c r="AL398" s="76" t="b">
        <v>0</v>
      </c>
      <c r="AM398" s="76">
        <v>0</v>
      </c>
      <c r="AN398" s="81" t="s">
        <v>1674</v>
      </c>
      <c r="AO398" s="81" t="s">
        <v>1811</v>
      </c>
      <c r="AP398" s="76" t="b">
        <v>0</v>
      </c>
      <c r="AQ398" s="81" t="s">
        <v>1504</v>
      </c>
      <c r="AR398" s="76" t="s">
        <v>219</v>
      </c>
      <c r="AS398" s="76">
        <v>0</v>
      </c>
      <c r="AT398" s="76">
        <v>0</v>
      </c>
      <c r="AU398" s="76"/>
      <c r="AV398" s="76"/>
      <c r="AW398" s="76"/>
      <c r="AX398" s="76"/>
      <c r="AY398" s="76"/>
      <c r="AZ398" s="76"/>
      <c r="BA398" s="76"/>
      <c r="BB398" s="76"/>
      <c r="BC398">
        <v>43</v>
      </c>
      <c r="BD398" s="75" t="str">
        <f>REPLACE(INDEX(GroupVertices[Group],MATCH(Edges[[#This Row],[Vertex 1]],GroupVertices[Vertex],0)),1,1,"")</f>
        <v>2</v>
      </c>
      <c r="BE398" s="75" t="str">
        <f>REPLACE(INDEX(GroupVertices[Group],MATCH(Edges[[#This Row],[Vertex 2]],GroupVertices[Vertex],0)),1,1,"")</f>
        <v>2</v>
      </c>
      <c r="BF398" s="45">
        <v>1</v>
      </c>
      <c r="BG398" s="46">
        <v>7.142857142857143</v>
      </c>
      <c r="BH398" s="45">
        <v>0</v>
      </c>
      <c r="BI398" s="46">
        <v>0</v>
      </c>
      <c r="BJ398" s="45">
        <v>0</v>
      </c>
      <c r="BK398" s="46">
        <v>0</v>
      </c>
      <c r="BL398" s="45">
        <v>13</v>
      </c>
      <c r="BM398" s="46">
        <v>92.85714285714286</v>
      </c>
      <c r="BN398" s="45">
        <v>14</v>
      </c>
    </row>
    <row r="399" spans="1:66" ht="15">
      <c r="A399" s="61" t="s">
        <v>423</v>
      </c>
      <c r="B399" s="61" t="s">
        <v>423</v>
      </c>
      <c r="C399" s="62" t="s">
        <v>4695</v>
      </c>
      <c r="D399" s="63">
        <v>10</v>
      </c>
      <c r="E399" s="62"/>
      <c r="F399" s="65">
        <v>15</v>
      </c>
      <c r="G399" s="62"/>
      <c r="H399" s="66"/>
      <c r="I399" s="67"/>
      <c r="J399" s="67"/>
      <c r="K399" s="31" t="s">
        <v>65</v>
      </c>
      <c r="L399" s="68">
        <v>399</v>
      </c>
      <c r="M399" s="68"/>
      <c r="N399" s="69"/>
      <c r="O399" s="76" t="s">
        <v>219</v>
      </c>
      <c r="P399" s="78">
        <v>44812.625810185185</v>
      </c>
      <c r="Q399" s="76" t="s">
        <v>755</v>
      </c>
      <c r="R399" s="79" t="str">
        <f>HYPERLINK("https://www.youtube.com/watch?v=V75pj41VFGk")</f>
        <v>https://www.youtube.com/watch?v=V75pj41VFGk</v>
      </c>
      <c r="S399" s="76" t="s">
        <v>790</v>
      </c>
      <c r="T399" s="81" t="s">
        <v>875</v>
      </c>
      <c r="U399" s="76"/>
      <c r="V399" s="79" t="str">
        <f>HYPERLINK("https://abs.twimg.com/sticky/default_profile_images/default_profile_normal.png")</f>
        <v>https://abs.twimg.com/sticky/default_profile_images/default_profile_normal.png</v>
      </c>
      <c r="W399" s="78">
        <v>44812.625810185185</v>
      </c>
      <c r="X399" s="84">
        <v>44812</v>
      </c>
      <c r="Y399" s="81" t="s">
        <v>1169</v>
      </c>
      <c r="Z399" s="79" t="str">
        <f>HYPERLINK("https://twitter.com/reinbow05061512/status/1567890795218321408")</f>
        <v>https://twitter.com/reinbow05061512/status/1567890795218321408</v>
      </c>
      <c r="AA399" s="76"/>
      <c r="AB399" s="76"/>
      <c r="AC399" s="81" t="s">
        <v>1505</v>
      </c>
      <c r="AD399" s="76"/>
      <c r="AE399" s="76" t="b">
        <v>0</v>
      </c>
      <c r="AF399" s="76">
        <v>0</v>
      </c>
      <c r="AG399" s="81" t="s">
        <v>1674</v>
      </c>
      <c r="AH399" s="76" t="b">
        <v>0</v>
      </c>
      <c r="AI399" s="76" t="s">
        <v>1772</v>
      </c>
      <c r="AJ399" s="76"/>
      <c r="AK399" s="81" t="s">
        <v>1674</v>
      </c>
      <c r="AL399" s="76" t="b">
        <v>0</v>
      </c>
      <c r="AM399" s="76">
        <v>0</v>
      </c>
      <c r="AN399" s="81" t="s">
        <v>1674</v>
      </c>
      <c r="AO399" s="81" t="s">
        <v>1811</v>
      </c>
      <c r="AP399" s="76" t="b">
        <v>0</v>
      </c>
      <c r="AQ399" s="81" t="s">
        <v>1505</v>
      </c>
      <c r="AR399" s="76" t="s">
        <v>219</v>
      </c>
      <c r="AS399" s="76">
        <v>0</v>
      </c>
      <c r="AT399" s="76">
        <v>0</v>
      </c>
      <c r="AU399" s="76"/>
      <c r="AV399" s="76"/>
      <c r="AW399" s="76"/>
      <c r="AX399" s="76"/>
      <c r="AY399" s="76"/>
      <c r="AZ399" s="76"/>
      <c r="BA399" s="76"/>
      <c r="BB399" s="76"/>
      <c r="BC399">
        <v>43</v>
      </c>
      <c r="BD399" s="75" t="str">
        <f>REPLACE(INDEX(GroupVertices[Group],MATCH(Edges[[#This Row],[Vertex 1]],GroupVertices[Vertex],0)),1,1,"")</f>
        <v>2</v>
      </c>
      <c r="BE399" s="75" t="str">
        <f>REPLACE(INDEX(GroupVertices[Group],MATCH(Edges[[#This Row],[Vertex 2]],GroupVertices[Vertex],0)),1,1,"")</f>
        <v>2</v>
      </c>
      <c r="BF399" s="45">
        <v>0</v>
      </c>
      <c r="BG399" s="46">
        <v>0</v>
      </c>
      <c r="BH399" s="45">
        <v>0</v>
      </c>
      <c r="BI399" s="46">
        <v>0</v>
      </c>
      <c r="BJ399" s="45">
        <v>0</v>
      </c>
      <c r="BK399" s="46">
        <v>0</v>
      </c>
      <c r="BL399" s="45">
        <v>19</v>
      </c>
      <c r="BM399" s="46">
        <v>100</v>
      </c>
      <c r="BN399" s="45">
        <v>19</v>
      </c>
    </row>
    <row r="400" spans="1:66" ht="15">
      <c r="A400" s="61" t="s">
        <v>423</v>
      </c>
      <c r="B400" s="61" t="s">
        <v>423</v>
      </c>
      <c r="C400" s="62" t="s">
        <v>4695</v>
      </c>
      <c r="D400" s="63">
        <v>10</v>
      </c>
      <c r="E400" s="62"/>
      <c r="F400" s="65">
        <v>15</v>
      </c>
      <c r="G400" s="62"/>
      <c r="H400" s="66"/>
      <c r="I400" s="67"/>
      <c r="J400" s="67"/>
      <c r="K400" s="31" t="s">
        <v>65</v>
      </c>
      <c r="L400" s="68">
        <v>400</v>
      </c>
      <c r="M400" s="68"/>
      <c r="N400" s="69"/>
      <c r="O400" s="76" t="s">
        <v>219</v>
      </c>
      <c r="P400" s="78">
        <v>44812.771203703705</v>
      </c>
      <c r="Q400" s="76" t="s">
        <v>757</v>
      </c>
      <c r="R400" s="79" t="str">
        <f>HYPERLINK("https://www.youtube.com/watch?v=PMOHqsUyk7Y&amp;feature=youtu.be")</f>
        <v>https://www.youtube.com/watch?v=PMOHqsUyk7Y&amp;feature=youtu.be</v>
      </c>
      <c r="S400" s="76" t="s">
        <v>790</v>
      </c>
      <c r="T400" s="81" t="s">
        <v>876</v>
      </c>
      <c r="U400" s="76"/>
      <c r="V400" s="79" t="str">
        <f>HYPERLINK("https://abs.twimg.com/sticky/default_profile_images/default_profile_normal.png")</f>
        <v>https://abs.twimg.com/sticky/default_profile_images/default_profile_normal.png</v>
      </c>
      <c r="W400" s="78">
        <v>44812.771203703705</v>
      </c>
      <c r="X400" s="84">
        <v>44812</v>
      </c>
      <c r="Y400" s="81" t="s">
        <v>1170</v>
      </c>
      <c r="Z400" s="79" t="str">
        <f>HYPERLINK("https://twitter.com/reinbow05061512/status/1567943485277233157")</f>
        <v>https://twitter.com/reinbow05061512/status/1567943485277233157</v>
      </c>
      <c r="AA400" s="76"/>
      <c r="AB400" s="76"/>
      <c r="AC400" s="81" t="s">
        <v>1506</v>
      </c>
      <c r="AD400" s="76"/>
      <c r="AE400" s="76" t="b">
        <v>0</v>
      </c>
      <c r="AF400" s="76">
        <v>0</v>
      </c>
      <c r="AG400" s="81" t="s">
        <v>1674</v>
      </c>
      <c r="AH400" s="76" t="b">
        <v>0</v>
      </c>
      <c r="AI400" s="76" t="s">
        <v>1773</v>
      </c>
      <c r="AJ400" s="76"/>
      <c r="AK400" s="81" t="s">
        <v>1674</v>
      </c>
      <c r="AL400" s="76" t="b">
        <v>0</v>
      </c>
      <c r="AM400" s="76">
        <v>0</v>
      </c>
      <c r="AN400" s="81" t="s">
        <v>1674</v>
      </c>
      <c r="AO400" s="81" t="s">
        <v>1811</v>
      </c>
      <c r="AP400" s="76" t="b">
        <v>0</v>
      </c>
      <c r="AQ400" s="81" t="s">
        <v>1506</v>
      </c>
      <c r="AR400" s="76" t="s">
        <v>219</v>
      </c>
      <c r="AS400" s="76">
        <v>0</v>
      </c>
      <c r="AT400" s="76">
        <v>0</v>
      </c>
      <c r="AU400" s="76"/>
      <c r="AV400" s="76"/>
      <c r="AW400" s="76"/>
      <c r="AX400" s="76"/>
      <c r="AY400" s="76"/>
      <c r="AZ400" s="76"/>
      <c r="BA400" s="76"/>
      <c r="BB400" s="76"/>
      <c r="BC400">
        <v>43</v>
      </c>
      <c r="BD400" s="75" t="str">
        <f>REPLACE(INDEX(GroupVertices[Group],MATCH(Edges[[#This Row],[Vertex 1]],GroupVertices[Vertex],0)),1,1,"")</f>
        <v>2</v>
      </c>
      <c r="BE400" s="75" t="str">
        <f>REPLACE(INDEX(GroupVertices[Group],MATCH(Edges[[#This Row],[Vertex 2]],GroupVertices[Vertex],0)),1,1,"")</f>
        <v>2</v>
      </c>
      <c r="BF400" s="45">
        <v>0</v>
      </c>
      <c r="BG400" s="46">
        <v>0</v>
      </c>
      <c r="BH400" s="45">
        <v>0</v>
      </c>
      <c r="BI400" s="46">
        <v>0</v>
      </c>
      <c r="BJ400" s="45">
        <v>0</v>
      </c>
      <c r="BK400" s="46">
        <v>0</v>
      </c>
      <c r="BL400" s="45">
        <v>13</v>
      </c>
      <c r="BM400" s="46">
        <v>100</v>
      </c>
      <c r="BN400" s="45">
        <v>13</v>
      </c>
    </row>
    <row r="401" spans="1:66" ht="15">
      <c r="A401" s="61" t="s">
        <v>423</v>
      </c>
      <c r="B401" s="61" t="s">
        <v>423</v>
      </c>
      <c r="C401" s="62" t="s">
        <v>4695</v>
      </c>
      <c r="D401" s="63">
        <v>10</v>
      </c>
      <c r="E401" s="62"/>
      <c r="F401" s="65">
        <v>15</v>
      </c>
      <c r="G401" s="62"/>
      <c r="H401" s="66"/>
      <c r="I401" s="67"/>
      <c r="J401" s="67"/>
      <c r="K401" s="31" t="s">
        <v>65</v>
      </c>
      <c r="L401" s="68">
        <v>401</v>
      </c>
      <c r="M401" s="68"/>
      <c r="N401" s="69"/>
      <c r="O401" s="76" t="s">
        <v>219</v>
      </c>
      <c r="P401" s="78">
        <v>44812.95936342593</v>
      </c>
      <c r="Q401" s="76" t="s">
        <v>758</v>
      </c>
      <c r="R401" s="79" t="str">
        <f>HYPERLINK("https://ameblo.jp/historical-gay/entry-10222227037.html")</f>
        <v>https://ameblo.jp/historical-gay/entry-10222227037.html</v>
      </c>
      <c r="S401" s="76" t="s">
        <v>791</v>
      </c>
      <c r="T401" s="81" t="s">
        <v>877</v>
      </c>
      <c r="U401" s="76"/>
      <c r="V401" s="79" t="str">
        <f>HYPERLINK("https://abs.twimg.com/sticky/default_profile_images/default_profile_normal.png")</f>
        <v>https://abs.twimg.com/sticky/default_profile_images/default_profile_normal.png</v>
      </c>
      <c r="W401" s="78">
        <v>44812.95936342593</v>
      </c>
      <c r="X401" s="84">
        <v>44812</v>
      </c>
      <c r="Y401" s="81" t="s">
        <v>1171</v>
      </c>
      <c r="Z401" s="79" t="str">
        <f>HYPERLINK("https://twitter.com/reinbow05061512/status/1568011673813794816")</f>
        <v>https://twitter.com/reinbow05061512/status/1568011673813794816</v>
      </c>
      <c r="AA401" s="76"/>
      <c r="AB401" s="76"/>
      <c r="AC401" s="81" t="s">
        <v>1507</v>
      </c>
      <c r="AD401" s="76"/>
      <c r="AE401" s="76" t="b">
        <v>0</v>
      </c>
      <c r="AF401" s="76">
        <v>0</v>
      </c>
      <c r="AG401" s="81" t="s">
        <v>1674</v>
      </c>
      <c r="AH401" s="76" t="b">
        <v>0</v>
      </c>
      <c r="AI401" s="76" t="s">
        <v>1773</v>
      </c>
      <c r="AJ401" s="76"/>
      <c r="AK401" s="81" t="s">
        <v>1674</v>
      </c>
      <c r="AL401" s="76" t="b">
        <v>0</v>
      </c>
      <c r="AM401" s="76">
        <v>0</v>
      </c>
      <c r="AN401" s="81" t="s">
        <v>1674</v>
      </c>
      <c r="AO401" s="81" t="s">
        <v>1811</v>
      </c>
      <c r="AP401" s="76" t="b">
        <v>0</v>
      </c>
      <c r="AQ401" s="81" t="s">
        <v>1507</v>
      </c>
      <c r="AR401" s="76" t="s">
        <v>219</v>
      </c>
      <c r="AS401" s="76">
        <v>0</v>
      </c>
      <c r="AT401" s="76">
        <v>0</v>
      </c>
      <c r="AU401" s="76"/>
      <c r="AV401" s="76"/>
      <c r="AW401" s="76"/>
      <c r="AX401" s="76"/>
      <c r="AY401" s="76"/>
      <c r="AZ401" s="76"/>
      <c r="BA401" s="76"/>
      <c r="BB401" s="76"/>
      <c r="BC401">
        <v>43</v>
      </c>
      <c r="BD401" s="75" t="str">
        <f>REPLACE(INDEX(GroupVertices[Group],MATCH(Edges[[#This Row],[Vertex 1]],GroupVertices[Vertex],0)),1,1,"")</f>
        <v>2</v>
      </c>
      <c r="BE401" s="75" t="str">
        <f>REPLACE(INDEX(GroupVertices[Group],MATCH(Edges[[#This Row],[Vertex 2]],GroupVertices[Vertex],0)),1,1,"")</f>
        <v>2</v>
      </c>
      <c r="BF401" s="45">
        <v>0</v>
      </c>
      <c r="BG401" s="46">
        <v>0</v>
      </c>
      <c r="BH401" s="45">
        <v>0</v>
      </c>
      <c r="BI401" s="46">
        <v>0</v>
      </c>
      <c r="BJ401" s="45">
        <v>0</v>
      </c>
      <c r="BK401" s="46">
        <v>0</v>
      </c>
      <c r="BL401" s="45">
        <v>13</v>
      </c>
      <c r="BM401" s="46">
        <v>100</v>
      </c>
      <c r="BN401" s="45">
        <v>13</v>
      </c>
    </row>
    <row r="402" spans="1:66" ht="15">
      <c r="A402" s="61" t="s">
        <v>423</v>
      </c>
      <c r="B402" s="61" t="s">
        <v>423</v>
      </c>
      <c r="C402" s="62" t="s">
        <v>4695</v>
      </c>
      <c r="D402" s="63">
        <v>10</v>
      </c>
      <c r="E402" s="62"/>
      <c r="F402" s="65">
        <v>15</v>
      </c>
      <c r="G402" s="62"/>
      <c r="H402" s="66"/>
      <c r="I402" s="67"/>
      <c r="J402" s="67"/>
      <c r="K402" s="31" t="s">
        <v>65</v>
      </c>
      <c r="L402" s="68">
        <v>402</v>
      </c>
      <c r="M402" s="68"/>
      <c r="N402" s="69"/>
      <c r="O402" s="76" t="s">
        <v>219</v>
      </c>
      <c r="P402" s="78">
        <v>44812.9594212963</v>
      </c>
      <c r="Q402" s="76" t="s">
        <v>759</v>
      </c>
      <c r="R402" s="79" t="str">
        <f>HYPERLINK("https://www.youtube.com/watch?v=uHIVevq290k&amp;feature=youtu.be")</f>
        <v>https://www.youtube.com/watch?v=uHIVevq290k&amp;feature=youtu.be</v>
      </c>
      <c r="S402" s="76" t="s">
        <v>790</v>
      </c>
      <c r="T402" s="81" t="s">
        <v>878</v>
      </c>
      <c r="U402" s="76"/>
      <c r="V402" s="79" t="str">
        <f>HYPERLINK("https://abs.twimg.com/sticky/default_profile_images/default_profile_normal.png")</f>
        <v>https://abs.twimg.com/sticky/default_profile_images/default_profile_normal.png</v>
      </c>
      <c r="W402" s="78">
        <v>44812.9594212963</v>
      </c>
      <c r="X402" s="84">
        <v>44812</v>
      </c>
      <c r="Y402" s="81" t="s">
        <v>1172</v>
      </c>
      <c r="Z402" s="79" t="str">
        <f>HYPERLINK("https://twitter.com/reinbow05061512/status/1568011691362844672")</f>
        <v>https://twitter.com/reinbow05061512/status/1568011691362844672</v>
      </c>
      <c r="AA402" s="76"/>
      <c r="AB402" s="76"/>
      <c r="AC402" s="81" t="s">
        <v>1508</v>
      </c>
      <c r="AD402" s="76"/>
      <c r="AE402" s="76" t="b">
        <v>0</v>
      </c>
      <c r="AF402" s="76">
        <v>0</v>
      </c>
      <c r="AG402" s="81" t="s">
        <v>1674</v>
      </c>
      <c r="AH402" s="76" t="b">
        <v>0</v>
      </c>
      <c r="AI402" s="76" t="s">
        <v>1772</v>
      </c>
      <c r="AJ402" s="76"/>
      <c r="AK402" s="81" t="s">
        <v>1674</v>
      </c>
      <c r="AL402" s="76" t="b">
        <v>0</v>
      </c>
      <c r="AM402" s="76">
        <v>0</v>
      </c>
      <c r="AN402" s="81" t="s">
        <v>1674</v>
      </c>
      <c r="AO402" s="81" t="s">
        <v>1811</v>
      </c>
      <c r="AP402" s="76" t="b">
        <v>0</v>
      </c>
      <c r="AQ402" s="81" t="s">
        <v>1508</v>
      </c>
      <c r="AR402" s="76" t="s">
        <v>219</v>
      </c>
      <c r="AS402" s="76">
        <v>0</v>
      </c>
      <c r="AT402" s="76">
        <v>0</v>
      </c>
      <c r="AU402" s="76"/>
      <c r="AV402" s="76"/>
      <c r="AW402" s="76"/>
      <c r="AX402" s="76"/>
      <c r="AY402" s="76"/>
      <c r="AZ402" s="76"/>
      <c r="BA402" s="76"/>
      <c r="BB402" s="76"/>
      <c r="BC402">
        <v>43</v>
      </c>
      <c r="BD402" s="75" t="str">
        <f>REPLACE(INDEX(GroupVertices[Group],MATCH(Edges[[#This Row],[Vertex 1]],GroupVertices[Vertex],0)),1,1,"")</f>
        <v>2</v>
      </c>
      <c r="BE402" s="75" t="str">
        <f>REPLACE(INDEX(GroupVertices[Group],MATCH(Edges[[#This Row],[Vertex 2]],GroupVertices[Vertex],0)),1,1,"")</f>
        <v>2</v>
      </c>
      <c r="BF402" s="45">
        <v>0</v>
      </c>
      <c r="BG402" s="46">
        <v>0</v>
      </c>
      <c r="BH402" s="45">
        <v>0</v>
      </c>
      <c r="BI402" s="46">
        <v>0</v>
      </c>
      <c r="BJ402" s="45">
        <v>0</v>
      </c>
      <c r="BK402" s="46">
        <v>0</v>
      </c>
      <c r="BL402" s="45">
        <v>16</v>
      </c>
      <c r="BM402" s="46">
        <v>100</v>
      </c>
      <c r="BN402" s="45">
        <v>16</v>
      </c>
    </row>
    <row r="403" spans="1:66" ht="15">
      <c r="A403" s="61" t="s">
        <v>423</v>
      </c>
      <c r="B403" s="61" t="s">
        <v>423</v>
      </c>
      <c r="C403" s="62" t="s">
        <v>4695</v>
      </c>
      <c r="D403" s="63">
        <v>10</v>
      </c>
      <c r="E403" s="62"/>
      <c r="F403" s="65">
        <v>15</v>
      </c>
      <c r="G403" s="62"/>
      <c r="H403" s="66"/>
      <c r="I403" s="67"/>
      <c r="J403" s="67"/>
      <c r="K403" s="31" t="s">
        <v>65</v>
      </c>
      <c r="L403" s="68">
        <v>403</v>
      </c>
      <c r="M403" s="68"/>
      <c r="N403" s="69"/>
      <c r="O403" s="76" t="s">
        <v>219</v>
      </c>
      <c r="P403" s="78">
        <v>44813.62585648148</v>
      </c>
      <c r="Q403" s="76" t="s">
        <v>760</v>
      </c>
      <c r="R403" s="79" t="str">
        <f>HYPERLINK("https://www.youtube.com/watch?v=V75pj41VFGk")</f>
        <v>https://www.youtube.com/watch?v=V75pj41VFGk</v>
      </c>
      <c r="S403" s="76" t="s">
        <v>790</v>
      </c>
      <c r="T403" s="81" t="s">
        <v>875</v>
      </c>
      <c r="U403" s="76"/>
      <c r="V403" s="79" t="str">
        <f>HYPERLINK("https://abs.twimg.com/sticky/default_profile_images/default_profile_normal.png")</f>
        <v>https://abs.twimg.com/sticky/default_profile_images/default_profile_normal.png</v>
      </c>
      <c r="W403" s="78">
        <v>44813.62585648148</v>
      </c>
      <c r="X403" s="84">
        <v>44813</v>
      </c>
      <c r="Y403" s="81" t="s">
        <v>1173</v>
      </c>
      <c r="Z403" s="79" t="str">
        <f>HYPERLINK("https://twitter.com/reinbow05061512/status/1568253201811652614")</f>
        <v>https://twitter.com/reinbow05061512/status/1568253201811652614</v>
      </c>
      <c r="AA403" s="76"/>
      <c r="AB403" s="76"/>
      <c r="AC403" s="81" t="s">
        <v>1509</v>
      </c>
      <c r="AD403" s="76"/>
      <c r="AE403" s="76" t="b">
        <v>0</v>
      </c>
      <c r="AF403" s="76">
        <v>0</v>
      </c>
      <c r="AG403" s="81" t="s">
        <v>1674</v>
      </c>
      <c r="AH403" s="76" t="b">
        <v>0</v>
      </c>
      <c r="AI403" s="76" t="s">
        <v>1772</v>
      </c>
      <c r="AJ403" s="76"/>
      <c r="AK403" s="81" t="s">
        <v>1674</v>
      </c>
      <c r="AL403" s="76" t="b">
        <v>0</v>
      </c>
      <c r="AM403" s="76">
        <v>0</v>
      </c>
      <c r="AN403" s="81" t="s">
        <v>1674</v>
      </c>
      <c r="AO403" s="81" t="s">
        <v>1811</v>
      </c>
      <c r="AP403" s="76" t="b">
        <v>0</v>
      </c>
      <c r="AQ403" s="81" t="s">
        <v>1509</v>
      </c>
      <c r="AR403" s="76" t="s">
        <v>219</v>
      </c>
      <c r="AS403" s="76">
        <v>0</v>
      </c>
      <c r="AT403" s="76">
        <v>0</v>
      </c>
      <c r="AU403" s="76"/>
      <c r="AV403" s="76"/>
      <c r="AW403" s="76"/>
      <c r="AX403" s="76"/>
      <c r="AY403" s="76"/>
      <c r="AZ403" s="76"/>
      <c r="BA403" s="76"/>
      <c r="BB403" s="76"/>
      <c r="BC403">
        <v>43</v>
      </c>
      <c r="BD403" s="75" t="str">
        <f>REPLACE(INDEX(GroupVertices[Group],MATCH(Edges[[#This Row],[Vertex 1]],GroupVertices[Vertex],0)),1,1,"")</f>
        <v>2</v>
      </c>
      <c r="BE403" s="75" t="str">
        <f>REPLACE(INDEX(GroupVertices[Group],MATCH(Edges[[#This Row],[Vertex 2]],GroupVertices[Vertex],0)),1,1,"")</f>
        <v>2</v>
      </c>
      <c r="BF403" s="45">
        <v>0</v>
      </c>
      <c r="BG403" s="46">
        <v>0</v>
      </c>
      <c r="BH403" s="45">
        <v>0</v>
      </c>
      <c r="BI403" s="46">
        <v>0</v>
      </c>
      <c r="BJ403" s="45">
        <v>0</v>
      </c>
      <c r="BK403" s="46">
        <v>0</v>
      </c>
      <c r="BL403" s="45">
        <v>19</v>
      </c>
      <c r="BM403" s="46">
        <v>100</v>
      </c>
      <c r="BN403" s="45">
        <v>19</v>
      </c>
    </row>
    <row r="404" spans="1:66" ht="15">
      <c r="A404" s="61" t="s">
        <v>423</v>
      </c>
      <c r="B404" s="61" t="s">
        <v>423</v>
      </c>
      <c r="C404" s="62" t="s">
        <v>4695</v>
      </c>
      <c r="D404" s="63">
        <v>10</v>
      </c>
      <c r="E404" s="62"/>
      <c r="F404" s="65">
        <v>15</v>
      </c>
      <c r="G404" s="62"/>
      <c r="H404" s="66"/>
      <c r="I404" s="67"/>
      <c r="J404" s="67"/>
      <c r="K404" s="31" t="s">
        <v>65</v>
      </c>
      <c r="L404" s="68">
        <v>404</v>
      </c>
      <c r="M404" s="68"/>
      <c r="N404" s="69"/>
      <c r="O404" s="76" t="s">
        <v>219</v>
      </c>
      <c r="P404" s="78">
        <v>44813.62611111111</v>
      </c>
      <c r="Q404" s="76" t="s">
        <v>756</v>
      </c>
      <c r="R404" s="79" t="str">
        <f>HYPERLINK("https://www.youtube.com/watch?v=ejG32fwnsV4&amp;feature=youtu.be")</f>
        <v>https://www.youtube.com/watch?v=ejG32fwnsV4&amp;feature=youtu.be</v>
      </c>
      <c r="S404" s="76" t="s">
        <v>790</v>
      </c>
      <c r="T404" s="81" t="s">
        <v>875</v>
      </c>
      <c r="U404" s="76"/>
      <c r="V404" s="79" t="str">
        <f>HYPERLINK("https://abs.twimg.com/sticky/default_profile_images/default_profile_normal.png")</f>
        <v>https://abs.twimg.com/sticky/default_profile_images/default_profile_normal.png</v>
      </c>
      <c r="W404" s="78">
        <v>44813.62611111111</v>
      </c>
      <c r="X404" s="84">
        <v>44813</v>
      </c>
      <c r="Y404" s="81" t="s">
        <v>1174</v>
      </c>
      <c r="Z404" s="79" t="str">
        <f>HYPERLINK("https://twitter.com/reinbow05061512/status/1568253294442684416")</f>
        <v>https://twitter.com/reinbow05061512/status/1568253294442684416</v>
      </c>
      <c r="AA404" s="76"/>
      <c r="AB404" s="76"/>
      <c r="AC404" s="81" t="s">
        <v>1510</v>
      </c>
      <c r="AD404" s="76"/>
      <c r="AE404" s="76" t="b">
        <v>0</v>
      </c>
      <c r="AF404" s="76">
        <v>0</v>
      </c>
      <c r="AG404" s="81" t="s">
        <v>1674</v>
      </c>
      <c r="AH404" s="76" t="b">
        <v>0</v>
      </c>
      <c r="AI404" s="76" t="s">
        <v>1772</v>
      </c>
      <c r="AJ404" s="76"/>
      <c r="AK404" s="81" t="s">
        <v>1674</v>
      </c>
      <c r="AL404" s="76" t="b">
        <v>0</v>
      </c>
      <c r="AM404" s="76">
        <v>0</v>
      </c>
      <c r="AN404" s="81" t="s">
        <v>1674</v>
      </c>
      <c r="AO404" s="81" t="s">
        <v>1811</v>
      </c>
      <c r="AP404" s="76" t="b">
        <v>0</v>
      </c>
      <c r="AQ404" s="81" t="s">
        <v>1510</v>
      </c>
      <c r="AR404" s="76" t="s">
        <v>219</v>
      </c>
      <c r="AS404" s="76">
        <v>0</v>
      </c>
      <c r="AT404" s="76">
        <v>0</v>
      </c>
      <c r="AU404" s="76"/>
      <c r="AV404" s="76"/>
      <c r="AW404" s="76"/>
      <c r="AX404" s="76"/>
      <c r="AY404" s="76"/>
      <c r="AZ404" s="76"/>
      <c r="BA404" s="76"/>
      <c r="BB404" s="76"/>
      <c r="BC404">
        <v>43</v>
      </c>
      <c r="BD404" s="75" t="str">
        <f>REPLACE(INDEX(GroupVertices[Group],MATCH(Edges[[#This Row],[Vertex 1]],GroupVertices[Vertex],0)),1,1,"")</f>
        <v>2</v>
      </c>
      <c r="BE404" s="75" t="str">
        <f>REPLACE(INDEX(GroupVertices[Group],MATCH(Edges[[#This Row],[Vertex 2]],GroupVertices[Vertex],0)),1,1,"")</f>
        <v>2</v>
      </c>
      <c r="BF404" s="45">
        <v>1</v>
      </c>
      <c r="BG404" s="46">
        <v>7.142857142857143</v>
      </c>
      <c r="BH404" s="45">
        <v>0</v>
      </c>
      <c r="BI404" s="46">
        <v>0</v>
      </c>
      <c r="BJ404" s="45">
        <v>0</v>
      </c>
      <c r="BK404" s="46">
        <v>0</v>
      </c>
      <c r="BL404" s="45">
        <v>13</v>
      </c>
      <c r="BM404" s="46">
        <v>92.85714285714286</v>
      </c>
      <c r="BN404" s="45">
        <v>14</v>
      </c>
    </row>
    <row r="405" spans="1:66" ht="15">
      <c r="A405" s="61" t="s">
        <v>423</v>
      </c>
      <c r="B405" s="61" t="s">
        <v>423</v>
      </c>
      <c r="C405" s="62" t="s">
        <v>4695</v>
      </c>
      <c r="D405" s="63">
        <v>10</v>
      </c>
      <c r="E405" s="62"/>
      <c r="F405" s="65">
        <v>15</v>
      </c>
      <c r="G405" s="62"/>
      <c r="H405" s="66"/>
      <c r="I405" s="67"/>
      <c r="J405" s="67"/>
      <c r="K405" s="31" t="s">
        <v>65</v>
      </c>
      <c r="L405" s="68">
        <v>405</v>
      </c>
      <c r="M405" s="68"/>
      <c r="N405" s="69"/>
      <c r="O405" s="76" t="s">
        <v>219</v>
      </c>
      <c r="P405" s="78">
        <v>44813.7712962963</v>
      </c>
      <c r="Q405" s="76" t="s">
        <v>761</v>
      </c>
      <c r="R405" s="79" t="str">
        <f>HYPERLINK("https://www.youtube.com/watch?v=PMOHqsUyk7Y&amp;feature=youtu.be")</f>
        <v>https://www.youtube.com/watch?v=PMOHqsUyk7Y&amp;feature=youtu.be</v>
      </c>
      <c r="S405" s="76" t="s">
        <v>790</v>
      </c>
      <c r="T405" s="81" t="s">
        <v>876</v>
      </c>
      <c r="U405" s="76"/>
      <c r="V405" s="79" t="str">
        <f>HYPERLINK("https://abs.twimg.com/sticky/default_profile_images/default_profile_normal.png")</f>
        <v>https://abs.twimg.com/sticky/default_profile_images/default_profile_normal.png</v>
      </c>
      <c r="W405" s="78">
        <v>44813.7712962963</v>
      </c>
      <c r="X405" s="84">
        <v>44813</v>
      </c>
      <c r="Y405" s="81" t="s">
        <v>1175</v>
      </c>
      <c r="Z405" s="79" t="str">
        <f>HYPERLINK("https://twitter.com/reinbow05061512/status/1568305907741904896")</f>
        <v>https://twitter.com/reinbow05061512/status/1568305907741904896</v>
      </c>
      <c r="AA405" s="76"/>
      <c r="AB405" s="76"/>
      <c r="AC405" s="81" t="s">
        <v>1511</v>
      </c>
      <c r="AD405" s="76"/>
      <c r="AE405" s="76" t="b">
        <v>0</v>
      </c>
      <c r="AF405" s="76">
        <v>0</v>
      </c>
      <c r="AG405" s="81" t="s">
        <v>1674</v>
      </c>
      <c r="AH405" s="76" t="b">
        <v>0</v>
      </c>
      <c r="AI405" s="76" t="s">
        <v>1773</v>
      </c>
      <c r="AJ405" s="76"/>
      <c r="AK405" s="81" t="s">
        <v>1674</v>
      </c>
      <c r="AL405" s="76" t="b">
        <v>0</v>
      </c>
      <c r="AM405" s="76">
        <v>0</v>
      </c>
      <c r="AN405" s="81" t="s">
        <v>1674</v>
      </c>
      <c r="AO405" s="81" t="s">
        <v>1811</v>
      </c>
      <c r="AP405" s="76" t="b">
        <v>0</v>
      </c>
      <c r="AQ405" s="81" t="s">
        <v>1511</v>
      </c>
      <c r="AR405" s="76" t="s">
        <v>219</v>
      </c>
      <c r="AS405" s="76">
        <v>0</v>
      </c>
      <c r="AT405" s="76">
        <v>0</v>
      </c>
      <c r="AU405" s="76"/>
      <c r="AV405" s="76"/>
      <c r="AW405" s="76"/>
      <c r="AX405" s="76"/>
      <c r="AY405" s="76"/>
      <c r="AZ405" s="76"/>
      <c r="BA405" s="76"/>
      <c r="BB405" s="76"/>
      <c r="BC405">
        <v>43</v>
      </c>
      <c r="BD405" s="75" t="str">
        <f>REPLACE(INDEX(GroupVertices[Group],MATCH(Edges[[#This Row],[Vertex 1]],GroupVertices[Vertex],0)),1,1,"")</f>
        <v>2</v>
      </c>
      <c r="BE405" s="75" t="str">
        <f>REPLACE(INDEX(GroupVertices[Group],MATCH(Edges[[#This Row],[Vertex 2]],GroupVertices[Vertex],0)),1,1,"")</f>
        <v>2</v>
      </c>
      <c r="BF405" s="45">
        <v>0</v>
      </c>
      <c r="BG405" s="46">
        <v>0</v>
      </c>
      <c r="BH405" s="45">
        <v>0</v>
      </c>
      <c r="BI405" s="46">
        <v>0</v>
      </c>
      <c r="BJ405" s="45">
        <v>0</v>
      </c>
      <c r="BK405" s="46">
        <v>0</v>
      </c>
      <c r="BL405" s="45">
        <v>13</v>
      </c>
      <c r="BM405" s="46">
        <v>100</v>
      </c>
      <c r="BN405" s="45">
        <v>13</v>
      </c>
    </row>
    <row r="406" spans="1:66" ht="15">
      <c r="A406" s="61" t="s">
        <v>423</v>
      </c>
      <c r="B406" s="61" t="s">
        <v>423</v>
      </c>
      <c r="C406" s="62" t="s">
        <v>4695</v>
      </c>
      <c r="D406" s="63">
        <v>10</v>
      </c>
      <c r="E406" s="62"/>
      <c r="F406" s="65">
        <v>15</v>
      </c>
      <c r="G406" s="62"/>
      <c r="H406" s="66"/>
      <c r="I406" s="67"/>
      <c r="J406" s="67"/>
      <c r="K406" s="31" t="s">
        <v>65</v>
      </c>
      <c r="L406" s="68">
        <v>406</v>
      </c>
      <c r="M406" s="68"/>
      <c r="N406" s="69"/>
      <c r="O406" s="76" t="s">
        <v>219</v>
      </c>
      <c r="P406" s="78">
        <v>44813.959074074075</v>
      </c>
      <c r="Q406" s="76" t="s">
        <v>762</v>
      </c>
      <c r="R406" s="79" t="str">
        <f>HYPERLINK("https://ameblo.jp/historical-gay/entry-10222227037.html")</f>
        <v>https://ameblo.jp/historical-gay/entry-10222227037.html</v>
      </c>
      <c r="S406" s="76" t="s">
        <v>791</v>
      </c>
      <c r="T406" s="81" t="s">
        <v>877</v>
      </c>
      <c r="U406" s="76"/>
      <c r="V406" s="79" t="str">
        <f>HYPERLINK("https://abs.twimg.com/sticky/default_profile_images/default_profile_normal.png")</f>
        <v>https://abs.twimg.com/sticky/default_profile_images/default_profile_normal.png</v>
      </c>
      <c r="W406" s="78">
        <v>44813.959074074075</v>
      </c>
      <c r="X406" s="84">
        <v>44813</v>
      </c>
      <c r="Y406" s="81" t="s">
        <v>1176</v>
      </c>
      <c r="Z406" s="79" t="str">
        <f>HYPERLINK("https://twitter.com/reinbow05061512/status/1568373954141900807")</f>
        <v>https://twitter.com/reinbow05061512/status/1568373954141900807</v>
      </c>
      <c r="AA406" s="76"/>
      <c r="AB406" s="76"/>
      <c r="AC406" s="81" t="s">
        <v>1512</v>
      </c>
      <c r="AD406" s="76"/>
      <c r="AE406" s="76" t="b">
        <v>0</v>
      </c>
      <c r="AF406" s="76">
        <v>0</v>
      </c>
      <c r="AG406" s="81" t="s">
        <v>1674</v>
      </c>
      <c r="AH406" s="76" t="b">
        <v>0</v>
      </c>
      <c r="AI406" s="76" t="s">
        <v>1773</v>
      </c>
      <c r="AJ406" s="76"/>
      <c r="AK406" s="81" t="s">
        <v>1674</v>
      </c>
      <c r="AL406" s="76" t="b">
        <v>0</v>
      </c>
      <c r="AM406" s="76">
        <v>0</v>
      </c>
      <c r="AN406" s="81" t="s">
        <v>1674</v>
      </c>
      <c r="AO406" s="81" t="s">
        <v>1811</v>
      </c>
      <c r="AP406" s="76" t="b">
        <v>0</v>
      </c>
      <c r="AQ406" s="81" t="s">
        <v>1512</v>
      </c>
      <c r="AR406" s="76" t="s">
        <v>219</v>
      </c>
      <c r="AS406" s="76">
        <v>0</v>
      </c>
      <c r="AT406" s="76">
        <v>0</v>
      </c>
      <c r="AU406" s="76"/>
      <c r="AV406" s="76"/>
      <c r="AW406" s="76"/>
      <c r="AX406" s="76"/>
      <c r="AY406" s="76"/>
      <c r="AZ406" s="76"/>
      <c r="BA406" s="76"/>
      <c r="BB406" s="76"/>
      <c r="BC406">
        <v>43</v>
      </c>
      <c r="BD406" s="75" t="str">
        <f>REPLACE(INDEX(GroupVertices[Group],MATCH(Edges[[#This Row],[Vertex 1]],GroupVertices[Vertex],0)),1,1,"")</f>
        <v>2</v>
      </c>
      <c r="BE406" s="75" t="str">
        <f>REPLACE(INDEX(GroupVertices[Group],MATCH(Edges[[#This Row],[Vertex 2]],GroupVertices[Vertex],0)),1,1,"")</f>
        <v>2</v>
      </c>
      <c r="BF406" s="45">
        <v>0</v>
      </c>
      <c r="BG406" s="46">
        <v>0</v>
      </c>
      <c r="BH406" s="45">
        <v>0</v>
      </c>
      <c r="BI406" s="46">
        <v>0</v>
      </c>
      <c r="BJ406" s="45">
        <v>0</v>
      </c>
      <c r="BK406" s="46">
        <v>0</v>
      </c>
      <c r="BL406" s="45">
        <v>13</v>
      </c>
      <c r="BM406" s="46">
        <v>100</v>
      </c>
      <c r="BN406" s="45">
        <v>13</v>
      </c>
    </row>
    <row r="407" spans="1:66" ht="15">
      <c r="A407" s="61" t="s">
        <v>423</v>
      </c>
      <c r="B407" s="61" t="s">
        <v>423</v>
      </c>
      <c r="C407" s="62" t="s">
        <v>4695</v>
      </c>
      <c r="D407" s="63">
        <v>10</v>
      </c>
      <c r="E407" s="62"/>
      <c r="F407" s="65">
        <v>15</v>
      </c>
      <c r="G407" s="62"/>
      <c r="H407" s="66"/>
      <c r="I407" s="67"/>
      <c r="J407" s="67"/>
      <c r="K407" s="31" t="s">
        <v>65</v>
      </c>
      <c r="L407" s="68">
        <v>407</v>
      </c>
      <c r="M407" s="68"/>
      <c r="N407" s="69"/>
      <c r="O407" s="76" t="s">
        <v>219</v>
      </c>
      <c r="P407" s="78">
        <v>44813.959189814814</v>
      </c>
      <c r="Q407" s="76" t="s">
        <v>759</v>
      </c>
      <c r="R407" s="79" t="str">
        <f>HYPERLINK("https://www.youtube.com/watch?v=uHIVevq290k&amp;feature=youtu.be")</f>
        <v>https://www.youtube.com/watch?v=uHIVevq290k&amp;feature=youtu.be</v>
      </c>
      <c r="S407" s="76" t="s">
        <v>790</v>
      </c>
      <c r="T407" s="81" t="s">
        <v>878</v>
      </c>
      <c r="U407" s="76"/>
      <c r="V407" s="79" t="str">
        <f>HYPERLINK("https://abs.twimg.com/sticky/default_profile_images/default_profile_normal.png")</f>
        <v>https://abs.twimg.com/sticky/default_profile_images/default_profile_normal.png</v>
      </c>
      <c r="W407" s="78">
        <v>44813.959189814814</v>
      </c>
      <c r="X407" s="84">
        <v>44813</v>
      </c>
      <c r="Y407" s="81" t="s">
        <v>1177</v>
      </c>
      <c r="Z407" s="79" t="str">
        <f>HYPERLINK("https://twitter.com/reinbow05061512/status/1568373995170308098")</f>
        <v>https://twitter.com/reinbow05061512/status/1568373995170308098</v>
      </c>
      <c r="AA407" s="76"/>
      <c r="AB407" s="76"/>
      <c r="AC407" s="81" t="s">
        <v>1513</v>
      </c>
      <c r="AD407" s="76"/>
      <c r="AE407" s="76" t="b">
        <v>0</v>
      </c>
      <c r="AF407" s="76">
        <v>0</v>
      </c>
      <c r="AG407" s="81" t="s">
        <v>1674</v>
      </c>
      <c r="AH407" s="76" t="b">
        <v>0</v>
      </c>
      <c r="AI407" s="76" t="s">
        <v>1772</v>
      </c>
      <c r="AJ407" s="76"/>
      <c r="AK407" s="81" t="s">
        <v>1674</v>
      </c>
      <c r="AL407" s="76" t="b">
        <v>0</v>
      </c>
      <c r="AM407" s="76">
        <v>0</v>
      </c>
      <c r="AN407" s="81" t="s">
        <v>1674</v>
      </c>
      <c r="AO407" s="81" t="s">
        <v>1811</v>
      </c>
      <c r="AP407" s="76" t="b">
        <v>0</v>
      </c>
      <c r="AQ407" s="81" t="s">
        <v>1513</v>
      </c>
      <c r="AR407" s="76" t="s">
        <v>219</v>
      </c>
      <c r="AS407" s="76">
        <v>0</v>
      </c>
      <c r="AT407" s="76">
        <v>0</v>
      </c>
      <c r="AU407" s="76"/>
      <c r="AV407" s="76"/>
      <c r="AW407" s="76"/>
      <c r="AX407" s="76"/>
      <c r="AY407" s="76"/>
      <c r="AZ407" s="76"/>
      <c r="BA407" s="76"/>
      <c r="BB407" s="76"/>
      <c r="BC407">
        <v>43</v>
      </c>
      <c r="BD407" s="75" t="str">
        <f>REPLACE(INDEX(GroupVertices[Group],MATCH(Edges[[#This Row],[Vertex 1]],GroupVertices[Vertex],0)),1,1,"")</f>
        <v>2</v>
      </c>
      <c r="BE407" s="75" t="str">
        <f>REPLACE(INDEX(GroupVertices[Group],MATCH(Edges[[#This Row],[Vertex 2]],GroupVertices[Vertex],0)),1,1,"")</f>
        <v>2</v>
      </c>
      <c r="BF407" s="45">
        <v>0</v>
      </c>
      <c r="BG407" s="46">
        <v>0</v>
      </c>
      <c r="BH407" s="45">
        <v>0</v>
      </c>
      <c r="BI407" s="46">
        <v>0</v>
      </c>
      <c r="BJ407" s="45">
        <v>0</v>
      </c>
      <c r="BK407" s="46">
        <v>0</v>
      </c>
      <c r="BL407" s="45">
        <v>16</v>
      </c>
      <c r="BM407" s="46">
        <v>100</v>
      </c>
      <c r="BN407" s="45">
        <v>16</v>
      </c>
    </row>
    <row r="408" spans="1:66" ht="15">
      <c r="A408" s="61" t="s">
        <v>423</v>
      </c>
      <c r="B408" s="61" t="s">
        <v>423</v>
      </c>
      <c r="C408" s="62" t="s">
        <v>4695</v>
      </c>
      <c r="D408" s="63">
        <v>10</v>
      </c>
      <c r="E408" s="62"/>
      <c r="F408" s="65">
        <v>15</v>
      </c>
      <c r="G408" s="62"/>
      <c r="H408" s="66"/>
      <c r="I408" s="67"/>
      <c r="J408" s="67"/>
      <c r="K408" s="31" t="s">
        <v>65</v>
      </c>
      <c r="L408" s="68">
        <v>408</v>
      </c>
      <c r="M408" s="68"/>
      <c r="N408" s="69"/>
      <c r="O408" s="76" t="s">
        <v>219</v>
      </c>
      <c r="P408" s="78">
        <v>44814.625555555554</v>
      </c>
      <c r="Q408" s="76" t="s">
        <v>755</v>
      </c>
      <c r="R408" s="79" t="str">
        <f>HYPERLINK("https://www.youtube.com/watch?v=V75pj41VFGk")</f>
        <v>https://www.youtube.com/watch?v=V75pj41VFGk</v>
      </c>
      <c r="S408" s="76" t="s">
        <v>790</v>
      </c>
      <c r="T408" s="81" t="s">
        <v>875</v>
      </c>
      <c r="U408" s="76"/>
      <c r="V408" s="79" t="str">
        <f>HYPERLINK("https://abs.twimg.com/sticky/default_profile_images/default_profile_normal.png")</f>
        <v>https://abs.twimg.com/sticky/default_profile_images/default_profile_normal.png</v>
      </c>
      <c r="W408" s="78">
        <v>44814.625555555554</v>
      </c>
      <c r="X408" s="84">
        <v>44814</v>
      </c>
      <c r="Y408" s="81" t="s">
        <v>1178</v>
      </c>
      <c r="Z408" s="79" t="str">
        <f>HYPERLINK("https://twitter.com/reinbow05061512/status/1568615478444130304")</f>
        <v>https://twitter.com/reinbow05061512/status/1568615478444130304</v>
      </c>
      <c r="AA408" s="76"/>
      <c r="AB408" s="76"/>
      <c r="AC408" s="81" t="s">
        <v>1514</v>
      </c>
      <c r="AD408" s="76"/>
      <c r="AE408" s="76" t="b">
        <v>0</v>
      </c>
      <c r="AF408" s="76">
        <v>0</v>
      </c>
      <c r="AG408" s="81" t="s">
        <v>1674</v>
      </c>
      <c r="AH408" s="76" t="b">
        <v>0</v>
      </c>
      <c r="AI408" s="76" t="s">
        <v>1772</v>
      </c>
      <c r="AJ408" s="76"/>
      <c r="AK408" s="81" t="s">
        <v>1674</v>
      </c>
      <c r="AL408" s="76" t="b">
        <v>0</v>
      </c>
      <c r="AM408" s="76">
        <v>0</v>
      </c>
      <c r="AN408" s="81" t="s">
        <v>1674</v>
      </c>
      <c r="AO408" s="81" t="s">
        <v>1811</v>
      </c>
      <c r="AP408" s="76" t="b">
        <v>0</v>
      </c>
      <c r="AQ408" s="81" t="s">
        <v>1514</v>
      </c>
      <c r="AR408" s="76" t="s">
        <v>219</v>
      </c>
      <c r="AS408" s="76">
        <v>0</v>
      </c>
      <c r="AT408" s="76">
        <v>0</v>
      </c>
      <c r="AU408" s="76"/>
      <c r="AV408" s="76"/>
      <c r="AW408" s="76"/>
      <c r="AX408" s="76"/>
      <c r="AY408" s="76"/>
      <c r="AZ408" s="76"/>
      <c r="BA408" s="76"/>
      <c r="BB408" s="76"/>
      <c r="BC408">
        <v>43</v>
      </c>
      <c r="BD408" s="75" t="str">
        <f>REPLACE(INDEX(GroupVertices[Group],MATCH(Edges[[#This Row],[Vertex 1]],GroupVertices[Vertex],0)),1,1,"")</f>
        <v>2</v>
      </c>
      <c r="BE408" s="75" t="str">
        <f>REPLACE(INDEX(GroupVertices[Group],MATCH(Edges[[#This Row],[Vertex 2]],GroupVertices[Vertex],0)),1,1,"")</f>
        <v>2</v>
      </c>
      <c r="BF408" s="45">
        <v>0</v>
      </c>
      <c r="BG408" s="46">
        <v>0</v>
      </c>
      <c r="BH408" s="45">
        <v>0</v>
      </c>
      <c r="BI408" s="46">
        <v>0</v>
      </c>
      <c r="BJ408" s="45">
        <v>0</v>
      </c>
      <c r="BK408" s="46">
        <v>0</v>
      </c>
      <c r="BL408" s="45">
        <v>19</v>
      </c>
      <c r="BM408" s="46">
        <v>100</v>
      </c>
      <c r="BN408" s="45">
        <v>19</v>
      </c>
    </row>
    <row r="409" spans="1:66" ht="15">
      <c r="A409" s="61" t="s">
        <v>423</v>
      </c>
      <c r="B409" s="61" t="s">
        <v>423</v>
      </c>
      <c r="C409" s="62" t="s">
        <v>4695</v>
      </c>
      <c r="D409" s="63">
        <v>10</v>
      </c>
      <c r="E409" s="62"/>
      <c r="F409" s="65">
        <v>15</v>
      </c>
      <c r="G409" s="62"/>
      <c r="H409" s="66"/>
      <c r="I409" s="67"/>
      <c r="J409" s="67"/>
      <c r="K409" s="31" t="s">
        <v>65</v>
      </c>
      <c r="L409" s="68">
        <v>409</v>
      </c>
      <c r="M409" s="68"/>
      <c r="N409" s="69"/>
      <c r="O409" s="76" t="s">
        <v>219</v>
      </c>
      <c r="P409" s="78">
        <v>44814.625625</v>
      </c>
      <c r="Q409" s="76" t="s">
        <v>763</v>
      </c>
      <c r="R409" s="79" t="str">
        <f>HYPERLINK("https://www.youtube.com/watch?v=ejG32fwnsV4&amp;feature=youtu.be")</f>
        <v>https://www.youtube.com/watch?v=ejG32fwnsV4&amp;feature=youtu.be</v>
      </c>
      <c r="S409" s="76" t="s">
        <v>790</v>
      </c>
      <c r="T409" s="81" t="s">
        <v>875</v>
      </c>
      <c r="U409" s="76"/>
      <c r="V409" s="79" t="str">
        <f>HYPERLINK("https://abs.twimg.com/sticky/default_profile_images/default_profile_normal.png")</f>
        <v>https://abs.twimg.com/sticky/default_profile_images/default_profile_normal.png</v>
      </c>
      <c r="W409" s="78">
        <v>44814.625625</v>
      </c>
      <c r="X409" s="84">
        <v>44814</v>
      </c>
      <c r="Y409" s="81" t="s">
        <v>1179</v>
      </c>
      <c r="Z409" s="79" t="str">
        <f>HYPERLINK("https://twitter.com/reinbow05061512/status/1568615504612556800")</f>
        <v>https://twitter.com/reinbow05061512/status/1568615504612556800</v>
      </c>
      <c r="AA409" s="76"/>
      <c r="AB409" s="76"/>
      <c r="AC409" s="81" t="s">
        <v>1515</v>
      </c>
      <c r="AD409" s="76"/>
      <c r="AE409" s="76" t="b">
        <v>0</v>
      </c>
      <c r="AF409" s="76">
        <v>0</v>
      </c>
      <c r="AG409" s="81" t="s">
        <v>1674</v>
      </c>
      <c r="AH409" s="76" t="b">
        <v>0</v>
      </c>
      <c r="AI409" s="76" t="s">
        <v>1772</v>
      </c>
      <c r="AJ409" s="76"/>
      <c r="AK409" s="81" t="s">
        <v>1674</v>
      </c>
      <c r="AL409" s="76" t="b">
        <v>0</v>
      </c>
      <c r="AM409" s="76">
        <v>0</v>
      </c>
      <c r="AN409" s="81" t="s">
        <v>1674</v>
      </c>
      <c r="AO409" s="81" t="s">
        <v>1811</v>
      </c>
      <c r="AP409" s="76" t="b">
        <v>0</v>
      </c>
      <c r="AQ409" s="81" t="s">
        <v>1515</v>
      </c>
      <c r="AR409" s="76" t="s">
        <v>219</v>
      </c>
      <c r="AS409" s="76">
        <v>0</v>
      </c>
      <c r="AT409" s="76">
        <v>0</v>
      </c>
      <c r="AU409" s="76"/>
      <c r="AV409" s="76"/>
      <c r="AW409" s="76"/>
      <c r="AX409" s="76"/>
      <c r="AY409" s="76"/>
      <c r="AZ409" s="76"/>
      <c r="BA409" s="76"/>
      <c r="BB409" s="76"/>
      <c r="BC409">
        <v>43</v>
      </c>
      <c r="BD409" s="75" t="str">
        <f>REPLACE(INDEX(GroupVertices[Group],MATCH(Edges[[#This Row],[Vertex 1]],GroupVertices[Vertex],0)),1,1,"")</f>
        <v>2</v>
      </c>
      <c r="BE409" s="75" t="str">
        <f>REPLACE(INDEX(GroupVertices[Group],MATCH(Edges[[#This Row],[Vertex 2]],GroupVertices[Vertex],0)),1,1,"")</f>
        <v>2</v>
      </c>
      <c r="BF409" s="45">
        <v>1</v>
      </c>
      <c r="BG409" s="46">
        <v>7.142857142857143</v>
      </c>
      <c r="BH409" s="45">
        <v>0</v>
      </c>
      <c r="BI409" s="46">
        <v>0</v>
      </c>
      <c r="BJ409" s="45">
        <v>0</v>
      </c>
      <c r="BK409" s="46">
        <v>0</v>
      </c>
      <c r="BL409" s="45">
        <v>13</v>
      </c>
      <c r="BM409" s="46">
        <v>92.85714285714286</v>
      </c>
      <c r="BN409" s="45">
        <v>14</v>
      </c>
    </row>
    <row r="410" spans="1:66" ht="15">
      <c r="A410" s="61" t="s">
        <v>423</v>
      </c>
      <c r="B410" s="61" t="s">
        <v>423</v>
      </c>
      <c r="C410" s="62" t="s">
        <v>4695</v>
      </c>
      <c r="D410" s="63">
        <v>10</v>
      </c>
      <c r="E410" s="62"/>
      <c r="F410" s="65">
        <v>15</v>
      </c>
      <c r="G410" s="62"/>
      <c r="H410" s="66"/>
      <c r="I410" s="67"/>
      <c r="J410" s="67"/>
      <c r="K410" s="31" t="s">
        <v>65</v>
      </c>
      <c r="L410" s="68">
        <v>410</v>
      </c>
      <c r="M410" s="68"/>
      <c r="N410" s="69"/>
      <c r="O410" s="76" t="s">
        <v>219</v>
      </c>
      <c r="P410" s="78">
        <v>44814.77116898148</v>
      </c>
      <c r="Q410" s="76" t="s">
        <v>757</v>
      </c>
      <c r="R410" s="79" t="str">
        <f>HYPERLINK("https://www.youtube.com/watch?v=PMOHqsUyk7Y&amp;feature=youtu.be")</f>
        <v>https://www.youtube.com/watch?v=PMOHqsUyk7Y&amp;feature=youtu.be</v>
      </c>
      <c r="S410" s="76" t="s">
        <v>790</v>
      </c>
      <c r="T410" s="81" t="s">
        <v>876</v>
      </c>
      <c r="U410" s="76"/>
      <c r="V410" s="79" t="str">
        <f>HYPERLINK("https://abs.twimg.com/sticky/default_profile_images/default_profile_normal.png")</f>
        <v>https://abs.twimg.com/sticky/default_profile_images/default_profile_normal.png</v>
      </c>
      <c r="W410" s="78">
        <v>44814.77116898148</v>
      </c>
      <c r="X410" s="84">
        <v>44814</v>
      </c>
      <c r="Y410" s="81" t="s">
        <v>1180</v>
      </c>
      <c r="Z410" s="79" t="str">
        <f>HYPERLINK("https://twitter.com/reinbow05061512/status/1568668247997792257")</f>
        <v>https://twitter.com/reinbow05061512/status/1568668247997792257</v>
      </c>
      <c r="AA410" s="76"/>
      <c r="AB410" s="76"/>
      <c r="AC410" s="81" t="s">
        <v>1516</v>
      </c>
      <c r="AD410" s="76"/>
      <c r="AE410" s="76" t="b">
        <v>0</v>
      </c>
      <c r="AF410" s="76">
        <v>0</v>
      </c>
      <c r="AG410" s="81" t="s">
        <v>1674</v>
      </c>
      <c r="AH410" s="76" t="b">
        <v>0</v>
      </c>
      <c r="AI410" s="76" t="s">
        <v>1773</v>
      </c>
      <c r="AJ410" s="76"/>
      <c r="AK410" s="81" t="s">
        <v>1674</v>
      </c>
      <c r="AL410" s="76" t="b">
        <v>0</v>
      </c>
      <c r="AM410" s="76">
        <v>0</v>
      </c>
      <c r="AN410" s="81" t="s">
        <v>1674</v>
      </c>
      <c r="AO410" s="81" t="s">
        <v>1811</v>
      </c>
      <c r="AP410" s="76" t="b">
        <v>0</v>
      </c>
      <c r="AQ410" s="81" t="s">
        <v>1516</v>
      </c>
      <c r="AR410" s="76" t="s">
        <v>219</v>
      </c>
      <c r="AS410" s="76">
        <v>0</v>
      </c>
      <c r="AT410" s="76">
        <v>0</v>
      </c>
      <c r="AU410" s="76"/>
      <c r="AV410" s="76"/>
      <c r="AW410" s="76"/>
      <c r="AX410" s="76"/>
      <c r="AY410" s="76"/>
      <c r="AZ410" s="76"/>
      <c r="BA410" s="76"/>
      <c r="BB410" s="76"/>
      <c r="BC410">
        <v>43</v>
      </c>
      <c r="BD410" s="75" t="str">
        <f>REPLACE(INDEX(GroupVertices[Group],MATCH(Edges[[#This Row],[Vertex 1]],GroupVertices[Vertex],0)),1,1,"")</f>
        <v>2</v>
      </c>
      <c r="BE410" s="75" t="str">
        <f>REPLACE(INDEX(GroupVertices[Group],MATCH(Edges[[#This Row],[Vertex 2]],GroupVertices[Vertex],0)),1,1,"")</f>
        <v>2</v>
      </c>
      <c r="BF410" s="45">
        <v>0</v>
      </c>
      <c r="BG410" s="46">
        <v>0</v>
      </c>
      <c r="BH410" s="45">
        <v>0</v>
      </c>
      <c r="BI410" s="46">
        <v>0</v>
      </c>
      <c r="BJ410" s="45">
        <v>0</v>
      </c>
      <c r="BK410" s="46">
        <v>0</v>
      </c>
      <c r="BL410" s="45">
        <v>13</v>
      </c>
      <c r="BM410" s="46">
        <v>100</v>
      </c>
      <c r="BN410" s="45">
        <v>13</v>
      </c>
    </row>
    <row r="411" spans="1:66" ht="15">
      <c r="A411" s="61" t="s">
        <v>423</v>
      </c>
      <c r="B411" s="61" t="s">
        <v>423</v>
      </c>
      <c r="C411" s="62" t="s">
        <v>4695</v>
      </c>
      <c r="D411" s="63">
        <v>10</v>
      </c>
      <c r="E411" s="62"/>
      <c r="F411" s="65">
        <v>15</v>
      </c>
      <c r="G411" s="62"/>
      <c r="H411" s="66"/>
      <c r="I411" s="67"/>
      <c r="J411" s="67"/>
      <c r="K411" s="31" t="s">
        <v>65</v>
      </c>
      <c r="L411" s="68">
        <v>411</v>
      </c>
      <c r="M411" s="68"/>
      <c r="N411" s="69"/>
      <c r="O411" s="76" t="s">
        <v>219</v>
      </c>
      <c r="P411" s="78">
        <v>44814.958969907406</v>
      </c>
      <c r="Q411" s="76" t="s">
        <v>764</v>
      </c>
      <c r="R411" s="79" t="str">
        <f>HYPERLINK("https://www.youtube.com/watch?v=uHIVevq290k&amp;feature=youtu.be")</f>
        <v>https://www.youtube.com/watch?v=uHIVevq290k&amp;feature=youtu.be</v>
      </c>
      <c r="S411" s="76" t="s">
        <v>790</v>
      </c>
      <c r="T411" s="81" t="s">
        <v>878</v>
      </c>
      <c r="U411" s="76"/>
      <c r="V411" s="79" t="str">
        <f>HYPERLINK("https://abs.twimg.com/sticky/default_profile_images/default_profile_normal.png")</f>
        <v>https://abs.twimg.com/sticky/default_profile_images/default_profile_normal.png</v>
      </c>
      <c r="W411" s="78">
        <v>44814.958969907406</v>
      </c>
      <c r="X411" s="84">
        <v>44814</v>
      </c>
      <c r="Y411" s="81" t="s">
        <v>1181</v>
      </c>
      <c r="Z411" s="79" t="str">
        <f>HYPERLINK("https://twitter.com/reinbow05061512/status/1568736306217517062")</f>
        <v>https://twitter.com/reinbow05061512/status/1568736306217517062</v>
      </c>
      <c r="AA411" s="76"/>
      <c r="AB411" s="76"/>
      <c r="AC411" s="81" t="s">
        <v>1517</v>
      </c>
      <c r="AD411" s="76"/>
      <c r="AE411" s="76" t="b">
        <v>0</v>
      </c>
      <c r="AF411" s="76">
        <v>0</v>
      </c>
      <c r="AG411" s="81" t="s">
        <v>1674</v>
      </c>
      <c r="AH411" s="76" t="b">
        <v>0</v>
      </c>
      <c r="AI411" s="76" t="s">
        <v>1772</v>
      </c>
      <c r="AJ411" s="76"/>
      <c r="AK411" s="81" t="s">
        <v>1674</v>
      </c>
      <c r="AL411" s="76" t="b">
        <v>0</v>
      </c>
      <c r="AM411" s="76">
        <v>0</v>
      </c>
      <c r="AN411" s="81" t="s">
        <v>1674</v>
      </c>
      <c r="AO411" s="81" t="s">
        <v>1811</v>
      </c>
      <c r="AP411" s="76" t="b">
        <v>0</v>
      </c>
      <c r="AQ411" s="81" t="s">
        <v>1517</v>
      </c>
      <c r="AR411" s="76" t="s">
        <v>219</v>
      </c>
      <c r="AS411" s="76">
        <v>0</v>
      </c>
      <c r="AT411" s="76">
        <v>0</v>
      </c>
      <c r="AU411" s="76"/>
      <c r="AV411" s="76"/>
      <c r="AW411" s="76"/>
      <c r="AX411" s="76"/>
      <c r="AY411" s="76"/>
      <c r="AZ411" s="76"/>
      <c r="BA411" s="76"/>
      <c r="BB411" s="76"/>
      <c r="BC411">
        <v>43</v>
      </c>
      <c r="BD411" s="75" t="str">
        <f>REPLACE(INDEX(GroupVertices[Group],MATCH(Edges[[#This Row],[Vertex 1]],GroupVertices[Vertex],0)),1,1,"")</f>
        <v>2</v>
      </c>
      <c r="BE411" s="75" t="str">
        <f>REPLACE(INDEX(GroupVertices[Group],MATCH(Edges[[#This Row],[Vertex 2]],GroupVertices[Vertex],0)),1,1,"")</f>
        <v>2</v>
      </c>
      <c r="BF411" s="45">
        <v>0</v>
      </c>
      <c r="BG411" s="46">
        <v>0</v>
      </c>
      <c r="BH411" s="45">
        <v>0</v>
      </c>
      <c r="BI411" s="46">
        <v>0</v>
      </c>
      <c r="BJ411" s="45">
        <v>0</v>
      </c>
      <c r="BK411" s="46">
        <v>0</v>
      </c>
      <c r="BL411" s="45">
        <v>16</v>
      </c>
      <c r="BM411" s="46">
        <v>100</v>
      </c>
      <c r="BN411" s="45">
        <v>16</v>
      </c>
    </row>
    <row r="412" spans="1:66" ht="15">
      <c r="A412" s="61" t="s">
        <v>423</v>
      </c>
      <c r="B412" s="61" t="s">
        <v>423</v>
      </c>
      <c r="C412" s="62" t="s">
        <v>4695</v>
      </c>
      <c r="D412" s="63">
        <v>10</v>
      </c>
      <c r="E412" s="62"/>
      <c r="F412" s="65">
        <v>15</v>
      </c>
      <c r="G412" s="62"/>
      <c r="H412" s="66"/>
      <c r="I412" s="67"/>
      <c r="J412" s="67"/>
      <c r="K412" s="31" t="s">
        <v>65</v>
      </c>
      <c r="L412" s="68">
        <v>412</v>
      </c>
      <c r="M412" s="68"/>
      <c r="N412" s="69"/>
      <c r="O412" s="76" t="s">
        <v>219</v>
      </c>
      <c r="P412" s="78">
        <v>44814.959178240744</v>
      </c>
      <c r="Q412" s="76" t="s">
        <v>762</v>
      </c>
      <c r="R412" s="79" t="str">
        <f>HYPERLINK("https://ameblo.jp/historical-gay/entry-10222227037.html")</f>
        <v>https://ameblo.jp/historical-gay/entry-10222227037.html</v>
      </c>
      <c r="S412" s="76" t="s">
        <v>791</v>
      </c>
      <c r="T412" s="81" t="s">
        <v>877</v>
      </c>
      <c r="U412" s="76"/>
      <c r="V412" s="79" t="str">
        <f>HYPERLINK("https://abs.twimg.com/sticky/default_profile_images/default_profile_normal.png")</f>
        <v>https://abs.twimg.com/sticky/default_profile_images/default_profile_normal.png</v>
      </c>
      <c r="W412" s="78">
        <v>44814.959178240744</v>
      </c>
      <c r="X412" s="84">
        <v>44814</v>
      </c>
      <c r="Y412" s="81" t="s">
        <v>1182</v>
      </c>
      <c r="Z412" s="79" t="str">
        <f>HYPERLINK("https://twitter.com/reinbow05061512/status/1568736380494413824")</f>
        <v>https://twitter.com/reinbow05061512/status/1568736380494413824</v>
      </c>
      <c r="AA412" s="76"/>
      <c r="AB412" s="76"/>
      <c r="AC412" s="81" t="s">
        <v>1518</v>
      </c>
      <c r="AD412" s="76"/>
      <c r="AE412" s="76" t="b">
        <v>0</v>
      </c>
      <c r="AF412" s="76">
        <v>0</v>
      </c>
      <c r="AG412" s="81" t="s">
        <v>1674</v>
      </c>
      <c r="AH412" s="76" t="b">
        <v>0</v>
      </c>
      <c r="AI412" s="76" t="s">
        <v>1773</v>
      </c>
      <c r="AJ412" s="76"/>
      <c r="AK412" s="81" t="s">
        <v>1674</v>
      </c>
      <c r="AL412" s="76" t="b">
        <v>0</v>
      </c>
      <c r="AM412" s="76">
        <v>0</v>
      </c>
      <c r="AN412" s="81" t="s">
        <v>1674</v>
      </c>
      <c r="AO412" s="81" t="s">
        <v>1811</v>
      </c>
      <c r="AP412" s="76" t="b">
        <v>0</v>
      </c>
      <c r="AQ412" s="81" t="s">
        <v>1518</v>
      </c>
      <c r="AR412" s="76" t="s">
        <v>219</v>
      </c>
      <c r="AS412" s="76">
        <v>0</v>
      </c>
      <c r="AT412" s="76">
        <v>0</v>
      </c>
      <c r="AU412" s="76"/>
      <c r="AV412" s="76"/>
      <c r="AW412" s="76"/>
      <c r="AX412" s="76"/>
      <c r="AY412" s="76"/>
      <c r="AZ412" s="76"/>
      <c r="BA412" s="76"/>
      <c r="BB412" s="76"/>
      <c r="BC412">
        <v>43</v>
      </c>
      <c r="BD412" s="75" t="str">
        <f>REPLACE(INDEX(GroupVertices[Group],MATCH(Edges[[#This Row],[Vertex 1]],GroupVertices[Vertex],0)),1,1,"")</f>
        <v>2</v>
      </c>
      <c r="BE412" s="75" t="str">
        <f>REPLACE(INDEX(GroupVertices[Group],MATCH(Edges[[#This Row],[Vertex 2]],GroupVertices[Vertex],0)),1,1,"")</f>
        <v>2</v>
      </c>
      <c r="BF412" s="45">
        <v>0</v>
      </c>
      <c r="BG412" s="46">
        <v>0</v>
      </c>
      <c r="BH412" s="45">
        <v>0</v>
      </c>
      <c r="BI412" s="46">
        <v>0</v>
      </c>
      <c r="BJ412" s="45">
        <v>0</v>
      </c>
      <c r="BK412" s="46">
        <v>0</v>
      </c>
      <c r="BL412" s="45">
        <v>13</v>
      </c>
      <c r="BM412" s="46">
        <v>100</v>
      </c>
      <c r="BN412" s="45">
        <v>13</v>
      </c>
    </row>
    <row r="413" spans="1:66" ht="15">
      <c r="A413" s="61" t="s">
        <v>423</v>
      </c>
      <c r="B413" s="61" t="s">
        <v>423</v>
      </c>
      <c r="C413" s="62" t="s">
        <v>4695</v>
      </c>
      <c r="D413" s="63">
        <v>10</v>
      </c>
      <c r="E413" s="62"/>
      <c r="F413" s="65">
        <v>15</v>
      </c>
      <c r="G413" s="62"/>
      <c r="H413" s="66"/>
      <c r="I413" s="67"/>
      <c r="J413" s="67"/>
      <c r="K413" s="31" t="s">
        <v>65</v>
      </c>
      <c r="L413" s="68">
        <v>413</v>
      </c>
      <c r="M413" s="68"/>
      <c r="N413" s="69"/>
      <c r="O413" s="76" t="s">
        <v>219</v>
      </c>
      <c r="P413" s="78">
        <v>44815.62579861111</v>
      </c>
      <c r="Q413" s="76" t="s">
        <v>756</v>
      </c>
      <c r="R413" s="79" t="str">
        <f>HYPERLINK("https://www.youtube.com/watch?v=ejG32fwnsV4&amp;feature=youtu.be")</f>
        <v>https://www.youtube.com/watch?v=ejG32fwnsV4&amp;feature=youtu.be</v>
      </c>
      <c r="S413" s="76" t="s">
        <v>790</v>
      </c>
      <c r="T413" s="81" t="s">
        <v>875</v>
      </c>
      <c r="U413" s="76"/>
      <c r="V413" s="79" t="str">
        <f>HYPERLINK("https://abs.twimg.com/sticky/default_profile_images/default_profile_normal.png")</f>
        <v>https://abs.twimg.com/sticky/default_profile_images/default_profile_normal.png</v>
      </c>
      <c r="W413" s="78">
        <v>44815.62579861111</v>
      </c>
      <c r="X413" s="84">
        <v>44815</v>
      </c>
      <c r="Y413" s="81" t="s">
        <v>1183</v>
      </c>
      <c r="Z413" s="79" t="str">
        <f>HYPERLINK("https://twitter.com/reinbow05061512/status/1568977956734734338")</f>
        <v>https://twitter.com/reinbow05061512/status/1568977956734734338</v>
      </c>
      <c r="AA413" s="76"/>
      <c r="AB413" s="76"/>
      <c r="AC413" s="81" t="s">
        <v>1519</v>
      </c>
      <c r="AD413" s="76"/>
      <c r="AE413" s="76" t="b">
        <v>0</v>
      </c>
      <c r="AF413" s="76">
        <v>0</v>
      </c>
      <c r="AG413" s="81" t="s">
        <v>1674</v>
      </c>
      <c r="AH413" s="76" t="b">
        <v>0</v>
      </c>
      <c r="AI413" s="76" t="s">
        <v>1772</v>
      </c>
      <c r="AJ413" s="76"/>
      <c r="AK413" s="81" t="s">
        <v>1674</v>
      </c>
      <c r="AL413" s="76" t="b">
        <v>0</v>
      </c>
      <c r="AM413" s="76">
        <v>0</v>
      </c>
      <c r="AN413" s="81" t="s">
        <v>1674</v>
      </c>
      <c r="AO413" s="81" t="s">
        <v>1811</v>
      </c>
      <c r="AP413" s="76" t="b">
        <v>0</v>
      </c>
      <c r="AQ413" s="81" t="s">
        <v>1519</v>
      </c>
      <c r="AR413" s="76" t="s">
        <v>219</v>
      </c>
      <c r="AS413" s="76">
        <v>0</v>
      </c>
      <c r="AT413" s="76">
        <v>0</v>
      </c>
      <c r="AU413" s="76"/>
      <c r="AV413" s="76"/>
      <c r="AW413" s="76"/>
      <c r="AX413" s="76"/>
      <c r="AY413" s="76"/>
      <c r="AZ413" s="76"/>
      <c r="BA413" s="76"/>
      <c r="BB413" s="76"/>
      <c r="BC413">
        <v>43</v>
      </c>
      <c r="BD413" s="75" t="str">
        <f>REPLACE(INDEX(GroupVertices[Group],MATCH(Edges[[#This Row],[Vertex 1]],GroupVertices[Vertex],0)),1,1,"")</f>
        <v>2</v>
      </c>
      <c r="BE413" s="75" t="str">
        <f>REPLACE(INDEX(GroupVertices[Group],MATCH(Edges[[#This Row],[Vertex 2]],GroupVertices[Vertex],0)),1,1,"")</f>
        <v>2</v>
      </c>
      <c r="BF413" s="45">
        <v>1</v>
      </c>
      <c r="BG413" s="46">
        <v>7.142857142857143</v>
      </c>
      <c r="BH413" s="45">
        <v>0</v>
      </c>
      <c r="BI413" s="46">
        <v>0</v>
      </c>
      <c r="BJ413" s="45">
        <v>0</v>
      </c>
      <c r="BK413" s="46">
        <v>0</v>
      </c>
      <c r="BL413" s="45">
        <v>13</v>
      </c>
      <c r="BM413" s="46">
        <v>92.85714285714286</v>
      </c>
      <c r="BN413" s="45">
        <v>14</v>
      </c>
    </row>
    <row r="414" spans="1:66" ht="15">
      <c r="A414" s="61" t="s">
        <v>423</v>
      </c>
      <c r="B414" s="61" t="s">
        <v>423</v>
      </c>
      <c r="C414" s="62" t="s">
        <v>4695</v>
      </c>
      <c r="D414" s="63">
        <v>10</v>
      </c>
      <c r="E414" s="62"/>
      <c r="F414" s="65">
        <v>15</v>
      </c>
      <c r="G414" s="62"/>
      <c r="H414" s="66"/>
      <c r="I414" s="67"/>
      <c r="J414" s="67"/>
      <c r="K414" s="31" t="s">
        <v>65</v>
      </c>
      <c r="L414" s="68">
        <v>414</v>
      </c>
      <c r="M414" s="68"/>
      <c r="N414" s="69"/>
      <c r="O414" s="76" t="s">
        <v>219</v>
      </c>
      <c r="P414" s="78">
        <v>44815.62584490741</v>
      </c>
      <c r="Q414" s="76" t="s">
        <v>755</v>
      </c>
      <c r="R414" s="79" t="str">
        <f>HYPERLINK("https://www.youtube.com/watch?v=V75pj41VFGk")</f>
        <v>https://www.youtube.com/watch?v=V75pj41VFGk</v>
      </c>
      <c r="S414" s="76" t="s">
        <v>790</v>
      </c>
      <c r="T414" s="81" t="s">
        <v>875</v>
      </c>
      <c r="U414" s="76"/>
      <c r="V414" s="79" t="str">
        <f>HYPERLINK("https://abs.twimg.com/sticky/default_profile_images/default_profile_normal.png")</f>
        <v>https://abs.twimg.com/sticky/default_profile_images/default_profile_normal.png</v>
      </c>
      <c r="W414" s="78">
        <v>44815.62584490741</v>
      </c>
      <c r="X414" s="84">
        <v>44815</v>
      </c>
      <c r="Y414" s="81" t="s">
        <v>1184</v>
      </c>
      <c r="Z414" s="79" t="str">
        <f>HYPERLINK("https://twitter.com/reinbow05061512/status/1568977973826523136")</f>
        <v>https://twitter.com/reinbow05061512/status/1568977973826523136</v>
      </c>
      <c r="AA414" s="76"/>
      <c r="AB414" s="76"/>
      <c r="AC414" s="81" t="s">
        <v>1520</v>
      </c>
      <c r="AD414" s="76"/>
      <c r="AE414" s="76" t="b">
        <v>0</v>
      </c>
      <c r="AF414" s="76">
        <v>0</v>
      </c>
      <c r="AG414" s="81" t="s">
        <v>1674</v>
      </c>
      <c r="AH414" s="76" t="b">
        <v>0</v>
      </c>
      <c r="AI414" s="76" t="s">
        <v>1772</v>
      </c>
      <c r="AJ414" s="76"/>
      <c r="AK414" s="81" t="s">
        <v>1674</v>
      </c>
      <c r="AL414" s="76" t="b">
        <v>0</v>
      </c>
      <c r="AM414" s="76">
        <v>0</v>
      </c>
      <c r="AN414" s="81" t="s">
        <v>1674</v>
      </c>
      <c r="AO414" s="81" t="s">
        <v>1811</v>
      </c>
      <c r="AP414" s="76" t="b">
        <v>0</v>
      </c>
      <c r="AQ414" s="81" t="s">
        <v>1520</v>
      </c>
      <c r="AR414" s="76" t="s">
        <v>219</v>
      </c>
      <c r="AS414" s="76">
        <v>0</v>
      </c>
      <c r="AT414" s="76">
        <v>0</v>
      </c>
      <c r="AU414" s="76"/>
      <c r="AV414" s="76"/>
      <c r="AW414" s="76"/>
      <c r="AX414" s="76"/>
      <c r="AY414" s="76"/>
      <c r="AZ414" s="76"/>
      <c r="BA414" s="76"/>
      <c r="BB414" s="76"/>
      <c r="BC414">
        <v>43</v>
      </c>
      <c r="BD414" s="75" t="str">
        <f>REPLACE(INDEX(GroupVertices[Group],MATCH(Edges[[#This Row],[Vertex 1]],GroupVertices[Vertex],0)),1,1,"")</f>
        <v>2</v>
      </c>
      <c r="BE414" s="75" t="str">
        <f>REPLACE(INDEX(GroupVertices[Group],MATCH(Edges[[#This Row],[Vertex 2]],GroupVertices[Vertex],0)),1,1,"")</f>
        <v>2</v>
      </c>
      <c r="BF414" s="45">
        <v>0</v>
      </c>
      <c r="BG414" s="46">
        <v>0</v>
      </c>
      <c r="BH414" s="45">
        <v>0</v>
      </c>
      <c r="BI414" s="46">
        <v>0</v>
      </c>
      <c r="BJ414" s="45">
        <v>0</v>
      </c>
      <c r="BK414" s="46">
        <v>0</v>
      </c>
      <c r="BL414" s="45">
        <v>19</v>
      </c>
      <c r="BM414" s="46">
        <v>100</v>
      </c>
      <c r="BN414" s="45">
        <v>19</v>
      </c>
    </row>
    <row r="415" spans="1:66" ht="15">
      <c r="A415" s="61" t="s">
        <v>423</v>
      </c>
      <c r="B415" s="61" t="s">
        <v>423</v>
      </c>
      <c r="C415" s="62" t="s">
        <v>4695</v>
      </c>
      <c r="D415" s="63">
        <v>10</v>
      </c>
      <c r="E415" s="62"/>
      <c r="F415" s="65">
        <v>15</v>
      </c>
      <c r="G415" s="62"/>
      <c r="H415" s="66"/>
      <c r="I415" s="67"/>
      <c r="J415" s="67"/>
      <c r="K415" s="31" t="s">
        <v>65</v>
      </c>
      <c r="L415" s="68">
        <v>415</v>
      </c>
      <c r="M415" s="68"/>
      <c r="N415" s="69"/>
      <c r="O415" s="76" t="s">
        <v>219</v>
      </c>
      <c r="P415" s="78">
        <v>44815.771261574075</v>
      </c>
      <c r="Q415" s="76" t="s">
        <v>757</v>
      </c>
      <c r="R415" s="79" t="str">
        <f>HYPERLINK("https://www.youtube.com/watch?v=PMOHqsUyk7Y&amp;feature=youtu.be")</f>
        <v>https://www.youtube.com/watch?v=PMOHqsUyk7Y&amp;feature=youtu.be</v>
      </c>
      <c r="S415" s="76" t="s">
        <v>790</v>
      </c>
      <c r="T415" s="81" t="s">
        <v>876</v>
      </c>
      <c r="U415" s="76"/>
      <c r="V415" s="79" t="str">
        <f>HYPERLINK("https://abs.twimg.com/sticky/default_profile_images/default_profile_normal.png")</f>
        <v>https://abs.twimg.com/sticky/default_profile_images/default_profile_normal.png</v>
      </c>
      <c r="W415" s="78">
        <v>44815.771261574075</v>
      </c>
      <c r="X415" s="84">
        <v>44815</v>
      </c>
      <c r="Y415" s="81" t="s">
        <v>1185</v>
      </c>
      <c r="Z415" s="79" t="str">
        <f>HYPERLINK("https://twitter.com/reinbow05061512/status/1569030670688608256")</f>
        <v>https://twitter.com/reinbow05061512/status/1569030670688608256</v>
      </c>
      <c r="AA415" s="76"/>
      <c r="AB415" s="76"/>
      <c r="AC415" s="81" t="s">
        <v>1521</v>
      </c>
      <c r="AD415" s="76"/>
      <c r="AE415" s="76" t="b">
        <v>0</v>
      </c>
      <c r="AF415" s="76">
        <v>0</v>
      </c>
      <c r="AG415" s="81" t="s">
        <v>1674</v>
      </c>
      <c r="AH415" s="76" t="b">
        <v>0</v>
      </c>
      <c r="AI415" s="76" t="s">
        <v>1773</v>
      </c>
      <c r="AJ415" s="76"/>
      <c r="AK415" s="81" t="s">
        <v>1674</v>
      </c>
      <c r="AL415" s="76" t="b">
        <v>0</v>
      </c>
      <c r="AM415" s="76">
        <v>0</v>
      </c>
      <c r="AN415" s="81" t="s">
        <v>1674</v>
      </c>
      <c r="AO415" s="81" t="s">
        <v>1811</v>
      </c>
      <c r="AP415" s="76" t="b">
        <v>0</v>
      </c>
      <c r="AQ415" s="81" t="s">
        <v>1521</v>
      </c>
      <c r="AR415" s="76" t="s">
        <v>219</v>
      </c>
      <c r="AS415" s="76">
        <v>0</v>
      </c>
      <c r="AT415" s="76">
        <v>0</v>
      </c>
      <c r="AU415" s="76"/>
      <c r="AV415" s="76"/>
      <c r="AW415" s="76"/>
      <c r="AX415" s="76"/>
      <c r="AY415" s="76"/>
      <c r="AZ415" s="76"/>
      <c r="BA415" s="76"/>
      <c r="BB415" s="76"/>
      <c r="BC415">
        <v>43</v>
      </c>
      <c r="BD415" s="75" t="str">
        <f>REPLACE(INDEX(GroupVertices[Group],MATCH(Edges[[#This Row],[Vertex 1]],GroupVertices[Vertex],0)),1,1,"")</f>
        <v>2</v>
      </c>
      <c r="BE415" s="75" t="str">
        <f>REPLACE(INDEX(GroupVertices[Group],MATCH(Edges[[#This Row],[Vertex 2]],GroupVertices[Vertex],0)),1,1,"")</f>
        <v>2</v>
      </c>
      <c r="BF415" s="45">
        <v>0</v>
      </c>
      <c r="BG415" s="46">
        <v>0</v>
      </c>
      <c r="BH415" s="45">
        <v>0</v>
      </c>
      <c r="BI415" s="46">
        <v>0</v>
      </c>
      <c r="BJ415" s="45">
        <v>0</v>
      </c>
      <c r="BK415" s="46">
        <v>0</v>
      </c>
      <c r="BL415" s="45">
        <v>13</v>
      </c>
      <c r="BM415" s="46">
        <v>100</v>
      </c>
      <c r="BN415" s="45">
        <v>13</v>
      </c>
    </row>
    <row r="416" spans="1:66" ht="15">
      <c r="A416" s="61" t="s">
        <v>423</v>
      </c>
      <c r="B416" s="61" t="s">
        <v>423</v>
      </c>
      <c r="C416" s="62" t="s">
        <v>4695</v>
      </c>
      <c r="D416" s="63">
        <v>10</v>
      </c>
      <c r="E416" s="62"/>
      <c r="F416" s="65">
        <v>15</v>
      </c>
      <c r="G416" s="62"/>
      <c r="H416" s="66"/>
      <c r="I416" s="67"/>
      <c r="J416" s="67"/>
      <c r="K416" s="31" t="s">
        <v>65</v>
      </c>
      <c r="L416" s="68">
        <v>416</v>
      </c>
      <c r="M416" s="68"/>
      <c r="N416" s="69"/>
      <c r="O416" s="76" t="s">
        <v>219</v>
      </c>
      <c r="P416" s="78">
        <v>44815.95869212963</v>
      </c>
      <c r="Q416" s="76" t="s">
        <v>759</v>
      </c>
      <c r="R416" s="79" t="str">
        <f>HYPERLINK("https://www.youtube.com/watch?v=uHIVevq290k&amp;feature=youtu.be")</f>
        <v>https://www.youtube.com/watch?v=uHIVevq290k&amp;feature=youtu.be</v>
      </c>
      <c r="S416" s="76" t="s">
        <v>790</v>
      </c>
      <c r="T416" s="81" t="s">
        <v>878</v>
      </c>
      <c r="U416" s="76"/>
      <c r="V416" s="79" t="str">
        <f>HYPERLINK("https://abs.twimg.com/sticky/default_profile_images/default_profile_normal.png")</f>
        <v>https://abs.twimg.com/sticky/default_profile_images/default_profile_normal.png</v>
      </c>
      <c r="W416" s="78">
        <v>44815.95869212963</v>
      </c>
      <c r="X416" s="84">
        <v>44815</v>
      </c>
      <c r="Y416" s="81" t="s">
        <v>1186</v>
      </c>
      <c r="Z416" s="79" t="str">
        <f>HYPERLINK("https://twitter.com/reinbow05061512/status/1569098591280500738")</f>
        <v>https://twitter.com/reinbow05061512/status/1569098591280500738</v>
      </c>
      <c r="AA416" s="76"/>
      <c r="AB416" s="76"/>
      <c r="AC416" s="81" t="s">
        <v>1522</v>
      </c>
      <c r="AD416" s="76"/>
      <c r="AE416" s="76" t="b">
        <v>0</v>
      </c>
      <c r="AF416" s="76">
        <v>0</v>
      </c>
      <c r="AG416" s="81" t="s">
        <v>1674</v>
      </c>
      <c r="AH416" s="76" t="b">
        <v>0</v>
      </c>
      <c r="AI416" s="76" t="s">
        <v>1772</v>
      </c>
      <c r="AJ416" s="76"/>
      <c r="AK416" s="81" t="s">
        <v>1674</v>
      </c>
      <c r="AL416" s="76" t="b">
        <v>0</v>
      </c>
      <c r="AM416" s="76">
        <v>0</v>
      </c>
      <c r="AN416" s="81" t="s">
        <v>1674</v>
      </c>
      <c r="AO416" s="81" t="s">
        <v>1811</v>
      </c>
      <c r="AP416" s="76" t="b">
        <v>0</v>
      </c>
      <c r="AQ416" s="81" t="s">
        <v>1522</v>
      </c>
      <c r="AR416" s="76" t="s">
        <v>219</v>
      </c>
      <c r="AS416" s="76">
        <v>0</v>
      </c>
      <c r="AT416" s="76">
        <v>0</v>
      </c>
      <c r="AU416" s="76"/>
      <c r="AV416" s="76"/>
      <c r="AW416" s="76"/>
      <c r="AX416" s="76"/>
      <c r="AY416" s="76"/>
      <c r="AZ416" s="76"/>
      <c r="BA416" s="76"/>
      <c r="BB416" s="76"/>
      <c r="BC416">
        <v>43</v>
      </c>
      <c r="BD416" s="75" t="str">
        <f>REPLACE(INDEX(GroupVertices[Group],MATCH(Edges[[#This Row],[Vertex 1]],GroupVertices[Vertex],0)),1,1,"")</f>
        <v>2</v>
      </c>
      <c r="BE416" s="75" t="str">
        <f>REPLACE(INDEX(GroupVertices[Group],MATCH(Edges[[#This Row],[Vertex 2]],GroupVertices[Vertex],0)),1,1,"")</f>
        <v>2</v>
      </c>
      <c r="BF416" s="45">
        <v>0</v>
      </c>
      <c r="BG416" s="46">
        <v>0</v>
      </c>
      <c r="BH416" s="45">
        <v>0</v>
      </c>
      <c r="BI416" s="46">
        <v>0</v>
      </c>
      <c r="BJ416" s="45">
        <v>0</v>
      </c>
      <c r="BK416" s="46">
        <v>0</v>
      </c>
      <c r="BL416" s="45">
        <v>16</v>
      </c>
      <c r="BM416" s="46">
        <v>100</v>
      </c>
      <c r="BN416" s="45">
        <v>16</v>
      </c>
    </row>
    <row r="417" spans="1:66" ht="15">
      <c r="A417" s="61" t="s">
        <v>423</v>
      </c>
      <c r="B417" s="61" t="s">
        <v>423</v>
      </c>
      <c r="C417" s="62" t="s">
        <v>4695</v>
      </c>
      <c r="D417" s="63">
        <v>10</v>
      </c>
      <c r="E417" s="62"/>
      <c r="F417" s="65">
        <v>15</v>
      </c>
      <c r="G417" s="62"/>
      <c r="H417" s="66"/>
      <c r="I417" s="67"/>
      <c r="J417" s="67"/>
      <c r="K417" s="31" t="s">
        <v>65</v>
      </c>
      <c r="L417" s="68">
        <v>417</v>
      </c>
      <c r="M417" s="68"/>
      <c r="N417" s="69"/>
      <c r="O417" s="76" t="s">
        <v>219</v>
      </c>
      <c r="P417" s="78">
        <v>44815.95875</v>
      </c>
      <c r="Q417" s="76" t="s">
        <v>758</v>
      </c>
      <c r="R417" s="79" t="str">
        <f>HYPERLINK("https://ameblo.jp/historical-gay/entry-10222227037.html")</f>
        <v>https://ameblo.jp/historical-gay/entry-10222227037.html</v>
      </c>
      <c r="S417" s="76" t="s">
        <v>791</v>
      </c>
      <c r="T417" s="81" t="s">
        <v>877</v>
      </c>
      <c r="U417" s="76"/>
      <c r="V417" s="79" t="str">
        <f>HYPERLINK("https://abs.twimg.com/sticky/default_profile_images/default_profile_normal.png")</f>
        <v>https://abs.twimg.com/sticky/default_profile_images/default_profile_normal.png</v>
      </c>
      <c r="W417" s="78">
        <v>44815.95875</v>
      </c>
      <c r="X417" s="84">
        <v>44815</v>
      </c>
      <c r="Y417" s="81" t="s">
        <v>1187</v>
      </c>
      <c r="Z417" s="79" t="str">
        <f>HYPERLINK("https://twitter.com/reinbow05061512/status/1569098613040488448")</f>
        <v>https://twitter.com/reinbow05061512/status/1569098613040488448</v>
      </c>
      <c r="AA417" s="76"/>
      <c r="AB417" s="76"/>
      <c r="AC417" s="81" t="s">
        <v>1523</v>
      </c>
      <c r="AD417" s="76"/>
      <c r="AE417" s="76" t="b">
        <v>0</v>
      </c>
      <c r="AF417" s="76">
        <v>0</v>
      </c>
      <c r="AG417" s="81" t="s">
        <v>1674</v>
      </c>
      <c r="AH417" s="76" t="b">
        <v>0</v>
      </c>
      <c r="AI417" s="76" t="s">
        <v>1773</v>
      </c>
      <c r="AJ417" s="76"/>
      <c r="AK417" s="81" t="s">
        <v>1674</v>
      </c>
      <c r="AL417" s="76" t="b">
        <v>0</v>
      </c>
      <c r="AM417" s="76">
        <v>0</v>
      </c>
      <c r="AN417" s="81" t="s">
        <v>1674</v>
      </c>
      <c r="AO417" s="81" t="s">
        <v>1811</v>
      </c>
      <c r="AP417" s="76" t="b">
        <v>0</v>
      </c>
      <c r="AQ417" s="81" t="s">
        <v>1523</v>
      </c>
      <c r="AR417" s="76" t="s">
        <v>219</v>
      </c>
      <c r="AS417" s="76">
        <v>0</v>
      </c>
      <c r="AT417" s="76">
        <v>0</v>
      </c>
      <c r="AU417" s="76"/>
      <c r="AV417" s="76"/>
      <c r="AW417" s="76"/>
      <c r="AX417" s="76"/>
      <c r="AY417" s="76"/>
      <c r="AZ417" s="76"/>
      <c r="BA417" s="76"/>
      <c r="BB417" s="76"/>
      <c r="BC417">
        <v>43</v>
      </c>
      <c r="BD417" s="75" t="str">
        <f>REPLACE(INDEX(GroupVertices[Group],MATCH(Edges[[#This Row],[Vertex 1]],GroupVertices[Vertex],0)),1,1,"")</f>
        <v>2</v>
      </c>
      <c r="BE417" s="75" t="str">
        <f>REPLACE(INDEX(GroupVertices[Group],MATCH(Edges[[#This Row],[Vertex 2]],GroupVertices[Vertex],0)),1,1,"")</f>
        <v>2</v>
      </c>
      <c r="BF417" s="45">
        <v>0</v>
      </c>
      <c r="BG417" s="46">
        <v>0</v>
      </c>
      <c r="BH417" s="45">
        <v>0</v>
      </c>
      <c r="BI417" s="46">
        <v>0</v>
      </c>
      <c r="BJ417" s="45">
        <v>0</v>
      </c>
      <c r="BK417" s="46">
        <v>0</v>
      </c>
      <c r="BL417" s="45">
        <v>13</v>
      </c>
      <c r="BM417" s="46">
        <v>100</v>
      </c>
      <c r="BN417" s="45">
        <v>13</v>
      </c>
    </row>
    <row r="418" spans="1:66" ht="15">
      <c r="A418" s="61" t="s">
        <v>423</v>
      </c>
      <c r="B418" s="61" t="s">
        <v>423</v>
      </c>
      <c r="C418" s="62" t="s">
        <v>4695</v>
      </c>
      <c r="D418" s="63">
        <v>10</v>
      </c>
      <c r="E418" s="62"/>
      <c r="F418" s="65">
        <v>15</v>
      </c>
      <c r="G418" s="62"/>
      <c r="H418" s="66"/>
      <c r="I418" s="67"/>
      <c r="J418" s="67"/>
      <c r="K418" s="31" t="s">
        <v>65</v>
      </c>
      <c r="L418" s="68">
        <v>418</v>
      </c>
      <c r="M418" s="68"/>
      <c r="N418" s="69"/>
      <c r="O418" s="76" t="s">
        <v>219</v>
      </c>
      <c r="P418" s="78">
        <v>44816.62542824074</v>
      </c>
      <c r="Q418" s="76" t="s">
        <v>756</v>
      </c>
      <c r="R418" s="79" t="str">
        <f>HYPERLINK("https://www.youtube.com/watch?v=ejG32fwnsV4&amp;feature=youtu.be")</f>
        <v>https://www.youtube.com/watch?v=ejG32fwnsV4&amp;feature=youtu.be</v>
      </c>
      <c r="S418" s="76" t="s">
        <v>790</v>
      </c>
      <c r="T418" s="81" t="s">
        <v>875</v>
      </c>
      <c r="U418" s="76"/>
      <c r="V418" s="79" t="str">
        <f>HYPERLINK("https://abs.twimg.com/sticky/default_profile_images/default_profile_normal.png")</f>
        <v>https://abs.twimg.com/sticky/default_profile_images/default_profile_normal.png</v>
      </c>
      <c r="W418" s="78">
        <v>44816.62542824074</v>
      </c>
      <c r="X418" s="84">
        <v>44816</v>
      </c>
      <c r="Y418" s="81" t="s">
        <v>1188</v>
      </c>
      <c r="Z418" s="79" t="str">
        <f>HYPERLINK("https://twitter.com/reinbow05061512/status/1569340209707339776")</f>
        <v>https://twitter.com/reinbow05061512/status/1569340209707339776</v>
      </c>
      <c r="AA418" s="76"/>
      <c r="AB418" s="76"/>
      <c r="AC418" s="81" t="s">
        <v>1524</v>
      </c>
      <c r="AD418" s="76"/>
      <c r="AE418" s="76" t="b">
        <v>0</v>
      </c>
      <c r="AF418" s="76">
        <v>0</v>
      </c>
      <c r="AG418" s="81" t="s">
        <v>1674</v>
      </c>
      <c r="AH418" s="76" t="b">
        <v>0</v>
      </c>
      <c r="AI418" s="76" t="s">
        <v>1772</v>
      </c>
      <c r="AJ418" s="76"/>
      <c r="AK418" s="81" t="s">
        <v>1674</v>
      </c>
      <c r="AL418" s="76" t="b">
        <v>0</v>
      </c>
      <c r="AM418" s="76">
        <v>0</v>
      </c>
      <c r="AN418" s="81" t="s">
        <v>1674</v>
      </c>
      <c r="AO418" s="81" t="s">
        <v>1811</v>
      </c>
      <c r="AP418" s="76" t="b">
        <v>0</v>
      </c>
      <c r="AQ418" s="81" t="s">
        <v>1524</v>
      </c>
      <c r="AR418" s="76" t="s">
        <v>219</v>
      </c>
      <c r="AS418" s="76">
        <v>0</v>
      </c>
      <c r="AT418" s="76">
        <v>0</v>
      </c>
      <c r="AU418" s="76"/>
      <c r="AV418" s="76"/>
      <c r="AW418" s="76"/>
      <c r="AX418" s="76"/>
      <c r="AY418" s="76"/>
      <c r="AZ418" s="76"/>
      <c r="BA418" s="76"/>
      <c r="BB418" s="76"/>
      <c r="BC418">
        <v>43</v>
      </c>
      <c r="BD418" s="75" t="str">
        <f>REPLACE(INDEX(GroupVertices[Group],MATCH(Edges[[#This Row],[Vertex 1]],GroupVertices[Vertex],0)),1,1,"")</f>
        <v>2</v>
      </c>
      <c r="BE418" s="75" t="str">
        <f>REPLACE(INDEX(GroupVertices[Group],MATCH(Edges[[#This Row],[Vertex 2]],GroupVertices[Vertex],0)),1,1,"")</f>
        <v>2</v>
      </c>
      <c r="BF418" s="45">
        <v>1</v>
      </c>
      <c r="BG418" s="46">
        <v>7.142857142857143</v>
      </c>
      <c r="BH418" s="45">
        <v>0</v>
      </c>
      <c r="BI418" s="46">
        <v>0</v>
      </c>
      <c r="BJ418" s="45">
        <v>0</v>
      </c>
      <c r="BK418" s="46">
        <v>0</v>
      </c>
      <c r="BL418" s="45">
        <v>13</v>
      </c>
      <c r="BM418" s="46">
        <v>92.85714285714286</v>
      </c>
      <c r="BN418" s="45">
        <v>14</v>
      </c>
    </row>
    <row r="419" spans="1:66" ht="15">
      <c r="A419" s="61" t="s">
        <v>423</v>
      </c>
      <c r="B419" s="61" t="s">
        <v>423</v>
      </c>
      <c r="C419" s="62" t="s">
        <v>4695</v>
      </c>
      <c r="D419" s="63">
        <v>10</v>
      </c>
      <c r="E419" s="62"/>
      <c r="F419" s="65">
        <v>15</v>
      </c>
      <c r="G419" s="62"/>
      <c r="H419" s="66"/>
      <c r="I419" s="67"/>
      <c r="J419" s="67"/>
      <c r="K419" s="31" t="s">
        <v>65</v>
      </c>
      <c r="L419" s="68">
        <v>419</v>
      </c>
      <c r="M419" s="68"/>
      <c r="N419" s="69"/>
      <c r="O419" s="76" t="s">
        <v>219</v>
      </c>
      <c r="P419" s="78">
        <v>44816.625625</v>
      </c>
      <c r="Q419" s="76" t="s">
        <v>755</v>
      </c>
      <c r="R419" s="79" t="str">
        <f>HYPERLINK("https://www.youtube.com/watch?v=V75pj41VFGk")</f>
        <v>https://www.youtube.com/watch?v=V75pj41VFGk</v>
      </c>
      <c r="S419" s="76" t="s">
        <v>790</v>
      </c>
      <c r="T419" s="81" t="s">
        <v>875</v>
      </c>
      <c r="U419" s="76"/>
      <c r="V419" s="79" t="str">
        <f>HYPERLINK("https://abs.twimg.com/sticky/default_profile_images/default_profile_normal.png")</f>
        <v>https://abs.twimg.com/sticky/default_profile_images/default_profile_normal.png</v>
      </c>
      <c r="W419" s="78">
        <v>44816.625625</v>
      </c>
      <c r="X419" s="84">
        <v>44816</v>
      </c>
      <c r="Y419" s="81" t="s">
        <v>1179</v>
      </c>
      <c r="Z419" s="79" t="str">
        <f>HYPERLINK("https://twitter.com/reinbow05061512/status/1569340279680892937")</f>
        <v>https://twitter.com/reinbow05061512/status/1569340279680892937</v>
      </c>
      <c r="AA419" s="76"/>
      <c r="AB419" s="76"/>
      <c r="AC419" s="81" t="s">
        <v>1525</v>
      </c>
      <c r="AD419" s="76"/>
      <c r="AE419" s="76" t="b">
        <v>0</v>
      </c>
      <c r="AF419" s="76">
        <v>0</v>
      </c>
      <c r="AG419" s="81" t="s">
        <v>1674</v>
      </c>
      <c r="AH419" s="76" t="b">
        <v>0</v>
      </c>
      <c r="AI419" s="76" t="s">
        <v>1772</v>
      </c>
      <c r="AJ419" s="76"/>
      <c r="AK419" s="81" t="s">
        <v>1674</v>
      </c>
      <c r="AL419" s="76" t="b">
        <v>0</v>
      </c>
      <c r="AM419" s="76">
        <v>0</v>
      </c>
      <c r="AN419" s="81" t="s">
        <v>1674</v>
      </c>
      <c r="AO419" s="81" t="s">
        <v>1811</v>
      </c>
      <c r="AP419" s="76" t="b">
        <v>0</v>
      </c>
      <c r="AQ419" s="81" t="s">
        <v>1525</v>
      </c>
      <c r="AR419" s="76" t="s">
        <v>219</v>
      </c>
      <c r="AS419" s="76">
        <v>0</v>
      </c>
      <c r="AT419" s="76">
        <v>0</v>
      </c>
      <c r="AU419" s="76"/>
      <c r="AV419" s="76"/>
      <c r="AW419" s="76"/>
      <c r="AX419" s="76"/>
      <c r="AY419" s="76"/>
      <c r="AZ419" s="76"/>
      <c r="BA419" s="76"/>
      <c r="BB419" s="76"/>
      <c r="BC419">
        <v>43</v>
      </c>
      <c r="BD419" s="75" t="str">
        <f>REPLACE(INDEX(GroupVertices[Group],MATCH(Edges[[#This Row],[Vertex 1]],GroupVertices[Vertex],0)),1,1,"")</f>
        <v>2</v>
      </c>
      <c r="BE419" s="75" t="str">
        <f>REPLACE(INDEX(GroupVertices[Group],MATCH(Edges[[#This Row],[Vertex 2]],GroupVertices[Vertex],0)),1,1,"")</f>
        <v>2</v>
      </c>
      <c r="BF419" s="45">
        <v>0</v>
      </c>
      <c r="BG419" s="46">
        <v>0</v>
      </c>
      <c r="BH419" s="45">
        <v>0</v>
      </c>
      <c r="BI419" s="46">
        <v>0</v>
      </c>
      <c r="BJ419" s="45">
        <v>0</v>
      </c>
      <c r="BK419" s="46">
        <v>0</v>
      </c>
      <c r="BL419" s="45">
        <v>19</v>
      </c>
      <c r="BM419" s="46">
        <v>100</v>
      </c>
      <c r="BN419" s="45">
        <v>19</v>
      </c>
    </row>
    <row r="420" spans="1:66" ht="15">
      <c r="A420" s="61" t="s">
        <v>423</v>
      </c>
      <c r="B420" s="61" t="s">
        <v>423</v>
      </c>
      <c r="C420" s="62" t="s">
        <v>4695</v>
      </c>
      <c r="D420" s="63">
        <v>10</v>
      </c>
      <c r="E420" s="62"/>
      <c r="F420" s="65">
        <v>15</v>
      </c>
      <c r="G420" s="62"/>
      <c r="H420" s="66"/>
      <c r="I420" s="67"/>
      <c r="J420" s="67"/>
      <c r="K420" s="31" t="s">
        <v>65</v>
      </c>
      <c r="L420" s="68">
        <v>420</v>
      </c>
      <c r="M420" s="68"/>
      <c r="N420" s="69"/>
      <c r="O420" s="76" t="s">
        <v>219</v>
      </c>
      <c r="P420" s="78">
        <v>44816.771215277775</v>
      </c>
      <c r="Q420" s="76" t="s">
        <v>757</v>
      </c>
      <c r="R420" s="79" t="str">
        <f>HYPERLINK("https://www.youtube.com/watch?v=PMOHqsUyk7Y&amp;feature=youtu.be")</f>
        <v>https://www.youtube.com/watch?v=PMOHqsUyk7Y&amp;feature=youtu.be</v>
      </c>
      <c r="S420" s="76" t="s">
        <v>790</v>
      </c>
      <c r="T420" s="81" t="s">
        <v>876</v>
      </c>
      <c r="U420" s="76"/>
      <c r="V420" s="79" t="str">
        <f>HYPERLINK("https://abs.twimg.com/sticky/default_profile_images/default_profile_normal.png")</f>
        <v>https://abs.twimg.com/sticky/default_profile_images/default_profile_normal.png</v>
      </c>
      <c r="W420" s="78">
        <v>44816.771215277775</v>
      </c>
      <c r="X420" s="84">
        <v>44816</v>
      </c>
      <c r="Y420" s="81" t="s">
        <v>1189</v>
      </c>
      <c r="Z420" s="79" t="str">
        <f>HYPERLINK("https://twitter.com/reinbow05061512/status/1569393040501997568")</f>
        <v>https://twitter.com/reinbow05061512/status/1569393040501997568</v>
      </c>
      <c r="AA420" s="76"/>
      <c r="AB420" s="76"/>
      <c r="AC420" s="81" t="s">
        <v>1526</v>
      </c>
      <c r="AD420" s="76"/>
      <c r="AE420" s="76" t="b">
        <v>0</v>
      </c>
      <c r="AF420" s="76">
        <v>0</v>
      </c>
      <c r="AG420" s="81" t="s">
        <v>1674</v>
      </c>
      <c r="AH420" s="76" t="b">
        <v>0</v>
      </c>
      <c r="AI420" s="76" t="s">
        <v>1773</v>
      </c>
      <c r="AJ420" s="76"/>
      <c r="AK420" s="81" t="s">
        <v>1674</v>
      </c>
      <c r="AL420" s="76" t="b">
        <v>0</v>
      </c>
      <c r="AM420" s="76">
        <v>0</v>
      </c>
      <c r="AN420" s="81" t="s">
        <v>1674</v>
      </c>
      <c r="AO420" s="81" t="s">
        <v>1811</v>
      </c>
      <c r="AP420" s="76" t="b">
        <v>0</v>
      </c>
      <c r="AQ420" s="81" t="s">
        <v>1526</v>
      </c>
      <c r="AR420" s="76" t="s">
        <v>219</v>
      </c>
      <c r="AS420" s="76">
        <v>0</v>
      </c>
      <c r="AT420" s="76">
        <v>0</v>
      </c>
      <c r="AU420" s="76"/>
      <c r="AV420" s="76"/>
      <c r="AW420" s="76"/>
      <c r="AX420" s="76"/>
      <c r="AY420" s="76"/>
      <c r="AZ420" s="76"/>
      <c r="BA420" s="76"/>
      <c r="BB420" s="76"/>
      <c r="BC420">
        <v>43</v>
      </c>
      <c r="BD420" s="75" t="str">
        <f>REPLACE(INDEX(GroupVertices[Group],MATCH(Edges[[#This Row],[Vertex 1]],GroupVertices[Vertex],0)),1,1,"")</f>
        <v>2</v>
      </c>
      <c r="BE420" s="75" t="str">
        <f>REPLACE(INDEX(GroupVertices[Group],MATCH(Edges[[#This Row],[Vertex 2]],GroupVertices[Vertex],0)),1,1,"")</f>
        <v>2</v>
      </c>
      <c r="BF420" s="45">
        <v>0</v>
      </c>
      <c r="BG420" s="46">
        <v>0</v>
      </c>
      <c r="BH420" s="45">
        <v>0</v>
      </c>
      <c r="BI420" s="46">
        <v>0</v>
      </c>
      <c r="BJ420" s="45">
        <v>0</v>
      </c>
      <c r="BK420" s="46">
        <v>0</v>
      </c>
      <c r="BL420" s="45">
        <v>13</v>
      </c>
      <c r="BM420" s="46">
        <v>100</v>
      </c>
      <c r="BN420" s="45">
        <v>13</v>
      </c>
    </row>
    <row r="421" spans="1:66" ht="15">
      <c r="A421" s="61" t="s">
        <v>423</v>
      </c>
      <c r="B421" s="61" t="s">
        <v>423</v>
      </c>
      <c r="C421" s="62" t="s">
        <v>4695</v>
      </c>
      <c r="D421" s="63">
        <v>10</v>
      </c>
      <c r="E421" s="62"/>
      <c r="F421" s="65">
        <v>15</v>
      </c>
      <c r="G421" s="62"/>
      <c r="H421" s="66"/>
      <c r="I421" s="67"/>
      <c r="J421" s="67"/>
      <c r="K421" s="31" t="s">
        <v>65</v>
      </c>
      <c r="L421" s="68">
        <v>421</v>
      </c>
      <c r="M421" s="68"/>
      <c r="N421" s="69"/>
      <c r="O421" s="76" t="s">
        <v>219</v>
      </c>
      <c r="P421" s="78">
        <v>44816.95899305555</v>
      </c>
      <c r="Q421" s="76" t="s">
        <v>759</v>
      </c>
      <c r="R421" s="79" t="str">
        <f>HYPERLINK("https://www.youtube.com/watch?v=uHIVevq290k&amp;feature=youtu.be")</f>
        <v>https://www.youtube.com/watch?v=uHIVevq290k&amp;feature=youtu.be</v>
      </c>
      <c r="S421" s="76" t="s">
        <v>790</v>
      </c>
      <c r="T421" s="81" t="s">
        <v>878</v>
      </c>
      <c r="U421" s="76"/>
      <c r="V421" s="79" t="str">
        <f>HYPERLINK("https://abs.twimg.com/sticky/default_profile_images/default_profile_normal.png")</f>
        <v>https://abs.twimg.com/sticky/default_profile_images/default_profile_normal.png</v>
      </c>
      <c r="W421" s="78">
        <v>44816.95899305555</v>
      </c>
      <c r="X421" s="84">
        <v>44816</v>
      </c>
      <c r="Y421" s="81" t="s">
        <v>1190</v>
      </c>
      <c r="Z421" s="79" t="str">
        <f>HYPERLINK("https://twitter.com/reinbow05061512/status/1569461089775001603")</f>
        <v>https://twitter.com/reinbow05061512/status/1569461089775001603</v>
      </c>
      <c r="AA421" s="76"/>
      <c r="AB421" s="76"/>
      <c r="AC421" s="81" t="s">
        <v>1527</v>
      </c>
      <c r="AD421" s="76"/>
      <c r="AE421" s="76" t="b">
        <v>0</v>
      </c>
      <c r="AF421" s="76">
        <v>0</v>
      </c>
      <c r="AG421" s="81" t="s">
        <v>1674</v>
      </c>
      <c r="AH421" s="76" t="b">
        <v>0</v>
      </c>
      <c r="AI421" s="76" t="s">
        <v>1772</v>
      </c>
      <c r="AJ421" s="76"/>
      <c r="AK421" s="81" t="s">
        <v>1674</v>
      </c>
      <c r="AL421" s="76" t="b">
        <v>0</v>
      </c>
      <c r="AM421" s="76">
        <v>0</v>
      </c>
      <c r="AN421" s="81" t="s">
        <v>1674</v>
      </c>
      <c r="AO421" s="81" t="s">
        <v>1811</v>
      </c>
      <c r="AP421" s="76" t="b">
        <v>0</v>
      </c>
      <c r="AQ421" s="81" t="s">
        <v>1527</v>
      </c>
      <c r="AR421" s="76" t="s">
        <v>219</v>
      </c>
      <c r="AS421" s="76">
        <v>0</v>
      </c>
      <c r="AT421" s="76">
        <v>0</v>
      </c>
      <c r="AU421" s="76"/>
      <c r="AV421" s="76"/>
      <c r="AW421" s="76"/>
      <c r="AX421" s="76"/>
      <c r="AY421" s="76"/>
      <c r="AZ421" s="76"/>
      <c r="BA421" s="76"/>
      <c r="BB421" s="76"/>
      <c r="BC421">
        <v>43</v>
      </c>
      <c r="BD421" s="75" t="str">
        <f>REPLACE(INDEX(GroupVertices[Group],MATCH(Edges[[#This Row],[Vertex 1]],GroupVertices[Vertex],0)),1,1,"")</f>
        <v>2</v>
      </c>
      <c r="BE421" s="75" t="str">
        <f>REPLACE(INDEX(GroupVertices[Group],MATCH(Edges[[#This Row],[Vertex 2]],GroupVertices[Vertex],0)),1,1,"")</f>
        <v>2</v>
      </c>
      <c r="BF421" s="45">
        <v>0</v>
      </c>
      <c r="BG421" s="46">
        <v>0</v>
      </c>
      <c r="BH421" s="45">
        <v>0</v>
      </c>
      <c r="BI421" s="46">
        <v>0</v>
      </c>
      <c r="BJ421" s="45">
        <v>0</v>
      </c>
      <c r="BK421" s="46">
        <v>0</v>
      </c>
      <c r="BL421" s="45">
        <v>16</v>
      </c>
      <c r="BM421" s="46">
        <v>100</v>
      </c>
      <c r="BN421" s="45">
        <v>16</v>
      </c>
    </row>
    <row r="422" spans="1:66" ht="15">
      <c r="A422" s="61" t="s">
        <v>423</v>
      </c>
      <c r="B422" s="61" t="s">
        <v>423</v>
      </c>
      <c r="C422" s="62" t="s">
        <v>4695</v>
      </c>
      <c r="D422" s="63">
        <v>10</v>
      </c>
      <c r="E422" s="62"/>
      <c r="F422" s="65">
        <v>15</v>
      </c>
      <c r="G422" s="62"/>
      <c r="H422" s="66"/>
      <c r="I422" s="67"/>
      <c r="J422" s="67"/>
      <c r="K422" s="31" t="s">
        <v>65</v>
      </c>
      <c r="L422" s="68">
        <v>422</v>
      </c>
      <c r="M422" s="68"/>
      <c r="N422" s="69"/>
      <c r="O422" s="76" t="s">
        <v>219</v>
      </c>
      <c r="P422" s="78">
        <v>44816.959085648145</v>
      </c>
      <c r="Q422" s="76" t="s">
        <v>758</v>
      </c>
      <c r="R422" s="79" t="str">
        <f>HYPERLINK("https://ameblo.jp/historical-gay/entry-10222227037.html")</f>
        <v>https://ameblo.jp/historical-gay/entry-10222227037.html</v>
      </c>
      <c r="S422" s="76" t="s">
        <v>791</v>
      </c>
      <c r="T422" s="81" t="s">
        <v>877</v>
      </c>
      <c r="U422" s="76"/>
      <c r="V422" s="79" t="str">
        <f>HYPERLINK("https://abs.twimg.com/sticky/default_profile_images/default_profile_normal.png")</f>
        <v>https://abs.twimg.com/sticky/default_profile_images/default_profile_normal.png</v>
      </c>
      <c r="W422" s="78">
        <v>44816.959085648145</v>
      </c>
      <c r="X422" s="84">
        <v>44816</v>
      </c>
      <c r="Y422" s="81" t="s">
        <v>1191</v>
      </c>
      <c r="Z422" s="79" t="str">
        <f>HYPERLINK("https://twitter.com/reinbow05061512/status/1569461124160000000")</f>
        <v>https://twitter.com/reinbow05061512/status/1569461124160000000</v>
      </c>
      <c r="AA422" s="76"/>
      <c r="AB422" s="76"/>
      <c r="AC422" s="81" t="s">
        <v>1528</v>
      </c>
      <c r="AD422" s="76"/>
      <c r="AE422" s="76" t="b">
        <v>0</v>
      </c>
      <c r="AF422" s="76">
        <v>0</v>
      </c>
      <c r="AG422" s="81" t="s">
        <v>1674</v>
      </c>
      <c r="AH422" s="76" t="b">
        <v>0</v>
      </c>
      <c r="AI422" s="76" t="s">
        <v>1773</v>
      </c>
      <c r="AJ422" s="76"/>
      <c r="AK422" s="81" t="s">
        <v>1674</v>
      </c>
      <c r="AL422" s="76" t="b">
        <v>0</v>
      </c>
      <c r="AM422" s="76">
        <v>0</v>
      </c>
      <c r="AN422" s="81" t="s">
        <v>1674</v>
      </c>
      <c r="AO422" s="81" t="s">
        <v>1811</v>
      </c>
      <c r="AP422" s="76" t="b">
        <v>0</v>
      </c>
      <c r="AQ422" s="81" t="s">
        <v>1528</v>
      </c>
      <c r="AR422" s="76" t="s">
        <v>219</v>
      </c>
      <c r="AS422" s="76">
        <v>0</v>
      </c>
      <c r="AT422" s="76">
        <v>0</v>
      </c>
      <c r="AU422" s="76"/>
      <c r="AV422" s="76"/>
      <c r="AW422" s="76"/>
      <c r="AX422" s="76"/>
      <c r="AY422" s="76"/>
      <c r="AZ422" s="76"/>
      <c r="BA422" s="76"/>
      <c r="BB422" s="76"/>
      <c r="BC422">
        <v>43</v>
      </c>
      <c r="BD422" s="75" t="str">
        <f>REPLACE(INDEX(GroupVertices[Group],MATCH(Edges[[#This Row],[Vertex 1]],GroupVertices[Vertex],0)),1,1,"")</f>
        <v>2</v>
      </c>
      <c r="BE422" s="75" t="str">
        <f>REPLACE(INDEX(GroupVertices[Group],MATCH(Edges[[#This Row],[Vertex 2]],GroupVertices[Vertex],0)),1,1,"")</f>
        <v>2</v>
      </c>
      <c r="BF422" s="45">
        <v>0</v>
      </c>
      <c r="BG422" s="46">
        <v>0</v>
      </c>
      <c r="BH422" s="45">
        <v>0</v>
      </c>
      <c r="BI422" s="46">
        <v>0</v>
      </c>
      <c r="BJ422" s="45">
        <v>0</v>
      </c>
      <c r="BK422" s="46">
        <v>0</v>
      </c>
      <c r="BL422" s="45">
        <v>13</v>
      </c>
      <c r="BM422" s="46">
        <v>100</v>
      </c>
      <c r="BN422" s="45">
        <v>13</v>
      </c>
    </row>
    <row r="423" spans="1:66" ht="15">
      <c r="A423" s="61" t="s">
        <v>423</v>
      </c>
      <c r="B423" s="61" t="s">
        <v>423</v>
      </c>
      <c r="C423" s="62" t="s">
        <v>4695</v>
      </c>
      <c r="D423" s="63">
        <v>10</v>
      </c>
      <c r="E423" s="62"/>
      <c r="F423" s="65">
        <v>15</v>
      </c>
      <c r="G423" s="62"/>
      <c r="H423" s="66"/>
      <c r="I423" s="67"/>
      <c r="J423" s="67"/>
      <c r="K423" s="31" t="s">
        <v>65</v>
      </c>
      <c r="L423" s="68">
        <v>423</v>
      </c>
      <c r="M423" s="68"/>
      <c r="N423" s="69"/>
      <c r="O423" s="76" t="s">
        <v>219</v>
      </c>
      <c r="P423" s="78">
        <v>44817.625763888886</v>
      </c>
      <c r="Q423" s="76" t="s">
        <v>760</v>
      </c>
      <c r="R423" s="79" t="str">
        <f>HYPERLINK("https://www.youtube.com/watch?v=V75pj41VFGk")</f>
        <v>https://www.youtube.com/watch?v=V75pj41VFGk</v>
      </c>
      <c r="S423" s="76" t="s">
        <v>790</v>
      </c>
      <c r="T423" s="81" t="s">
        <v>875</v>
      </c>
      <c r="U423" s="76"/>
      <c r="V423" s="79" t="str">
        <f>HYPERLINK("https://abs.twimg.com/sticky/default_profile_images/default_profile_normal.png")</f>
        <v>https://abs.twimg.com/sticky/default_profile_images/default_profile_normal.png</v>
      </c>
      <c r="W423" s="78">
        <v>44817.625763888886</v>
      </c>
      <c r="X423" s="84">
        <v>44817</v>
      </c>
      <c r="Y423" s="81" t="s">
        <v>1192</v>
      </c>
      <c r="Z423" s="79" t="str">
        <f>HYPERLINK("https://twitter.com/reinbow05061512/status/1569702720818548736")</f>
        <v>https://twitter.com/reinbow05061512/status/1569702720818548736</v>
      </c>
      <c r="AA423" s="76"/>
      <c r="AB423" s="76"/>
      <c r="AC423" s="81" t="s">
        <v>1529</v>
      </c>
      <c r="AD423" s="76"/>
      <c r="AE423" s="76" t="b">
        <v>0</v>
      </c>
      <c r="AF423" s="76">
        <v>0</v>
      </c>
      <c r="AG423" s="81" t="s">
        <v>1674</v>
      </c>
      <c r="AH423" s="76" t="b">
        <v>0</v>
      </c>
      <c r="AI423" s="76" t="s">
        <v>1772</v>
      </c>
      <c r="AJ423" s="76"/>
      <c r="AK423" s="81" t="s">
        <v>1674</v>
      </c>
      <c r="AL423" s="76" t="b">
        <v>0</v>
      </c>
      <c r="AM423" s="76">
        <v>0</v>
      </c>
      <c r="AN423" s="81" t="s">
        <v>1674</v>
      </c>
      <c r="AO423" s="81" t="s">
        <v>1811</v>
      </c>
      <c r="AP423" s="76" t="b">
        <v>0</v>
      </c>
      <c r="AQ423" s="81" t="s">
        <v>1529</v>
      </c>
      <c r="AR423" s="76" t="s">
        <v>219</v>
      </c>
      <c r="AS423" s="76">
        <v>0</v>
      </c>
      <c r="AT423" s="76">
        <v>0</v>
      </c>
      <c r="AU423" s="76"/>
      <c r="AV423" s="76"/>
      <c r="AW423" s="76"/>
      <c r="AX423" s="76"/>
      <c r="AY423" s="76"/>
      <c r="AZ423" s="76"/>
      <c r="BA423" s="76"/>
      <c r="BB423" s="76"/>
      <c r="BC423">
        <v>43</v>
      </c>
      <c r="BD423" s="75" t="str">
        <f>REPLACE(INDEX(GroupVertices[Group],MATCH(Edges[[#This Row],[Vertex 1]],GroupVertices[Vertex],0)),1,1,"")</f>
        <v>2</v>
      </c>
      <c r="BE423" s="75" t="str">
        <f>REPLACE(INDEX(GroupVertices[Group],MATCH(Edges[[#This Row],[Vertex 2]],GroupVertices[Vertex],0)),1,1,"")</f>
        <v>2</v>
      </c>
      <c r="BF423" s="45">
        <v>0</v>
      </c>
      <c r="BG423" s="46">
        <v>0</v>
      </c>
      <c r="BH423" s="45">
        <v>0</v>
      </c>
      <c r="BI423" s="46">
        <v>0</v>
      </c>
      <c r="BJ423" s="45">
        <v>0</v>
      </c>
      <c r="BK423" s="46">
        <v>0</v>
      </c>
      <c r="BL423" s="45">
        <v>19</v>
      </c>
      <c r="BM423" s="46">
        <v>100</v>
      </c>
      <c r="BN423" s="45">
        <v>19</v>
      </c>
    </row>
    <row r="424" spans="1:66" ht="15">
      <c r="A424" s="61" t="s">
        <v>423</v>
      </c>
      <c r="B424" s="61" t="s">
        <v>423</v>
      </c>
      <c r="C424" s="62" t="s">
        <v>4695</v>
      </c>
      <c r="D424" s="63">
        <v>10</v>
      </c>
      <c r="E424" s="62"/>
      <c r="F424" s="65">
        <v>15</v>
      </c>
      <c r="G424" s="62"/>
      <c r="H424" s="66"/>
      <c r="I424" s="67"/>
      <c r="J424" s="67"/>
      <c r="K424" s="31" t="s">
        <v>65</v>
      </c>
      <c r="L424" s="68">
        <v>424</v>
      </c>
      <c r="M424" s="68"/>
      <c r="N424" s="69"/>
      <c r="O424" s="76" t="s">
        <v>219</v>
      </c>
      <c r="P424" s="78">
        <v>44817.626122685186</v>
      </c>
      <c r="Q424" s="76" t="s">
        <v>756</v>
      </c>
      <c r="R424" s="79" t="str">
        <f>HYPERLINK("https://www.youtube.com/watch?v=ejG32fwnsV4&amp;feature=youtu.be")</f>
        <v>https://www.youtube.com/watch?v=ejG32fwnsV4&amp;feature=youtu.be</v>
      </c>
      <c r="S424" s="76" t="s">
        <v>790</v>
      </c>
      <c r="T424" s="81" t="s">
        <v>875</v>
      </c>
      <c r="U424" s="76"/>
      <c r="V424" s="79" t="str">
        <f>HYPERLINK("https://abs.twimg.com/sticky/default_profile_images/default_profile_normal.png")</f>
        <v>https://abs.twimg.com/sticky/default_profile_images/default_profile_normal.png</v>
      </c>
      <c r="W424" s="78">
        <v>44817.626122685186</v>
      </c>
      <c r="X424" s="84">
        <v>44817</v>
      </c>
      <c r="Y424" s="81" t="s">
        <v>1193</v>
      </c>
      <c r="Z424" s="79" t="str">
        <f>HYPERLINK("https://twitter.com/reinbow05061512/status/1569702848337788928")</f>
        <v>https://twitter.com/reinbow05061512/status/1569702848337788928</v>
      </c>
      <c r="AA424" s="76"/>
      <c r="AB424" s="76"/>
      <c r="AC424" s="81" t="s">
        <v>1530</v>
      </c>
      <c r="AD424" s="76"/>
      <c r="AE424" s="76" t="b">
        <v>0</v>
      </c>
      <c r="AF424" s="76">
        <v>0</v>
      </c>
      <c r="AG424" s="81" t="s">
        <v>1674</v>
      </c>
      <c r="AH424" s="76" t="b">
        <v>0</v>
      </c>
      <c r="AI424" s="76" t="s">
        <v>1772</v>
      </c>
      <c r="AJ424" s="76"/>
      <c r="AK424" s="81" t="s">
        <v>1674</v>
      </c>
      <c r="AL424" s="76" t="b">
        <v>0</v>
      </c>
      <c r="AM424" s="76">
        <v>0</v>
      </c>
      <c r="AN424" s="81" t="s">
        <v>1674</v>
      </c>
      <c r="AO424" s="81" t="s">
        <v>1811</v>
      </c>
      <c r="AP424" s="76" t="b">
        <v>0</v>
      </c>
      <c r="AQ424" s="81" t="s">
        <v>1530</v>
      </c>
      <c r="AR424" s="76" t="s">
        <v>219</v>
      </c>
      <c r="AS424" s="76">
        <v>0</v>
      </c>
      <c r="AT424" s="76">
        <v>0</v>
      </c>
      <c r="AU424" s="76"/>
      <c r="AV424" s="76"/>
      <c r="AW424" s="76"/>
      <c r="AX424" s="76"/>
      <c r="AY424" s="76"/>
      <c r="AZ424" s="76"/>
      <c r="BA424" s="76"/>
      <c r="BB424" s="76"/>
      <c r="BC424">
        <v>43</v>
      </c>
      <c r="BD424" s="75" t="str">
        <f>REPLACE(INDEX(GroupVertices[Group],MATCH(Edges[[#This Row],[Vertex 1]],GroupVertices[Vertex],0)),1,1,"")</f>
        <v>2</v>
      </c>
      <c r="BE424" s="75" t="str">
        <f>REPLACE(INDEX(GroupVertices[Group],MATCH(Edges[[#This Row],[Vertex 2]],GroupVertices[Vertex],0)),1,1,"")</f>
        <v>2</v>
      </c>
      <c r="BF424" s="45">
        <v>1</v>
      </c>
      <c r="BG424" s="46">
        <v>7.142857142857143</v>
      </c>
      <c r="BH424" s="45">
        <v>0</v>
      </c>
      <c r="BI424" s="46">
        <v>0</v>
      </c>
      <c r="BJ424" s="45">
        <v>0</v>
      </c>
      <c r="BK424" s="46">
        <v>0</v>
      </c>
      <c r="BL424" s="45">
        <v>13</v>
      </c>
      <c r="BM424" s="46">
        <v>92.85714285714286</v>
      </c>
      <c r="BN424" s="45">
        <v>14</v>
      </c>
    </row>
    <row r="425" spans="1:66" ht="15">
      <c r="A425" s="61" t="s">
        <v>423</v>
      </c>
      <c r="B425" s="61" t="s">
        <v>423</v>
      </c>
      <c r="C425" s="62" t="s">
        <v>4695</v>
      </c>
      <c r="D425" s="63">
        <v>10</v>
      </c>
      <c r="E425" s="62"/>
      <c r="F425" s="65">
        <v>15</v>
      </c>
      <c r="G425" s="62"/>
      <c r="H425" s="66"/>
      <c r="I425" s="67"/>
      <c r="J425" s="67"/>
      <c r="K425" s="31" t="s">
        <v>65</v>
      </c>
      <c r="L425" s="68">
        <v>425</v>
      </c>
      <c r="M425" s="68"/>
      <c r="N425" s="69"/>
      <c r="O425" s="76" t="s">
        <v>219</v>
      </c>
      <c r="P425" s="78">
        <v>44817.77125</v>
      </c>
      <c r="Q425" s="76" t="s">
        <v>757</v>
      </c>
      <c r="R425" s="79" t="str">
        <f>HYPERLINK("https://www.youtube.com/watch?v=PMOHqsUyk7Y&amp;feature=youtu.be")</f>
        <v>https://www.youtube.com/watch?v=PMOHqsUyk7Y&amp;feature=youtu.be</v>
      </c>
      <c r="S425" s="76" t="s">
        <v>790</v>
      </c>
      <c r="T425" s="81" t="s">
        <v>876</v>
      </c>
      <c r="U425" s="76"/>
      <c r="V425" s="79" t="str">
        <f>HYPERLINK("https://abs.twimg.com/sticky/default_profile_images/default_profile_normal.png")</f>
        <v>https://abs.twimg.com/sticky/default_profile_images/default_profile_normal.png</v>
      </c>
      <c r="W425" s="78">
        <v>44817.77125</v>
      </c>
      <c r="X425" s="84">
        <v>44817</v>
      </c>
      <c r="Y425" s="81" t="s">
        <v>1194</v>
      </c>
      <c r="Z425" s="79" t="str">
        <f>HYPERLINK("https://twitter.com/reinbow05061512/status/1569755442212896773")</f>
        <v>https://twitter.com/reinbow05061512/status/1569755442212896773</v>
      </c>
      <c r="AA425" s="76"/>
      <c r="AB425" s="76"/>
      <c r="AC425" s="81" t="s">
        <v>1531</v>
      </c>
      <c r="AD425" s="76"/>
      <c r="AE425" s="76" t="b">
        <v>0</v>
      </c>
      <c r="AF425" s="76">
        <v>0</v>
      </c>
      <c r="AG425" s="81" t="s">
        <v>1674</v>
      </c>
      <c r="AH425" s="76" t="b">
        <v>0</v>
      </c>
      <c r="AI425" s="76" t="s">
        <v>1773</v>
      </c>
      <c r="AJ425" s="76"/>
      <c r="AK425" s="81" t="s">
        <v>1674</v>
      </c>
      <c r="AL425" s="76" t="b">
        <v>0</v>
      </c>
      <c r="AM425" s="76">
        <v>0</v>
      </c>
      <c r="AN425" s="81" t="s">
        <v>1674</v>
      </c>
      <c r="AO425" s="81" t="s">
        <v>1811</v>
      </c>
      <c r="AP425" s="76" t="b">
        <v>0</v>
      </c>
      <c r="AQ425" s="81" t="s">
        <v>1531</v>
      </c>
      <c r="AR425" s="76" t="s">
        <v>219</v>
      </c>
      <c r="AS425" s="76">
        <v>0</v>
      </c>
      <c r="AT425" s="76">
        <v>0</v>
      </c>
      <c r="AU425" s="76"/>
      <c r="AV425" s="76"/>
      <c r="AW425" s="76"/>
      <c r="AX425" s="76"/>
      <c r="AY425" s="76"/>
      <c r="AZ425" s="76"/>
      <c r="BA425" s="76"/>
      <c r="BB425" s="76"/>
      <c r="BC425">
        <v>43</v>
      </c>
      <c r="BD425" s="75" t="str">
        <f>REPLACE(INDEX(GroupVertices[Group],MATCH(Edges[[#This Row],[Vertex 1]],GroupVertices[Vertex],0)),1,1,"")</f>
        <v>2</v>
      </c>
      <c r="BE425" s="75" t="str">
        <f>REPLACE(INDEX(GroupVertices[Group],MATCH(Edges[[#This Row],[Vertex 2]],GroupVertices[Vertex],0)),1,1,"")</f>
        <v>2</v>
      </c>
      <c r="BF425" s="45">
        <v>0</v>
      </c>
      <c r="BG425" s="46">
        <v>0</v>
      </c>
      <c r="BH425" s="45">
        <v>0</v>
      </c>
      <c r="BI425" s="46">
        <v>0</v>
      </c>
      <c r="BJ425" s="45">
        <v>0</v>
      </c>
      <c r="BK425" s="46">
        <v>0</v>
      </c>
      <c r="BL425" s="45">
        <v>13</v>
      </c>
      <c r="BM425" s="46">
        <v>100</v>
      </c>
      <c r="BN425" s="45">
        <v>13</v>
      </c>
    </row>
    <row r="426" spans="1:66" ht="15">
      <c r="A426" s="61" t="s">
        <v>423</v>
      </c>
      <c r="B426" s="61" t="s">
        <v>423</v>
      </c>
      <c r="C426" s="62" t="s">
        <v>4695</v>
      </c>
      <c r="D426" s="63">
        <v>10</v>
      </c>
      <c r="E426" s="62"/>
      <c r="F426" s="65">
        <v>15</v>
      </c>
      <c r="G426" s="62"/>
      <c r="H426" s="66"/>
      <c r="I426" s="67"/>
      <c r="J426" s="67"/>
      <c r="K426" s="31" t="s">
        <v>65</v>
      </c>
      <c r="L426" s="68">
        <v>426</v>
      </c>
      <c r="M426" s="68"/>
      <c r="N426" s="69"/>
      <c r="O426" s="76" t="s">
        <v>219</v>
      </c>
      <c r="P426" s="78">
        <v>44817.9590625</v>
      </c>
      <c r="Q426" s="76" t="s">
        <v>759</v>
      </c>
      <c r="R426" s="79" t="str">
        <f>HYPERLINK("https://www.youtube.com/watch?v=uHIVevq290k&amp;feature=youtu.be")</f>
        <v>https://www.youtube.com/watch?v=uHIVevq290k&amp;feature=youtu.be</v>
      </c>
      <c r="S426" s="76" t="s">
        <v>790</v>
      </c>
      <c r="T426" s="81" t="s">
        <v>878</v>
      </c>
      <c r="U426" s="76"/>
      <c r="V426" s="79" t="str">
        <f>HYPERLINK("https://abs.twimg.com/sticky/default_profile_images/default_profile_normal.png")</f>
        <v>https://abs.twimg.com/sticky/default_profile_images/default_profile_normal.png</v>
      </c>
      <c r="W426" s="78">
        <v>44817.9590625</v>
      </c>
      <c r="X426" s="84">
        <v>44817</v>
      </c>
      <c r="Y426" s="81" t="s">
        <v>1195</v>
      </c>
      <c r="Z426" s="79" t="str">
        <f>HYPERLINK("https://twitter.com/reinbow05061512/status/1569823503263612928")</f>
        <v>https://twitter.com/reinbow05061512/status/1569823503263612928</v>
      </c>
      <c r="AA426" s="76"/>
      <c r="AB426" s="76"/>
      <c r="AC426" s="81" t="s">
        <v>1532</v>
      </c>
      <c r="AD426" s="76"/>
      <c r="AE426" s="76" t="b">
        <v>0</v>
      </c>
      <c r="AF426" s="76">
        <v>0</v>
      </c>
      <c r="AG426" s="81" t="s">
        <v>1674</v>
      </c>
      <c r="AH426" s="76" t="b">
        <v>0</v>
      </c>
      <c r="AI426" s="76" t="s">
        <v>1772</v>
      </c>
      <c r="AJ426" s="76"/>
      <c r="AK426" s="81" t="s">
        <v>1674</v>
      </c>
      <c r="AL426" s="76" t="b">
        <v>0</v>
      </c>
      <c r="AM426" s="76">
        <v>0</v>
      </c>
      <c r="AN426" s="81" t="s">
        <v>1674</v>
      </c>
      <c r="AO426" s="81" t="s">
        <v>1811</v>
      </c>
      <c r="AP426" s="76" t="b">
        <v>0</v>
      </c>
      <c r="AQ426" s="81" t="s">
        <v>1532</v>
      </c>
      <c r="AR426" s="76" t="s">
        <v>219</v>
      </c>
      <c r="AS426" s="76">
        <v>0</v>
      </c>
      <c r="AT426" s="76">
        <v>0</v>
      </c>
      <c r="AU426" s="76"/>
      <c r="AV426" s="76"/>
      <c r="AW426" s="76"/>
      <c r="AX426" s="76"/>
      <c r="AY426" s="76"/>
      <c r="AZ426" s="76"/>
      <c r="BA426" s="76"/>
      <c r="BB426" s="76"/>
      <c r="BC426">
        <v>43</v>
      </c>
      <c r="BD426" s="75" t="str">
        <f>REPLACE(INDEX(GroupVertices[Group],MATCH(Edges[[#This Row],[Vertex 1]],GroupVertices[Vertex],0)),1,1,"")</f>
        <v>2</v>
      </c>
      <c r="BE426" s="75" t="str">
        <f>REPLACE(INDEX(GroupVertices[Group],MATCH(Edges[[#This Row],[Vertex 2]],GroupVertices[Vertex],0)),1,1,"")</f>
        <v>2</v>
      </c>
      <c r="BF426" s="45">
        <v>0</v>
      </c>
      <c r="BG426" s="46">
        <v>0</v>
      </c>
      <c r="BH426" s="45">
        <v>0</v>
      </c>
      <c r="BI426" s="46">
        <v>0</v>
      </c>
      <c r="BJ426" s="45">
        <v>0</v>
      </c>
      <c r="BK426" s="46">
        <v>0</v>
      </c>
      <c r="BL426" s="45">
        <v>16</v>
      </c>
      <c r="BM426" s="46">
        <v>100</v>
      </c>
      <c r="BN426" s="45">
        <v>16</v>
      </c>
    </row>
    <row r="427" spans="1:66" ht="15">
      <c r="A427" s="61" t="s">
        <v>423</v>
      </c>
      <c r="B427" s="61" t="s">
        <v>423</v>
      </c>
      <c r="C427" s="62" t="s">
        <v>4695</v>
      </c>
      <c r="D427" s="63">
        <v>10</v>
      </c>
      <c r="E427" s="62"/>
      <c r="F427" s="65">
        <v>15</v>
      </c>
      <c r="G427" s="62"/>
      <c r="H427" s="66"/>
      <c r="I427" s="67"/>
      <c r="J427" s="67"/>
      <c r="K427" s="31" t="s">
        <v>65</v>
      </c>
      <c r="L427" s="68">
        <v>427</v>
      </c>
      <c r="M427" s="68"/>
      <c r="N427" s="69"/>
      <c r="O427" s="76" t="s">
        <v>219</v>
      </c>
      <c r="P427" s="78">
        <v>44817.959189814814</v>
      </c>
      <c r="Q427" s="76" t="s">
        <v>758</v>
      </c>
      <c r="R427" s="79" t="str">
        <f>HYPERLINK("https://ameblo.jp/historical-gay/entry-10222227037.html")</f>
        <v>https://ameblo.jp/historical-gay/entry-10222227037.html</v>
      </c>
      <c r="S427" s="76" t="s">
        <v>791</v>
      </c>
      <c r="T427" s="81" t="s">
        <v>877</v>
      </c>
      <c r="U427" s="76"/>
      <c r="V427" s="79" t="str">
        <f>HYPERLINK("https://abs.twimg.com/sticky/default_profile_images/default_profile_normal.png")</f>
        <v>https://abs.twimg.com/sticky/default_profile_images/default_profile_normal.png</v>
      </c>
      <c r="W427" s="78">
        <v>44817.959189814814</v>
      </c>
      <c r="X427" s="84">
        <v>44817</v>
      </c>
      <c r="Y427" s="81" t="s">
        <v>1177</v>
      </c>
      <c r="Z427" s="79" t="str">
        <f>HYPERLINK("https://twitter.com/reinbow05061512/status/1569823547521900545")</f>
        <v>https://twitter.com/reinbow05061512/status/1569823547521900545</v>
      </c>
      <c r="AA427" s="76"/>
      <c r="AB427" s="76"/>
      <c r="AC427" s="81" t="s">
        <v>1533</v>
      </c>
      <c r="AD427" s="76"/>
      <c r="AE427" s="76" t="b">
        <v>0</v>
      </c>
      <c r="AF427" s="76">
        <v>0</v>
      </c>
      <c r="AG427" s="81" t="s">
        <v>1674</v>
      </c>
      <c r="AH427" s="76" t="b">
        <v>0</v>
      </c>
      <c r="AI427" s="76" t="s">
        <v>1773</v>
      </c>
      <c r="AJ427" s="76"/>
      <c r="AK427" s="81" t="s">
        <v>1674</v>
      </c>
      <c r="AL427" s="76" t="b">
        <v>0</v>
      </c>
      <c r="AM427" s="76">
        <v>0</v>
      </c>
      <c r="AN427" s="81" t="s">
        <v>1674</v>
      </c>
      <c r="AO427" s="81" t="s">
        <v>1811</v>
      </c>
      <c r="AP427" s="76" t="b">
        <v>0</v>
      </c>
      <c r="AQ427" s="81" t="s">
        <v>1533</v>
      </c>
      <c r="AR427" s="76" t="s">
        <v>219</v>
      </c>
      <c r="AS427" s="76">
        <v>0</v>
      </c>
      <c r="AT427" s="76">
        <v>0</v>
      </c>
      <c r="AU427" s="76"/>
      <c r="AV427" s="76"/>
      <c r="AW427" s="76"/>
      <c r="AX427" s="76"/>
      <c r="AY427" s="76"/>
      <c r="AZ427" s="76"/>
      <c r="BA427" s="76"/>
      <c r="BB427" s="76"/>
      <c r="BC427">
        <v>43</v>
      </c>
      <c r="BD427" s="75" t="str">
        <f>REPLACE(INDEX(GroupVertices[Group],MATCH(Edges[[#This Row],[Vertex 1]],GroupVertices[Vertex],0)),1,1,"")</f>
        <v>2</v>
      </c>
      <c r="BE427" s="75" t="str">
        <f>REPLACE(INDEX(GroupVertices[Group],MATCH(Edges[[#This Row],[Vertex 2]],GroupVertices[Vertex],0)),1,1,"")</f>
        <v>2</v>
      </c>
      <c r="BF427" s="45">
        <v>0</v>
      </c>
      <c r="BG427" s="46">
        <v>0</v>
      </c>
      <c r="BH427" s="45">
        <v>0</v>
      </c>
      <c r="BI427" s="46">
        <v>0</v>
      </c>
      <c r="BJ427" s="45">
        <v>0</v>
      </c>
      <c r="BK427" s="46">
        <v>0</v>
      </c>
      <c r="BL427" s="45">
        <v>13</v>
      </c>
      <c r="BM427" s="46">
        <v>100</v>
      </c>
      <c r="BN427" s="45">
        <v>13</v>
      </c>
    </row>
    <row r="428" spans="1:66" ht="15">
      <c r="A428" s="61" t="s">
        <v>423</v>
      </c>
      <c r="B428" s="61" t="s">
        <v>423</v>
      </c>
      <c r="C428" s="62" t="s">
        <v>4695</v>
      </c>
      <c r="D428" s="63">
        <v>10</v>
      </c>
      <c r="E428" s="62"/>
      <c r="F428" s="65">
        <v>15</v>
      </c>
      <c r="G428" s="62"/>
      <c r="H428" s="66"/>
      <c r="I428" s="67"/>
      <c r="J428" s="67"/>
      <c r="K428" s="31" t="s">
        <v>65</v>
      </c>
      <c r="L428" s="68">
        <v>428</v>
      </c>
      <c r="M428" s="68"/>
      <c r="N428" s="69"/>
      <c r="O428" s="76" t="s">
        <v>219</v>
      </c>
      <c r="P428" s="78">
        <v>44818.62552083333</v>
      </c>
      <c r="Q428" s="76" t="s">
        <v>755</v>
      </c>
      <c r="R428" s="79" t="str">
        <f>HYPERLINK("https://www.youtube.com/watch?v=V75pj41VFGk")</f>
        <v>https://www.youtube.com/watch?v=V75pj41VFGk</v>
      </c>
      <c r="S428" s="76" t="s">
        <v>790</v>
      </c>
      <c r="T428" s="81" t="s">
        <v>875</v>
      </c>
      <c r="U428" s="76"/>
      <c r="V428" s="79" t="str">
        <f>HYPERLINK("https://abs.twimg.com/sticky/default_profile_images/default_profile_normal.png")</f>
        <v>https://abs.twimg.com/sticky/default_profile_images/default_profile_normal.png</v>
      </c>
      <c r="W428" s="78">
        <v>44818.62552083333</v>
      </c>
      <c r="X428" s="84">
        <v>44818</v>
      </c>
      <c r="Y428" s="81" t="s">
        <v>1196</v>
      </c>
      <c r="Z428" s="79" t="str">
        <f>HYPERLINK("https://twitter.com/reinbow05061512/status/1570065019953364993")</f>
        <v>https://twitter.com/reinbow05061512/status/1570065019953364993</v>
      </c>
      <c r="AA428" s="76"/>
      <c r="AB428" s="76"/>
      <c r="AC428" s="81" t="s">
        <v>1534</v>
      </c>
      <c r="AD428" s="76"/>
      <c r="AE428" s="76" t="b">
        <v>0</v>
      </c>
      <c r="AF428" s="76">
        <v>0</v>
      </c>
      <c r="AG428" s="81" t="s">
        <v>1674</v>
      </c>
      <c r="AH428" s="76" t="b">
        <v>0</v>
      </c>
      <c r="AI428" s="76" t="s">
        <v>1772</v>
      </c>
      <c r="AJ428" s="76"/>
      <c r="AK428" s="81" t="s">
        <v>1674</v>
      </c>
      <c r="AL428" s="76" t="b">
        <v>0</v>
      </c>
      <c r="AM428" s="76">
        <v>0</v>
      </c>
      <c r="AN428" s="81" t="s">
        <v>1674</v>
      </c>
      <c r="AO428" s="81" t="s">
        <v>1811</v>
      </c>
      <c r="AP428" s="76" t="b">
        <v>0</v>
      </c>
      <c r="AQ428" s="81" t="s">
        <v>1534</v>
      </c>
      <c r="AR428" s="76" t="s">
        <v>219</v>
      </c>
      <c r="AS428" s="76">
        <v>0</v>
      </c>
      <c r="AT428" s="76">
        <v>0</v>
      </c>
      <c r="AU428" s="76"/>
      <c r="AV428" s="76"/>
      <c r="AW428" s="76"/>
      <c r="AX428" s="76"/>
      <c r="AY428" s="76"/>
      <c r="AZ428" s="76"/>
      <c r="BA428" s="76"/>
      <c r="BB428" s="76"/>
      <c r="BC428">
        <v>43</v>
      </c>
      <c r="BD428" s="75" t="str">
        <f>REPLACE(INDEX(GroupVertices[Group],MATCH(Edges[[#This Row],[Vertex 1]],GroupVertices[Vertex],0)),1,1,"")</f>
        <v>2</v>
      </c>
      <c r="BE428" s="75" t="str">
        <f>REPLACE(INDEX(GroupVertices[Group],MATCH(Edges[[#This Row],[Vertex 2]],GroupVertices[Vertex],0)),1,1,"")</f>
        <v>2</v>
      </c>
      <c r="BF428" s="45">
        <v>0</v>
      </c>
      <c r="BG428" s="46">
        <v>0</v>
      </c>
      <c r="BH428" s="45">
        <v>0</v>
      </c>
      <c r="BI428" s="46">
        <v>0</v>
      </c>
      <c r="BJ428" s="45">
        <v>0</v>
      </c>
      <c r="BK428" s="46">
        <v>0</v>
      </c>
      <c r="BL428" s="45">
        <v>19</v>
      </c>
      <c r="BM428" s="46">
        <v>100</v>
      </c>
      <c r="BN428" s="45">
        <v>19</v>
      </c>
    </row>
    <row r="429" spans="1:66" ht="15">
      <c r="A429" s="61" t="s">
        <v>423</v>
      </c>
      <c r="B429" s="61" t="s">
        <v>423</v>
      </c>
      <c r="C429" s="62" t="s">
        <v>4695</v>
      </c>
      <c r="D429" s="63">
        <v>10</v>
      </c>
      <c r="E429" s="62"/>
      <c r="F429" s="65">
        <v>15</v>
      </c>
      <c r="G429" s="62"/>
      <c r="H429" s="66"/>
      <c r="I429" s="67"/>
      <c r="J429" s="67"/>
      <c r="K429" s="31" t="s">
        <v>65</v>
      </c>
      <c r="L429" s="68">
        <v>429</v>
      </c>
      <c r="M429" s="68"/>
      <c r="N429" s="69"/>
      <c r="O429" s="76" t="s">
        <v>219</v>
      </c>
      <c r="P429" s="78">
        <v>44818.62578703704</v>
      </c>
      <c r="Q429" s="76" t="s">
        <v>756</v>
      </c>
      <c r="R429" s="79" t="str">
        <f>HYPERLINK("https://www.youtube.com/watch?v=ejG32fwnsV4&amp;feature=youtu.be")</f>
        <v>https://www.youtube.com/watch?v=ejG32fwnsV4&amp;feature=youtu.be</v>
      </c>
      <c r="S429" s="76" t="s">
        <v>790</v>
      </c>
      <c r="T429" s="81" t="s">
        <v>875</v>
      </c>
      <c r="U429" s="76"/>
      <c r="V429" s="79" t="str">
        <f>HYPERLINK("https://abs.twimg.com/sticky/default_profile_images/default_profile_normal.png")</f>
        <v>https://abs.twimg.com/sticky/default_profile_images/default_profile_normal.png</v>
      </c>
      <c r="W429" s="78">
        <v>44818.62578703704</v>
      </c>
      <c r="X429" s="84">
        <v>44818</v>
      </c>
      <c r="Y429" s="81" t="s">
        <v>1197</v>
      </c>
      <c r="Z429" s="79" t="str">
        <f>HYPERLINK("https://twitter.com/reinbow05061512/status/1570065113054330883")</f>
        <v>https://twitter.com/reinbow05061512/status/1570065113054330883</v>
      </c>
      <c r="AA429" s="76"/>
      <c r="AB429" s="76"/>
      <c r="AC429" s="81" t="s">
        <v>1535</v>
      </c>
      <c r="AD429" s="76"/>
      <c r="AE429" s="76" t="b">
        <v>0</v>
      </c>
      <c r="AF429" s="76">
        <v>0</v>
      </c>
      <c r="AG429" s="81" t="s">
        <v>1674</v>
      </c>
      <c r="AH429" s="76" t="b">
        <v>0</v>
      </c>
      <c r="AI429" s="76" t="s">
        <v>1772</v>
      </c>
      <c r="AJ429" s="76"/>
      <c r="AK429" s="81" t="s">
        <v>1674</v>
      </c>
      <c r="AL429" s="76" t="b">
        <v>0</v>
      </c>
      <c r="AM429" s="76">
        <v>0</v>
      </c>
      <c r="AN429" s="81" t="s">
        <v>1674</v>
      </c>
      <c r="AO429" s="81" t="s">
        <v>1811</v>
      </c>
      <c r="AP429" s="76" t="b">
        <v>0</v>
      </c>
      <c r="AQ429" s="81" t="s">
        <v>1535</v>
      </c>
      <c r="AR429" s="76" t="s">
        <v>219</v>
      </c>
      <c r="AS429" s="76">
        <v>0</v>
      </c>
      <c r="AT429" s="76">
        <v>0</v>
      </c>
      <c r="AU429" s="76"/>
      <c r="AV429" s="76"/>
      <c r="AW429" s="76"/>
      <c r="AX429" s="76"/>
      <c r="AY429" s="76"/>
      <c r="AZ429" s="76"/>
      <c r="BA429" s="76"/>
      <c r="BB429" s="76"/>
      <c r="BC429">
        <v>43</v>
      </c>
      <c r="BD429" s="75" t="str">
        <f>REPLACE(INDEX(GroupVertices[Group],MATCH(Edges[[#This Row],[Vertex 1]],GroupVertices[Vertex],0)),1,1,"")</f>
        <v>2</v>
      </c>
      <c r="BE429" s="75" t="str">
        <f>REPLACE(INDEX(GroupVertices[Group],MATCH(Edges[[#This Row],[Vertex 2]],GroupVertices[Vertex],0)),1,1,"")</f>
        <v>2</v>
      </c>
      <c r="BF429" s="45">
        <v>1</v>
      </c>
      <c r="BG429" s="46">
        <v>7.142857142857143</v>
      </c>
      <c r="BH429" s="45">
        <v>0</v>
      </c>
      <c r="BI429" s="46">
        <v>0</v>
      </c>
      <c r="BJ429" s="45">
        <v>0</v>
      </c>
      <c r="BK429" s="46">
        <v>0</v>
      </c>
      <c r="BL429" s="45">
        <v>13</v>
      </c>
      <c r="BM429" s="46">
        <v>92.85714285714286</v>
      </c>
      <c r="BN429" s="45">
        <v>14</v>
      </c>
    </row>
    <row r="430" spans="1:66" ht="15">
      <c r="A430" s="61" t="s">
        <v>423</v>
      </c>
      <c r="B430" s="61" t="s">
        <v>423</v>
      </c>
      <c r="C430" s="62" t="s">
        <v>4695</v>
      </c>
      <c r="D430" s="63">
        <v>10</v>
      </c>
      <c r="E430" s="62"/>
      <c r="F430" s="65">
        <v>15</v>
      </c>
      <c r="G430" s="62"/>
      <c r="H430" s="66"/>
      <c r="I430" s="67"/>
      <c r="J430" s="67"/>
      <c r="K430" s="31" t="s">
        <v>65</v>
      </c>
      <c r="L430" s="68">
        <v>430</v>
      </c>
      <c r="M430" s="68"/>
      <c r="N430" s="69"/>
      <c r="O430" s="76" t="s">
        <v>219</v>
      </c>
      <c r="P430" s="78">
        <v>44818.7712962963</v>
      </c>
      <c r="Q430" s="76" t="s">
        <v>761</v>
      </c>
      <c r="R430" s="79" t="str">
        <f>HYPERLINK("https://www.youtube.com/watch?v=PMOHqsUyk7Y&amp;feature=youtu.be")</f>
        <v>https://www.youtube.com/watch?v=PMOHqsUyk7Y&amp;feature=youtu.be</v>
      </c>
      <c r="S430" s="76" t="s">
        <v>790</v>
      </c>
      <c r="T430" s="81" t="s">
        <v>876</v>
      </c>
      <c r="U430" s="76"/>
      <c r="V430" s="79" t="str">
        <f>HYPERLINK("https://abs.twimg.com/sticky/default_profile_images/default_profile_normal.png")</f>
        <v>https://abs.twimg.com/sticky/default_profile_images/default_profile_normal.png</v>
      </c>
      <c r="W430" s="78">
        <v>44818.7712962963</v>
      </c>
      <c r="X430" s="84">
        <v>44818</v>
      </c>
      <c r="Y430" s="81" t="s">
        <v>1175</v>
      </c>
      <c r="Z430" s="79" t="str">
        <f>HYPERLINK("https://twitter.com/reinbow05061512/status/1570117847795531777")</f>
        <v>https://twitter.com/reinbow05061512/status/1570117847795531777</v>
      </c>
      <c r="AA430" s="76"/>
      <c r="AB430" s="76"/>
      <c r="AC430" s="81" t="s">
        <v>1536</v>
      </c>
      <c r="AD430" s="76"/>
      <c r="AE430" s="76" t="b">
        <v>0</v>
      </c>
      <c r="AF430" s="76">
        <v>0</v>
      </c>
      <c r="AG430" s="81" t="s">
        <v>1674</v>
      </c>
      <c r="AH430" s="76" t="b">
        <v>0</v>
      </c>
      <c r="AI430" s="76" t="s">
        <v>1773</v>
      </c>
      <c r="AJ430" s="76"/>
      <c r="AK430" s="81" t="s">
        <v>1674</v>
      </c>
      <c r="AL430" s="76" t="b">
        <v>0</v>
      </c>
      <c r="AM430" s="76">
        <v>0</v>
      </c>
      <c r="AN430" s="81" t="s">
        <v>1674</v>
      </c>
      <c r="AO430" s="81" t="s">
        <v>1811</v>
      </c>
      <c r="AP430" s="76" t="b">
        <v>0</v>
      </c>
      <c r="AQ430" s="81" t="s">
        <v>1536</v>
      </c>
      <c r="AR430" s="76" t="s">
        <v>219</v>
      </c>
      <c r="AS430" s="76">
        <v>0</v>
      </c>
      <c r="AT430" s="76">
        <v>0</v>
      </c>
      <c r="AU430" s="76"/>
      <c r="AV430" s="76"/>
      <c r="AW430" s="76"/>
      <c r="AX430" s="76"/>
      <c r="AY430" s="76"/>
      <c r="AZ430" s="76"/>
      <c r="BA430" s="76"/>
      <c r="BB430" s="76"/>
      <c r="BC430">
        <v>43</v>
      </c>
      <c r="BD430" s="75" t="str">
        <f>REPLACE(INDEX(GroupVertices[Group],MATCH(Edges[[#This Row],[Vertex 1]],GroupVertices[Vertex],0)),1,1,"")</f>
        <v>2</v>
      </c>
      <c r="BE430" s="75" t="str">
        <f>REPLACE(INDEX(GroupVertices[Group],MATCH(Edges[[#This Row],[Vertex 2]],GroupVertices[Vertex],0)),1,1,"")</f>
        <v>2</v>
      </c>
      <c r="BF430" s="45">
        <v>0</v>
      </c>
      <c r="BG430" s="46">
        <v>0</v>
      </c>
      <c r="BH430" s="45">
        <v>0</v>
      </c>
      <c r="BI430" s="46">
        <v>0</v>
      </c>
      <c r="BJ430" s="45">
        <v>0</v>
      </c>
      <c r="BK430" s="46">
        <v>0</v>
      </c>
      <c r="BL430" s="45">
        <v>13</v>
      </c>
      <c r="BM430" s="46">
        <v>100</v>
      </c>
      <c r="BN430" s="45">
        <v>13</v>
      </c>
    </row>
    <row r="431" spans="1:66" ht="15">
      <c r="A431" s="61" t="s">
        <v>423</v>
      </c>
      <c r="B431" s="61" t="s">
        <v>423</v>
      </c>
      <c r="C431" s="62" t="s">
        <v>4695</v>
      </c>
      <c r="D431" s="63">
        <v>10</v>
      </c>
      <c r="E431" s="62"/>
      <c r="F431" s="65">
        <v>15</v>
      </c>
      <c r="G431" s="62"/>
      <c r="H431" s="66"/>
      <c r="I431" s="67"/>
      <c r="J431" s="67"/>
      <c r="K431" s="31" t="s">
        <v>65</v>
      </c>
      <c r="L431" s="68">
        <v>431</v>
      </c>
      <c r="M431" s="68"/>
      <c r="N431" s="69"/>
      <c r="O431" s="76" t="s">
        <v>219</v>
      </c>
      <c r="P431" s="78">
        <v>44818.95900462963</v>
      </c>
      <c r="Q431" s="76" t="s">
        <v>764</v>
      </c>
      <c r="R431" s="79" t="str">
        <f>HYPERLINK("https://www.youtube.com/watch?v=uHIVevq290k&amp;feature=youtu.be")</f>
        <v>https://www.youtube.com/watch?v=uHIVevq290k&amp;feature=youtu.be</v>
      </c>
      <c r="S431" s="76" t="s">
        <v>790</v>
      </c>
      <c r="T431" s="81" t="s">
        <v>878</v>
      </c>
      <c r="U431" s="76"/>
      <c r="V431" s="79" t="str">
        <f>HYPERLINK("https://abs.twimg.com/sticky/default_profile_images/default_profile_normal.png")</f>
        <v>https://abs.twimg.com/sticky/default_profile_images/default_profile_normal.png</v>
      </c>
      <c r="W431" s="78">
        <v>44818.95900462963</v>
      </c>
      <c r="X431" s="84">
        <v>44818</v>
      </c>
      <c r="Y431" s="81" t="s">
        <v>1198</v>
      </c>
      <c r="Z431" s="79" t="str">
        <f>HYPERLINK("https://twitter.com/reinbow05061512/status/1570185869952450563")</f>
        <v>https://twitter.com/reinbow05061512/status/1570185869952450563</v>
      </c>
      <c r="AA431" s="76"/>
      <c r="AB431" s="76"/>
      <c r="AC431" s="81" t="s">
        <v>1537</v>
      </c>
      <c r="AD431" s="76"/>
      <c r="AE431" s="76" t="b">
        <v>0</v>
      </c>
      <c r="AF431" s="76">
        <v>0</v>
      </c>
      <c r="AG431" s="81" t="s">
        <v>1674</v>
      </c>
      <c r="AH431" s="76" t="b">
        <v>0</v>
      </c>
      <c r="AI431" s="76" t="s">
        <v>1772</v>
      </c>
      <c r="AJ431" s="76"/>
      <c r="AK431" s="81" t="s">
        <v>1674</v>
      </c>
      <c r="AL431" s="76" t="b">
        <v>0</v>
      </c>
      <c r="AM431" s="76">
        <v>0</v>
      </c>
      <c r="AN431" s="81" t="s">
        <v>1674</v>
      </c>
      <c r="AO431" s="81" t="s">
        <v>1811</v>
      </c>
      <c r="AP431" s="76" t="b">
        <v>0</v>
      </c>
      <c r="AQ431" s="81" t="s">
        <v>1537</v>
      </c>
      <c r="AR431" s="76" t="s">
        <v>219</v>
      </c>
      <c r="AS431" s="76">
        <v>0</v>
      </c>
      <c r="AT431" s="76">
        <v>0</v>
      </c>
      <c r="AU431" s="76"/>
      <c r="AV431" s="76"/>
      <c r="AW431" s="76"/>
      <c r="AX431" s="76"/>
      <c r="AY431" s="76"/>
      <c r="AZ431" s="76"/>
      <c r="BA431" s="76"/>
      <c r="BB431" s="76"/>
      <c r="BC431">
        <v>43</v>
      </c>
      <c r="BD431" s="75" t="str">
        <f>REPLACE(INDEX(GroupVertices[Group],MATCH(Edges[[#This Row],[Vertex 1]],GroupVertices[Vertex],0)),1,1,"")</f>
        <v>2</v>
      </c>
      <c r="BE431" s="75" t="str">
        <f>REPLACE(INDEX(GroupVertices[Group],MATCH(Edges[[#This Row],[Vertex 2]],GroupVertices[Vertex],0)),1,1,"")</f>
        <v>2</v>
      </c>
      <c r="BF431" s="45">
        <v>0</v>
      </c>
      <c r="BG431" s="46">
        <v>0</v>
      </c>
      <c r="BH431" s="45">
        <v>0</v>
      </c>
      <c r="BI431" s="46">
        <v>0</v>
      </c>
      <c r="BJ431" s="45">
        <v>0</v>
      </c>
      <c r="BK431" s="46">
        <v>0</v>
      </c>
      <c r="BL431" s="45">
        <v>16</v>
      </c>
      <c r="BM431" s="46">
        <v>100</v>
      </c>
      <c r="BN431" s="45">
        <v>16</v>
      </c>
    </row>
    <row r="432" spans="1:66" ht="15">
      <c r="A432" s="61" t="s">
        <v>423</v>
      </c>
      <c r="B432" s="61" t="s">
        <v>423</v>
      </c>
      <c r="C432" s="62" t="s">
        <v>4695</v>
      </c>
      <c r="D432" s="63">
        <v>10</v>
      </c>
      <c r="E432" s="62"/>
      <c r="F432" s="65">
        <v>15</v>
      </c>
      <c r="G432" s="62"/>
      <c r="H432" s="66"/>
      <c r="I432" s="67"/>
      <c r="J432" s="67"/>
      <c r="K432" s="31" t="s">
        <v>65</v>
      </c>
      <c r="L432" s="68">
        <v>432</v>
      </c>
      <c r="M432" s="68"/>
      <c r="N432" s="69"/>
      <c r="O432" s="76" t="s">
        <v>219</v>
      </c>
      <c r="P432" s="78">
        <v>44818.95915509259</v>
      </c>
      <c r="Q432" s="76" t="s">
        <v>758</v>
      </c>
      <c r="R432" s="79" t="str">
        <f>HYPERLINK("https://ameblo.jp/historical-gay/entry-10222227037.html")</f>
        <v>https://ameblo.jp/historical-gay/entry-10222227037.html</v>
      </c>
      <c r="S432" s="76" t="s">
        <v>791</v>
      </c>
      <c r="T432" s="81" t="s">
        <v>877</v>
      </c>
      <c r="U432" s="76"/>
      <c r="V432" s="79" t="str">
        <f>HYPERLINK("https://abs.twimg.com/sticky/default_profile_images/default_profile_normal.png")</f>
        <v>https://abs.twimg.com/sticky/default_profile_images/default_profile_normal.png</v>
      </c>
      <c r="W432" s="78">
        <v>44818.95915509259</v>
      </c>
      <c r="X432" s="84">
        <v>44818</v>
      </c>
      <c r="Y432" s="81" t="s">
        <v>1199</v>
      </c>
      <c r="Z432" s="79" t="str">
        <f>HYPERLINK("https://twitter.com/reinbow05061512/status/1570185922284494849")</f>
        <v>https://twitter.com/reinbow05061512/status/1570185922284494849</v>
      </c>
      <c r="AA432" s="76"/>
      <c r="AB432" s="76"/>
      <c r="AC432" s="81" t="s">
        <v>1538</v>
      </c>
      <c r="AD432" s="76"/>
      <c r="AE432" s="76" t="b">
        <v>0</v>
      </c>
      <c r="AF432" s="76">
        <v>0</v>
      </c>
      <c r="AG432" s="81" t="s">
        <v>1674</v>
      </c>
      <c r="AH432" s="76" t="b">
        <v>0</v>
      </c>
      <c r="AI432" s="76" t="s">
        <v>1773</v>
      </c>
      <c r="AJ432" s="76"/>
      <c r="AK432" s="81" t="s">
        <v>1674</v>
      </c>
      <c r="AL432" s="76" t="b">
        <v>0</v>
      </c>
      <c r="AM432" s="76">
        <v>0</v>
      </c>
      <c r="AN432" s="81" t="s">
        <v>1674</v>
      </c>
      <c r="AO432" s="81" t="s">
        <v>1811</v>
      </c>
      <c r="AP432" s="76" t="b">
        <v>0</v>
      </c>
      <c r="AQ432" s="81" t="s">
        <v>1538</v>
      </c>
      <c r="AR432" s="76" t="s">
        <v>219</v>
      </c>
      <c r="AS432" s="76">
        <v>0</v>
      </c>
      <c r="AT432" s="76">
        <v>0</v>
      </c>
      <c r="AU432" s="76"/>
      <c r="AV432" s="76"/>
      <c r="AW432" s="76"/>
      <c r="AX432" s="76"/>
      <c r="AY432" s="76"/>
      <c r="AZ432" s="76"/>
      <c r="BA432" s="76"/>
      <c r="BB432" s="76"/>
      <c r="BC432">
        <v>43</v>
      </c>
      <c r="BD432" s="75" t="str">
        <f>REPLACE(INDEX(GroupVertices[Group],MATCH(Edges[[#This Row],[Vertex 1]],GroupVertices[Vertex],0)),1,1,"")</f>
        <v>2</v>
      </c>
      <c r="BE432" s="75" t="str">
        <f>REPLACE(INDEX(GroupVertices[Group],MATCH(Edges[[#This Row],[Vertex 2]],GroupVertices[Vertex],0)),1,1,"")</f>
        <v>2</v>
      </c>
      <c r="BF432" s="45">
        <v>0</v>
      </c>
      <c r="BG432" s="46">
        <v>0</v>
      </c>
      <c r="BH432" s="45">
        <v>0</v>
      </c>
      <c r="BI432" s="46">
        <v>0</v>
      </c>
      <c r="BJ432" s="45">
        <v>0</v>
      </c>
      <c r="BK432" s="46">
        <v>0</v>
      </c>
      <c r="BL432" s="45">
        <v>13</v>
      </c>
      <c r="BM432" s="46">
        <v>100</v>
      </c>
      <c r="BN432" s="45">
        <v>13</v>
      </c>
    </row>
    <row r="433" spans="1:66" ht="15">
      <c r="A433" s="61" t="s">
        <v>423</v>
      </c>
      <c r="B433" s="61" t="s">
        <v>423</v>
      </c>
      <c r="C433" s="62" t="s">
        <v>4695</v>
      </c>
      <c r="D433" s="63">
        <v>10</v>
      </c>
      <c r="E433" s="62"/>
      <c r="F433" s="65">
        <v>15</v>
      </c>
      <c r="G433" s="62"/>
      <c r="H433" s="66"/>
      <c r="I433" s="67"/>
      <c r="J433" s="67"/>
      <c r="K433" s="31" t="s">
        <v>65</v>
      </c>
      <c r="L433" s="68">
        <v>433</v>
      </c>
      <c r="M433" s="68"/>
      <c r="N433" s="69"/>
      <c r="O433" s="76" t="s">
        <v>219</v>
      </c>
      <c r="P433" s="78">
        <v>44819.62583333333</v>
      </c>
      <c r="Q433" s="76" t="s">
        <v>756</v>
      </c>
      <c r="R433" s="79" t="str">
        <f>HYPERLINK("https://www.youtube.com/watch?v=ejG32fwnsV4&amp;feature=youtu.be")</f>
        <v>https://www.youtube.com/watch?v=ejG32fwnsV4&amp;feature=youtu.be</v>
      </c>
      <c r="S433" s="76" t="s">
        <v>790</v>
      </c>
      <c r="T433" s="81" t="s">
        <v>875</v>
      </c>
      <c r="U433" s="76"/>
      <c r="V433" s="79" t="str">
        <f>HYPERLINK("https://abs.twimg.com/sticky/default_profile_images/default_profile_normal.png")</f>
        <v>https://abs.twimg.com/sticky/default_profile_images/default_profile_normal.png</v>
      </c>
      <c r="W433" s="78">
        <v>44819.62583333333</v>
      </c>
      <c r="X433" s="84">
        <v>44819</v>
      </c>
      <c r="Y433" s="81" t="s">
        <v>1200</v>
      </c>
      <c r="Z433" s="79" t="str">
        <f>HYPERLINK("https://twitter.com/reinbow05061512/status/1570427521077755904")</f>
        <v>https://twitter.com/reinbow05061512/status/1570427521077755904</v>
      </c>
      <c r="AA433" s="76"/>
      <c r="AB433" s="76"/>
      <c r="AC433" s="81" t="s">
        <v>1539</v>
      </c>
      <c r="AD433" s="76"/>
      <c r="AE433" s="76" t="b">
        <v>0</v>
      </c>
      <c r="AF433" s="76">
        <v>0</v>
      </c>
      <c r="AG433" s="81" t="s">
        <v>1674</v>
      </c>
      <c r="AH433" s="76" t="b">
        <v>0</v>
      </c>
      <c r="AI433" s="76" t="s">
        <v>1772</v>
      </c>
      <c r="AJ433" s="76"/>
      <c r="AK433" s="81" t="s">
        <v>1674</v>
      </c>
      <c r="AL433" s="76" t="b">
        <v>0</v>
      </c>
      <c r="AM433" s="76">
        <v>0</v>
      </c>
      <c r="AN433" s="81" t="s">
        <v>1674</v>
      </c>
      <c r="AO433" s="81" t="s">
        <v>1811</v>
      </c>
      <c r="AP433" s="76" t="b">
        <v>0</v>
      </c>
      <c r="AQ433" s="81" t="s">
        <v>1539</v>
      </c>
      <c r="AR433" s="76" t="s">
        <v>219</v>
      </c>
      <c r="AS433" s="76">
        <v>0</v>
      </c>
      <c r="AT433" s="76">
        <v>0</v>
      </c>
      <c r="AU433" s="76"/>
      <c r="AV433" s="76"/>
      <c r="AW433" s="76"/>
      <c r="AX433" s="76"/>
      <c r="AY433" s="76"/>
      <c r="AZ433" s="76"/>
      <c r="BA433" s="76"/>
      <c r="BB433" s="76"/>
      <c r="BC433">
        <v>43</v>
      </c>
      <c r="BD433" s="75" t="str">
        <f>REPLACE(INDEX(GroupVertices[Group],MATCH(Edges[[#This Row],[Vertex 1]],GroupVertices[Vertex],0)),1,1,"")</f>
        <v>2</v>
      </c>
      <c r="BE433" s="75" t="str">
        <f>REPLACE(INDEX(GroupVertices[Group],MATCH(Edges[[#This Row],[Vertex 2]],GroupVertices[Vertex],0)),1,1,"")</f>
        <v>2</v>
      </c>
      <c r="BF433" s="45">
        <v>1</v>
      </c>
      <c r="BG433" s="46">
        <v>7.142857142857143</v>
      </c>
      <c r="BH433" s="45">
        <v>0</v>
      </c>
      <c r="BI433" s="46">
        <v>0</v>
      </c>
      <c r="BJ433" s="45">
        <v>0</v>
      </c>
      <c r="BK433" s="46">
        <v>0</v>
      </c>
      <c r="BL433" s="45">
        <v>13</v>
      </c>
      <c r="BM433" s="46">
        <v>92.85714285714286</v>
      </c>
      <c r="BN433" s="45">
        <v>14</v>
      </c>
    </row>
    <row r="434" spans="1:66" ht="15">
      <c r="A434" s="61" t="s">
        <v>423</v>
      </c>
      <c r="B434" s="61" t="s">
        <v>423</v>
      </c>
      <c r="C434" s="62" t="s">
        <v>4695</v>
      </c>
      <c r="D434" s="63">
        <v>10</v>
      </c>
      <c r="E434" s="62"/>
      <c r="F434" s="65">
        <v>15</v>
      </c>
      <c r="G434" s="62"/>
      <c r="H434" s="66"/>
      <c r="I434" s="67"/>
      <c r="J434" s="67"/>
      <c r="K434" s="31" t="s">
        <v>65</v>
      </c>
      <c r="L434" s="68">
        <v>434</v>
      </c>
      <c r="M434" s="68"/>
      <c r="N434" s="69"/>
      <c r="O434" s="76" t="s">
        <v>219</v>
      </c>
      <c r="P434" s="78">
        <v>44819.626064814816</v>
      </c>
      <c r="Q434" s="76" t="s">
        <v>760</v>
      </c>
      <c r="R434" s="79" t="str">
        <f>HYPERLINK("https://www.youtube.com/watch?v=V75pj41VFGk")</f>
        <v>https://www.youtube.com/watch?v=V75pj41VFGk</v>
      </c>
      <c r="S434" s="76" t="s">
        <v>790</v>
      </c>
      <c r="T434" s="81" t="s">
        <v>875</v>
      </c>
      <c r="U434" s="76"/>
      <c r="V434" s="79" t="str">
        <f>HYPERLINK("https://abs.twimg.com/sticky/default_profile_images/default_profile_normal.png")</f>
        <v>https://abs.twimg.com/sticky/default_profile_images/default_profile_normal.png</v>
      </c>
      <c r="W434" s="78">
        <v>44819.626064814816</v>
      </c>
      <c r="X434" s="84">
        <v>44819</v>
      </c>
      <c r="Y434" s="81" t="s">
        <v>1201</v>
      </c>
      <c r="Z434" s="79" t="str">
        <f>HYPERLINK("https://twitter.com/reinbow05061512/status/1570427605245112320")</f>
        <v>https://twitter.com/reinbow05061512/status/1570427605245112320</v>
      </c>
      <c r="AA434" s="76"/>
      <c r="AB434" s="76"/>
      <c r="AC434" s="81" t="s">
        <v>1540</v>
      </c>
      <c r="AD434" s="76"/>
      <c r="AE434" s="76" t="b">
        <v>0</v>
      </c>
      <c r="AF434" s="76">
        <v>0</v>
      </c>
      <c r="AG434" s="81" t="s">
        <v>1674</v>
      </c>
      <c r="AH434" s="76" t="b">
        <v>0</v>
      </c>
      <c r="AI434" s="76" t="s">
        <v>1772</v>
      </c>
      <c r="AJ434" s="76"/>
      <c r="AK434" s="81" t="s">
        <v>1674</v>
      </c>
      <c r="AL434" s="76" t="b">
        <v>0</v>
      </c>
      <c r="AM434" s="76">
        <v>0</v>
      </c>
      <c r="AN434" s="81" t="s">
        <v>1674</v>
      </c>
      <c r="AO434" s="81" t="s">
        <v>1811</v>
      </c>
      <c r="AP434" s="76" t="b">
        <v>0</v>
      </c>
      <c r="AQ434" s="81" t="s">
        <v>1540</v>
      </c>
      <c r="AR434" s="76" t="s">
        <v>219</v>
      </c>
      <c r="AS434" s="76">
        <v>0</v>
      </c>
      <c r="AT434" s="76">
        <v>0</v>
      </c>
      <c r="AU434" s="76"/>
      <c r="AV434" s="76"/>
      <c r="AW434" s="76"/>
      <c r="AX434" s="76"/>
      <c r="AY434" s="76"/>
      <c r="AZ434" s="76"/>
      <c r="BA434" s="76"/>
      <c r="BB434" s="76"/>
      <c r="BC434">
        <v>43</v>
      </c>
      <c r="BD434" s="75" t="str">
        <f>REPLACE(INDEX(GroupVertices[Group],MATCH(Edges[[#This Row],[Vertex 1]],GroupVertices[Vertex],0)),1,1,"")</f>
        <v>2</v>
      </c>
      <c r="BE434" s="75" t="str">
        <f>REPLACE(INDEX(GroupVertices[Group],MATCH(Edges[[#This Row],[Vertex 2]],GroupVertices[Vertex],0)),1,1,"")</f>
        <v>2</v>
      </c>
      <c r="BF434" s="45">
        <v>0</v>
      </c>
      <c r="BG434" s="46">
        <v>0</v>
      </c>
      <c r="BH434" s="45">
        <v>0</v>
      </c>
      <c r="BI434" s="46">
        <v>0</v>
      </c>
      <c r="BJ434" s="45">
        <v>0</v>
      </c>
      <c r="BK434" s="46">
        <v>0</v>
      </c>
      <c r="BL434" s="45">
        <v>19</v>
      </c>
      <c r="BM434" s="46">
        <v>100</v>
      </c>
      <c r="BN434" s="45">
        <v>19</v>
      </c>
    </row>
    <row r="435" spans="1:66" ht="15">
      <c r="A435" s="61" t="s">
        <v>423</v>
      </c>
      <c r="B435" s="61" t="s">
        <v>423</v>
      </c>
      <c r="C435" s="62" t="s">
        <v>4695</v>
      </c>
      <c r="D435" s="63">
        <v>10</v>
      </c>
      <c r="E435" s="62"/>
      <c r="F435" s="65">
        <v>15</v>
      </c>
      <c r="G435" s="62"/>
      <c r="H435" s="66"/>
      <c r="I435" s="67"/>
      <c r="J435" s="67"/>
      <c r="K435" s="31" t="s">
        <v>65</v>
      </c>
      <c r="L435" s="68">
        <v>435</v>
      </c>
      <c r="M435" s="68"/>
      <c r="N435" s="69"/>
      <c r="O435" s="76" t="s">
        <v>219</v>
      </c>
      <c r="P435" s="78">
        <v>44819.77127314815</v>
      </c>
      <c r="Q435" s="76" t="s">
        <v>757</v>
      </c>
      <c r="R435" s="79" t="str">
        <f>HYPERLINK("https://www.youtube.com/watch?v=PMOHqsUyk7Y&amp;feature=youtu.be")</f>
        <v>https://www.youtube.com/watch?v=PMOHqsUyk7Y&amp;feature=youtu.be</v>
      </c>
      <c r="S435" s="76" t="s">
        <v>790</v>
      </c>
      <c r="T435" s="81" t="s">
        <v>876</v>
      </c>
      <c r="U435" s="76"/>
      <c r="V435" s="79" t="str">
        <f>HYPERLINK("https://abs.twimg.com/sticky/default_profile_images/default_profile_normal.png")</f>
        <v>https://abs.twimg.com/sticky/default_profile_images/default_profile_normal.png</v>
      </c>
      <c r="W435" s="78">
        <v>44819.77127314815</v>
      </c>
      <c r="X435" s="84">
        <v>44819</v>
      </c>
      <c r="Y435" s="81" t="s">
        <v>1202</v>
      </c>
      <c r="Z435" s="79" t="str">
        <f>HYPERLINK("https://twitter.com/reinbow05061512/status/1570480224789209091")</f>
        <v>https://twitter.com/reinbow05061512/status/1570480224789209091</v>
      </c>
      <c r="AA435" s="76"/>
      <c r="AB435" s="76"/>
      <c r="AC435" s="81" t="s">
        <v>1541</v>
      </c>
      <c r="AD435" s="76"/>
      <c r="AE435" s="76" t="b">
        <v>0</v>
      </c>
      <c r="AF435" s="76">
        <v>0</v>
      </c>
      <c r="AG435" s="81" t="s">
        <v>1674</v>
      </c>
      <c r="AH435" s="76" t="b">
        <v>0</v>
      </c>
      <c r="AI435" s="76" t="s">
        <v>1773</v>
      </c>
      <c r="AJ435" s="76"/>
      <c r="AK435" s="81" t="s">
        <v>1674</v>
      </c>
      <c r="AL435" s="76" t="b">
        <v>0</v>
      </c>
      <c r="AM435" s="76">
        <v>0</v>
      </c>
      <c r="AN435" s="81" t="s">
        <v>1674</v>
      </c>
      <c r="AO435" s="81" t="s">
        <v>1811</v>
      </c>
      <c r="AP435" s="76" t="b">
        <v>0</v>
      </c>
      <c r="AQ435" s="81" t="s">
        <v>1541</v>
      </c>
      <c r="AR435" s="76" t="s">
        <v>219</v>
      </c>
      <c r="AS435" s="76">
        <v>0</v>
      </c>
      <c r="AT435" s="76">
        <v>0</v>
      </c>
      <c r="AU435" s="76"/>
      <c r="AV435" s="76"/>
      <c r="AW435" s="76"/>
      <c r="AX435" s="76"/>
      <c r="AY435" s="76"/>
      <c r="AZ435" s="76"/>
      <c r="BA435" s="76"/>
      <c r="BB435" s="76"/>
      <c r="BC435">
        <v>43</v>
      </c>
      <c r="BD435" s="75" t="str">
        <f>REPLACE(INDEX(GroupVertices[Group],MATCH(Edges[[#This Row],[Vertex 1]],GroupVertices[Vertex],0)),1,1,"")</f>
        <v>2</v>
      </c>
      <c r="BE435" s="75" t="str">
        <f>REPLACE(INDEX(GroupVertices[Group],MATCH(Edges[[#This Row],[Vertex 2]],GroupVertices[Vertex],0)),1,1,"")</f>
        <v>2</v>
      </c>
      <c r="BF435" s="45">
        <v>0</v>
      </c>
      <c r="BG435" s="46">
        <v>0</v>
      </c>
      <c r="BH435" s="45">
        <v>0</v>
      </c>
      <c r="BI435" s="46">
        <v>0</v>
      </c>
      <c r="BJ435" s="45">
        <v>0</v>
      </c>
      <c r="BK435" s="46">
        <v>0</v>
      </c>
      <c r="BL435" s="45">
        <v>13</v>
      </c>
      <c r="BM435" s="46">
        <v>100</v>
      </c>
      <c r="BN435" s="45">
        <v>13</v>
      </c>
    </row>
    <row r="436" spans="1:66" ht="15">
      <c r="A436" s="61" t="s">
        <v>424</v>
      </c>
      <c r="B436" s="61" t="s">
        <v>426</v>
      </c>
      <c r="C436" s="62" t="s">
        <v>4688</v>
      </c>
      <c r="D436" s="63">
        <v>5</v>
      </c>
      <c r="E436" s="62"/>
      <c r="F436" s="65">
        <v>50</v>
      </c>
      <c r="G436" s="62"/>
      <c r="H436" s="66"/>
      <c r="I436" s="67"/>
      <c r="J436" s="67"/>
      <c r="K436" s="31" t="s">
        <v>65</v>
      </c>
      <c r="L436" s="68">
        <v>436</v>
      </c>
      <c r="M436" s="68"/>
      <c r="N436" s="69"/>
      <c r="O436" s="76" t="s">
        <v>586</v>
      </c>
      <c r="P436" s="78">
        <v>44819.79618055555</v>
      </c>
      <c r="Q436" s="76" t="s">
        <v>724</v>
      </c>
      <c r="R436" s="76"/>
      <c r="S436" s="76"/>
      <c r="T436" s="81" t="s">
        <v>795</v>
      </c>
      <c r="U436" s="79" t="str">
        <f>HYPERLINK("https://pbs.twimg.com/media/FcsKLa1WAAAi_cQ.jpg")</f>
        <v>https://pbs.twimg.com/media/FcsKLa1WAAAi_cQ.jpg</v>
      </c>
      <c r="V436" s="79" t="str">
        <f>HYPERLINK("https://pbs.twimg.com/media/FcsKLa1WAAAi_cQ.jpg")</f>
        <v>https://pbs.twimg.com/media/FcsKLa1WAAAi_cQ.jpg</v>
      </c>
      <c r="W436" s="78">
        <v>44819.79618055555</v>
      </c>
      <c r="X436" s="84">
        <v>44819</v>
      </c>
      <c r="Y436" s="81" t="s">
        <v>1203</v>
      </c>
      <c r="Z436" s="79" t="str">
        <f>HYPERLINK("https://twitter.com/34berkut/status/1570489251934109696")</f>
        <v>https://twitter.com/34berkut/status/1570489251934109696</v>
      </c>
      <c r="AA436" s="76"/>
      <c r="AB436" s="76"/>
      <c r="AC436" s="81" t="s">
        <v>1542</v>
      </c>
      <c r="AD436" s="76"/>
      <c r="AE436" s="76" t="b">
        <v>0</v>
      </c>
      <c r="AF436" s="76">
        <v>0</v>
      </c>
      <c r="AG436" s="81" t="s">
        <v>1674</v>
      </c>
      <c r="AH436" s="76" t="b">
        <v>0</v>
      </c>
      <c r="AI436" s="76" t="s">
        <v>1775</v>
      </c>
      <c r="AJ436" s="76"/>
      <c r="AK436" s="81" t="s">
        <v>1674</v>
      </c>
      <c r="AL436" s="76" t="b">
        <v>0</v>
      </c>
      <c r="AM436" s="76">
        <v>3</v>
      </c>
      <c r="AN436" s="81" t="s">
        <v>1545</v>
      </c>
      <c r="AO436" s="81" t="s">
        <v>1808</v>
      </c>
      <c r="AP436" s="76" t="b">
        <v>0</v>
      </c>
      <c r="AQ436" s="81" t="s">
        <v>1545</v>
      </c>
      <c r="AR436" s="76" t="s">
        <v>219</v>
      </c>
      <c r="AS436" s="76">
        <v>0</v>
      </c>
      <c r="AT436" s="76">
        <v>0</v>
      </c>
      <c r="AU436" s="76"/>
      <c r="AV436" s="76"/>
      <c r="AW436" s="76"/>
      <c r="AX436" s="76"/>
      <c r="AY436" s="76"/>
      <c r="AZ436" s="76"/>
      <c r="BA436" s="76"/>
      <c r="BB436" s="76"/>
      <c r="BC436">
        <v>1</v>
      </c>
      <c r="BD436" s="75" t="str">
        <f>REPLACE(INDEX(GroupVertices[Group],MATCH(Edges[[#This Row],[Vertex 1]],GroupVertices[Vertex],0)),1,1,"")</f>
        <v>20</v>
      </c>
      <c r="BE436" s="75" t="str">
        <f>REPLACE(INDEX(GroupVertices[Group],MATCH(Edges[[#This Row],[Vertex 2]],GroupVertices[Vertex],0)),1,1,"")</f>
        <v>20</v>
      </c>
      <c r="BF436" s="45">
        <v>0</v>
      </c>
      <c r="BG436" s="46">
        <v>0</v>
      </c>
      <c r="BH436" s="45">
        <v>0</v>
      </c>
      <c r="BI436" s="46">
        <v>0</v>
      </c>
      <c r="BJ436" s="45">
        <v>0</v>
      </c>
      <c r="BK436" s="46">
        <v>0</v>
      </c>
      <c r="BL436" s="45">
        <v>13</v>
      </c>
      <c r="BM436" s="46">
        <v>100</v>
      </c>
      <c r="BN436" s="45">
        <v>13</v>
      </c>
    </row>
    <row r="437" spans="1:66" ht="15">
      <c r="A437" s="61" t="s">
        <v>425</v>
      </c>
      <c r="B437" s="61" t="s">
        <v>568</v>
      </c>
      <c r="C437" s="62" t="s">
        <v>4688</v>
      </c>
      <c r="D437" s="63">
        <v>5</v>
      </c>
      <c r="E437" s="62"/>
      <c r="F437" s="65">
        <v>50</v>
      </c>
      <c r="G437" s="62"/>
      <c r="H437" s="66"/>
      <c r="I437" s="67"/>
      <c r="J437" s="67"/>
      <c r="K437" s="31" t="s">
        <v>65</v>
      </c>
      <c r="L437" s="68">
        <v>437</v>
      </c>
      <c r="M437" s="68"/>
      <c r="N437" s="69"/>
      <c r="O437" s="76" t="s">
        <v>587</v>
      </c>
      <c r="P437" s="78">
        <v>44811.71246527778</v>
      </c>
      <c r="Q437" s="76" t="s">
        <v>765</v>
      </c>
      <c r="R437" s="76"/>
      <c r="S437" s="76"/>
      <c r="T437" s="81" t="s">
        <v>879</v>
      </c>
      <c r="U437" s="76"/>
      <c r="V437" s="79" t="str">
        <f>HYPERLINK("https://pbs.twimg.com/profile_images/1470318334973554689/eMXqrQAK_normal.jpg")</f>
        <v>https://pbs.twimg.com/profile_images/1470318334973554689/eMXqrQAK_normal.jpg</v>
      </c>
      <c r="W437" s="78">
        <v>44811.71246527778</v>
      </c>
      <c r="X437" s="84">
        <v>44811</v>
      </c>
      <c r="Y437" s="81" t="s">
        <v>1204</v>
      </c>
      <c r="Z437" s="79" t="str">
        <f>HYPERLINK("https://twitter.com/valer2valerie/status/1567559813030182913")</f>
        <v>https://twitter.com/valer2valerie/status/1567559813030182913</v>
      </c>
      <c r="AA437" s="76"/>
      <c r="AB437" s="76"/>
      <c r="AC437" s="81" t="s">
        <v>1543</v>
      </c>
      <c r="AD437" s="81" t="s">
        <v>1658</v>
      </c>
      <c r="AE437" s="76" t="b">
        <v>0</v>
      </c>
      <c r="AF437" s="76">
        <v>1</v>
      </c>
      <c r="AG437" s="81" t="s">
        <v>1757</v>
      </c>
      <c r="AH437" s="76" t="b">
        <v>0</v>
      </c>
      <c r="AI437" s="76" t="s">
        <v>1770</v>
      </c>
      <c r="AJ437" s="76"/>
      <c r="AK437" s="81" t="s">
        <v>1674</v>
      </c>
      <c r="AL437" s="76" t="b">
        <v>0</v>
      </c>
      <c r="AM437" s="76">
        <v>0</v>
      </c>
      <c r="AN437" s="81" t="s">
        <v>1674</v>
      </c>
      <c r="AO437" s="81" t="s">
        <v>1809</v>
      </c>
      <c r="AP437" s="76" t="b">
        <v>0</v>
      </c>
      <c r="AQ437" s="81" t="s">
        <v>1658</v>
      </c>
      <c r="AR437" s="76" t="s">
        <v>219</v>
      </c>
      <c r="AS437" s="76">
        <v>0</v>
      </c>
      <c r="AT437" s="76">
        <v>0</v>
      </c>
      <c r="AU437" s="76"/>
      <c r="AV437" s="76"/>
      <c r="AW437" s="76"/>
      <c r="AX437" s="76"/>
      <c r="AY437" s="76"/>
      <c r="AZ437" s="76"/>
      <c r="BA437" s="76"/>
      <c r="BB437" s="76"/>
      <c r="BC437">
        <v>1</v>
      </c>
      <c r="BD437" s="75" t="str">
        <f>REPLACE(INDEX(GroupVertices[Group],MATCH(Edges[[#This Row],[Vertex 1]],GroupVertices[Vertex],0)),1,1,"")</f>
        <v>21</v>
      </c>
      <c r="BE437" s="75" t="str">
        <f>REPLACE(INDEX(GroupVertices[Group],MATCH(Edges[[#This Row],[Vertex 2]],GroupVertices[Vertex],0)),1,1,"")</f>
        <v>21</v>
      </c>
      <c r="BF437" s="45">
        <v>0</v>
      </c>
      <c r="BG437" s="46">
        <v>0</v>
      </c>
      <c r="BH437" s="45">
        <v>0</v>
      </c>
      <c r="BI437" s="46">
        <v>0</v>
      </c>
      <c r="BJ437" s="45">
        <v>0</v>
      </c>
      <c r="BK437" s="46">
        <v>0</v>
      </c>
      <c r="BL437" s="45">
        <v>35</v>
      </c>
      <c r="BM437" s="46">
        <v>100</v>
      </c>
      <c r="BN437" s="45">
        <v>35</v>
      </c>
    </row>
    <row r="438" spans="1:66" ht="15">
      <c r="A438" s="61" t="s">
        <v>425</v>
      </c>
      <c r="B438" s="61" t="s">
        <v>569</v>
      </c>
      <c r="C438" s="62" t="s">
        <v>4688</v>
      </c>
      <c r="D438" s="63">
        <v>5</v>
      </c>
      <c r="E438" s="62"/>
      <c r="F438" s="65">
        <v>50</v>
      </c>
      <c r="G438" s="62"/>
      <c r="H438" s="66"/>
      <c r="I438" s="67"/>
      <c r="J438" s="67"/>
      <c r="K438" s="31" t="s">
        <v>65</v>
      </c>
      <c r="L438" s="68">
        <v>438</v>
      </c>
      <c r="M438" s="68"/>
      <c r="N438" s="69"/>
      <c r="O438" s="76" t="s">
        <v>588</v>
      </c>
      <c r="P438" s="78">
        <v>44819.804710648146</v>
      </c>
      <c r="Q438" s="76" t="s">
        <v>766</v>
      </c>
      <c r="R438" s="76"/>
      <c r="S438" s="76"/>
      <c r="T438" s="81" t="s">
        <v>880</v>
      </c>
      <c r="U438" s="76"/>
      <c r="V438" s="79" t="str">
        <f>HYPERLINK("https://pbs.twimg.com/profile_images/1470318334973554689/eMXqrQAK_normal.jpg")</f>
        <v>https://pbs.twimg.com/profile_images/1470318334973554689/eMXqrQAK_normal.jpg</v>
      </c>
      <c r="W438" s="78">
        <v>44819.804710648146</v>
      </c>
      <c r="X438" s="84">
        <v>44819</v>
      </c>
      <c r="Y438" s="81" t="s">
        <v>1205</v>
      </c>
      <c r="Z438" s="79" t="str">
        <f>HYPERLINK("https://twitter.com/valer2valerie/status/1570492341353607172")</f>
        <v>https://twitter.com/valer2valerie/status/1570492341353607172</v>
      </c>
      <c r="AA438" s="76"/>
      <c r="AB438" s="76"/>
      <c r="AC438" s="81" t="s">
        <v>1544</v>
      </c>
      <c r="AD438" s="81" t="s">
        <v>1659</v>
      </c>
      <c r="AE438" s="76" t="b">
        <v>0</v>
      </c>
      <c r="AF438" s="76">
        <v>0</v>
      </c>
      <c r="AG438" s="81" t="s">
        <v>1758</v>
      </c>
      <c r="AH438" s="76" t="b">
        <v>0</v>
      </c>
      <c r="AI438" s="76" t="s">
        <v>1770</v>
      </c>
      <c r="AJ438" s="76"/>
      <c r="AK438" s="81" t="s">
        <v>1674</v>
      </c>
      <c r="AL438" s="76" t="b">
        <v>0</v>
      </c>
      <c r="AM438" s="76">
        <v>0</v>
      </c>
      <c r="AN438" s="81" t="s">
        <v>1674</v>
      </c>
      <c r="AO438" s="81" t="s">
        <v>1809</v>
      </c>
      <c r="AP438" s="76" t="b">
        <v>0</v>
      </c>
      <c r="AQ438" s="81" t="s">
        <v>1659</v>
      </c>
      <c r="AR438" s="76" t="s">
        <v>219</v>
      </c>
      <c r="AS438" s="76">
        <v>0</v>
      </c>
      <c r="AT438" s="76">
        <v>0</v>
      </c>
      <c r="AU438" s="76"/>
      <c r="AV438" s="76"/>
      <c r="AW438" s="76"/>
      <c r="AX438" s="76"/>
      <c r="AY438" s="76"/>
      <c r="AZ438" s="76"/>
      <c r="BA438" s="76"/>
      <c r="BB438" s="76"/>
      <c r="BC438">
        <v>1</v>
      </c>
      <c r="BD438" s="75" t="str">
        <f>REPLACE(INDEX(GroupVertices[Group],MATCH(Edges[[#This Row],[Vertex 1]],GroupVertices[Vertex],0)),1,1,"")</f>
        <v>21</v>
      </c>
      <c r="BE438" s="75" t="str">
        <f>REPLACE(INDEX(GroupVertices[Group],MATCH(Edges[[#This Row],[Vertex 2]],GroupVertices[Vertex],0)),1,1,"")</f>
        <v>21</v>
      </c>
      <c r="BF438" s="45"/>
      <c r="BG438" s="46"/>
      <c r="BH438" s="45"/>
      <c r="BI438" s="46"/>
      <c r="BJ438" s="45"/>
      <c r="BK438" s="46"/>
      <c r="BL438" s="45"/>
      <c r="BM438" s="46"/>
      <c r="BN438" s="45"/>
    </row>
    <row r="439" spans="1:66" ht="15">
      <c r="A439" s="61" t="s">
        <v>425</v>
      </c>
      <c r="B439" s="61" t="s">
        <v>570</v>
      </c>
      <c r="C439" s="62" t="s">
        <v>4688</v>
      </c>
      <c r="D439" s="63">
        <v>5</v>
      </c>
      <c r="E439" s="62"/>
      <c r="F439" s="65">
        <v>50</v>
      </c>
      <c r="G439" s="62"/>
      <c r="H439" s="66"/>
      <c r="I439" s="67"/>
      <c r="J439" s="67"/>
      <c r="K439" s="31" t="s">
        <v>65</v>
      </c>
      <c r="L439" s="68">
        <v>439</v>
      </c>
      <c r="M439" s="68"/>
      <c r="N439" s="69"/>
      <c r="O439" s="76" t="s">
        <v>587</v>
      </c>
      <c r="P439" s="78">
        <v>44819.804710648146</v>
      </c>
      <c r="Q439" s="76" t="s">
        <v>766</v>
      </c>
      <c r="R439" s="76"/>
      <c r="S439" s="76"/>
      <c r="T439" s="81" t="s">
        <v>880</v>
      </c>
      <c r="U439" s="76"/>
      <c r="V439" s="79" t="str">
        <f>HYPERLINK("https://pbs.twimg.com/profile_images/1470318334973554689/eMXqrQAK_normal.jpg")</f>
        <v>https://pbs.twimg.com/profile_images/1470318334973554689/eMXqrQAK_normal.jpg</v>
      </c>
      <c r="W439" s="78">
        <v>44819.804710648146</v>
      </c>
      <c r="X439" s="84">
        <v>44819</v>
      </c>
      <c r="Y439" s="81" t="s">
        <v>1205</v>
      </c>
      <c r="Z439" s="79" t="str">
        <f>HYPERLINK("https://twitter.com/valer2valerie/status/1570492341353607172")</f>
        <v>https://twitter.com/valer2valerie/status/1570492341353607172</v>
      </c>
      <c r="AA439" s="76"/>
      <c r="AB439" s="76"/>
      <c r="AC439" s="81" t="s">
        <v>1544</v>
      </c>
      <c r="AD439" s="81" t="s">
        <v>1659</v>
      </c>
      <c r="AE439" s="76" t="b">
        <v>0</v>
      </c>
      <c r="AF439" s="76">
        <v>0</v>
      </c>
      <c r="AG439" s="81" t="s">
        <v>1758</v>
      </c>
      <c r="AH439" s="76" t="b">
        <v>0</v>
      </c>
      <c r="AI439" s="76" t="s">
        <v>1770</v>
      </c>
      <c r="AJ439" s="76"/>
      <c r="AK439" s="81" t="s">
        <v>1674</v>
      </c>
      <c r="AL439" s="76" t="b">
        <v>0</v>
      </c>
      <c r="AM439" s="76">
        <v>0</v>
      </c>
      <c r="AN439" s="81" t="s">
        <v>1674</v>
      </c>
      <c r="AO439" s="81" t="s">
        <v>1809</v>
      </c>
      <c r="AP439" s="76" t="b">
        <v>0</v>
      </c>
      <c r="AQ439" s="81" t="s">
        <v>1659</v>
      </c>
      <c r="AR439" s="76" t="s">
        <v>219</v>
      </c>
      <c r="AS439" s="76">
        <v>0</v>
      </c>
      <c r="AT439" s="76">
        <v>0</v>
      </c>
      <c r="AU439" s="76"/>
      <c r="AV439" s="76"/>
      <c r="AW439" s="76"/>
      <c r="AX439" s="76"/>
      <c r="AY439" s="76"/>
      <c r="AZ439" s="76"/>
      <c r="BA439" s="76"/>
      <c r="BB439" s="76"/>
      <c r="BC439">
        <v>1</v>
      </c>
      <c r="BD439" s="75" t="str">
        <f>REPLACE(INDEX(GroupVertices[Group],MATCH(Edges[[#This Row],[Vertex 1]],GroupVertices[Vertex],0)),1,1,"")</f>
        <v>21</v>
      </c>
      <c r="BE439" s="75" t="str">
        <f>REPLACE(INDEX(GroupVertices[Group],MATCH(Edges[[#This Row],[Vertex 2]],GroupVertices[Vertex],0)),1,1,"")</f>
        <v>21</v>
      </c>
      <c r="BF439" s="45">
        <v>0</v>
      </c>
      <c r="BG439" s="46">
        <v>0</v>
      </c>
      <c r="BH439" s="45">
        <v>0</v>
      </c>
      <c r="BI439" s="46">
        <v>0</v>
      </c>
      <c r="BJ439" s="45">
        <v>0</v>
      </c>
      <c r="BK439" s="46">
        <v>0</v>
      </c>
      <c r="BL439" s="45">
        <v>15</v>
      </c>
      <c r="BM439" s="46">
        <v>100</v>
      </c>
      <c r="BN439" s="45">
        <v>15</v>
      </c>
    </row>
    <row r="440" spans="1:66" ht="15">
      <c r="A440" s="61" t="s">
        <v>426</v>
      </c>
      <c r="B440" s="61" t="s">
        <v>426</v>
      </c>
      <c r="C440" s="62" t="s">
        <v>4688</v>
      </c>
      <c r="D440" s="63">
        <v>5</v>
      </c>
      <c r="E440" s="62"/>
      <c r="F440" s="65">
        <v>50</v>
      </c>
      <c r="G440" s="62"/>
      <c r="H440" s="66"/>
      <c r="I440" s="67"/>
      <c r="J440" s="67"/>
      <c r="K440" s="31" t="s">
        <v>65</v>
      </c>
      <c r="L440" s="68">
        <v>440</v>
      </c>
      <c r="M440" s="68"/>
      <c r="N440" s="69"/>
      <c r="O440" s="76" t="s">
        <v>219</v>
      </c>
      <c r="P440" s="78">
        <v>44819.43976851852</v>
      </c>
      <c r="Q440" s="76" t="s">
        <v>724</v>
      </c>
      <c r="R440" s="76"/>
      <c r="S440" s="76"/>
      <c r="T440" s="81" t="s">
        <v>795</v>
      </c>
      <c r="U440" s="79" t="str">
        <f>HYPERLINK("https://pbs.twimg.com/media/FcsKLa1WAAAi_cQ.jpg")</f>
        <v>https://pbs.twimg.com/media/FcsKLa1WAAAi_cQ.jpg</v>
      </c>
      <c r="V440" s="79" t="str">
        <f>HYPERLINK("https://pbs.twimg.com/media/FcsKLa1WAAAi_cQ.jpg")</f>
        <v>https://pbs.twimg.com/media/FcsKLa1WAAAi_cQ.jpg</v>
      </c>
      <c r="W440" s="78">
        <v>44819.43976851852</v>
      </c>
      <c r="X440" s="84">
        <v>44819</v>
      </c>
      <c r="Y440" s="81" t="s">
        <v>1206</v>
      </c>
      <c r="Z440" s="79" t="str">
        <f>HYPERLINK("https://twitter.com/mike_zoev/status/1570360092079566848")</f>
        <v>https://twitter.com/mike_zoev/status/1570360092079566848</v>
      </c>
      <c r="AA440" s="76"/>
      <c r="AB440" s="76"/>
      <c r="AC440" s="81" t="s">
        <v>1545</v>
      </c>
      <c r="AD440" s="76"/>
      <c r="AE440" s="76" t="b">
        <v>0</v>
      </c>
      <c r="AF440" s="76">
        <v>5</v>
      </c>
      <c r="AG440" s="81" t="s">
        <v>1674</v>
      </c>
      <c r="AH440" s="76" t="b">
        <v>0</v>
      </c>
      <c r="AI440" s="76" t="s">
        <v>1775</v>
      </c>
      <c r="AJ440" s="76"/>
      <c r="AK440" s="81" t="s">
        <v>1674</v>
      </c>
      <c r="AL440" s="76" t="b">
        <v>0</v>
      </c>
      <c r="AM440" s="76">
        <v>3</v>
      </c>
      <c r="AN440" s="81" t="s">
        <v>1674</v>
      </c>
      <c r="AO440" s="81" t="s">
        <v>1809</v>
      </c>
      <c r="AP440" s="76" t="b">
        <v>0</v>
      </c>
      <c r="AQ440" s="81" t="s">
        <v>1545</v>
      </c>
      <c r="AR440" s="76" t="s">
        <v>219</v>
      </c>
      <c r="AS440" s="76">
        <v>0</v>
      </c>
      <c r="AT440" s="76">
        <v>0</v>
      </c>
      <c r="AU440" s="76"/>
      <c r="AV440" s="76"/>
      <c r="AW440" s="76"/>
      <c r="AX440" s="76"/>
      <c r="AY440" s="76"/>
      <c r="AZ440" s="76"/>
      <c r="BA440" s="76"/>
      <c r="BB440" s="76"/>
      <c r="BC440">
        <v>1</v>
      </c>
      <c r="BD440" s="75" t="str">
        <f>REPLACE(INDEX(GroupVertices[Group],MATCH(Edges[[#This Row],[Vertex 1]],GroupVertices[Vertex],0)),1,1,"")</f>
        <v>20</v>
      </c>
      <c r="BE440" s="75" t="str">
        <f>REPLACE(INDEX(GroupVertices[Group],MATCH(Edges[[#This Row],[Vertex 2]],GroupVertices[Vertex],0)),1,1,"")</f>
        <v>20</v>
      </c>
      <c r="BF440" s="45">
        <v>0</v>
      </c>
      <c r="BG440" s="46">
        <v>0</v>
      </c>
      <c r="BH440" s="45">
        <v>0</v>
      </c>
      <c r="BI440" s="46">
        <v>0</v>
      </c>
      <c r="BJ440" s="45">
        <v>0</v>
      </c>
      <c r="BK440" s="46">
        <v>0</v>
      </c>
      <c r="BL440" s="45">
        <v>13</v>
      </c>
      <c r="BM440" s="46">
        <v>100</v>
      </c>
      <c r="BN440" s="45">
        <v>13</v>
      </c>
    </row>
    <row r="441" spans="1:66" ht="15">
      <c r="A441" s="61" t="s">
        <v>427</v>
      </c>
      <c r="B441" s="61" t="s">
        <v>426</v>
      </c>
      <c r="C441" s="62" t="s">
        <v>4688</v>
      </c>
      <c r="D441" s="63">
        <v>5</v>
      </c>
      <c r="E441" s="62"/>
      <c r="F441" s="65">
        <v>50</v>
      </c>
      <c r="G441" s="62"/>
      <c r="H441" s="66"/>
      <c r="I441" s="67"/>
      <c r="J441" s="67"/>
      <c r="K441" s="31" t="s">
        <v>65</v>
      </c>
      <c r="L441" s="68">
        <v>441</v>
      </c>
      <c r="M441" s="68"/>
      <c r="N441" s="69"/>
      <c r="O441" s="76" t="s">
        <v>586</v>
      </c>
      <c r="P441" s="78">
        <v>44819.80596064815</v>
      </c>
      <c r="Q441" s="76" t="s">
        <v>724</v>
      </c>
      <c r="R441" s="76"/>
      <c r="S441" s="76"/>
      <c r="T441" s="81" t="s">
        <v>795</v>
      </c>
      <c r="U441" s="79" t="str">
        <f>HYPERLINK("https://pbs.twimg.com/media/FcsKLa1WAAAi_cQ.jpg")</f>
        <v>https://pbs.twimg.com/media/FcsKLa1WAAAi_cQ.jpg</v>
      </c>
      <c r="V441" s="79" t="str">
        <f>HYPERLINK("https://pbs.twimg.com/media/FcsKLa1WAAAi_cQ.jpg")</f>
        <v>https://pbs.twimg.com/media/FcsKLa1WAAAi_cQ.jpg</v>
      </c>
      <c r="W441" s="78">
        <v>44819.80596064815</v>
      </c>
      <c r="X441" s="84">
        <v>44819</v>
      </c>
      <c r="Y441" s="81" t="s">
        <v>1207</v>
      </c>
      <c r="Z441" s="79" t="str">
        <f>HYPERLINK("https://twitter.com/mnogomama4170/status/1570492795873533953")</f>
        <v>https://twitter.com/mnogomama4170/status/1570492795873533953</v>
      </c>
      <c r="AA441" s="76"/>
      <c r="AB441" s="76"/>
      <c r="AC441" s="81" t="s">
        <v>1546</v>
      </c>
      <c r="AD441" s="76"/>
      <c r="AE441" s="76" t="b">
        <v>0</v>
      </c>
      <c r="AF441" s="76">
        <v>0</v>
      </c>
      <c r="AG441" s="81" t="s">
        <v>1674</v>
      </c>
      <c r="AH441" s="76" t="b">
        <v>0</v>
      </c>
      <c r="AI441" s="76" t="s">
        <v>1775</v>
      </c>
      <c r="AJ441" s="76"/>
      <c r="AK441" s="81" t="s">
        <v>1674</v>
      </c>
      <c r="AL441" s="76" t="b">
        <v>0</v>
      </c>
      <c r="AM441" s="76">
        <v>3</v>
      </c>
      <c r="AN441" s="81" t="s">
        <v>1545</v>
      </c>
      <c r="AO441" s="81" t="s">
        <v>1807</v>
      </c>
      <c r="AP441" s="76" t="b">
        <v>0</v>
      </c>
      <c r="AQ441" s="81" t="s">
        <v>1545</v>
      </c>
      <c r="AR441" s="76" t="s">
        <v>219</v>
      </c>
      <c r="AS441" s="76">
        <v>0</v>
      </c>
      <c r="AT441" s="76">
        <v>0</v>
      </c>
      <c r="AU441" s="76"/>
      <c r="AV441" s="76"/>
      <c r="AW441" s="76"/>
      <c r="AX441" s="76"/>
      <c r="AY441" s="76"/>
      <c r="AZ441" s="76"/>
      <c r="BA441" s="76"/>
      <c r="BB441" s="76"/>
      <c r="BC441">
        <v>1</v>
      </c>
      <c r="BD441" s="75" t="str">
        <f>REPLACE(INDEX(GroupVertices[Group],MATCH(Edges[[#This Row],[Vertex 1]],GroupVertices[Vertex],0)),1,1,"")</f>
        <v>20</v>
      </c>
      <c r="BE441" s="75" t="str">
        <f>REPLACE(INDEX(GroupVertices[Group],MATCH(Edges[[#This Row],[Vertex 2]],GroupVertices[Vertex],0)),1,1,"")</f>
        <v>20</v>
      </c>
      <c r="BF441" s="45">
        <v>0</v>
      </c>
      <c r="BG441" s="46">
        <v>0</v>
      </c>
      <c r="BH441" s="45">
        <v>0</v>
      </c>
      <c r="BI441" s="46">
        <v>0</v>
      </c>
      <c r="BJ441" s="45">
        <v>0</v>
      </c>
      <c r="BK441" s="46">
        <v>0</v>
      </c>
      <c r="BL441" s="45">
        <v>13</v>
      </c>
      <c r="BM441" s="46">
        <v>100</v>
      </c>
      <c r="BN441" s="45">
        <v>13</v>
      </c>
    </row>
    <row r="442" spans="1:66" ht="15">
      <c r="A442" s="61" t="s">
        <v>428</v>
      </c>
      <c r="B442" s="61" t="s">
        <v>512</v>
      </c>
      <c r="C442" s="62" t="s">
        <v>4688</v>
      </c>
      <c r="D442" s="63">
        <v>5</v>
      </c>
      <c r="E442" s="62"/>
      <c r="F442" s="65">
        <v>50</v>
      </c>
      <c r="G442" s="62"/>
      <c r="H442" s="66"/>
      <c r="I442" s="67"/>
      <c r="J442" s="67"/>
      <c r="K442" s="31" t="s">
        <v>65</v>
      </c>
      <c r="L442" s="68">
        <v>442</v>
      </c>
      <c r="M442" s="68"/>
      <c r="N442" s="69"/>
      <c r="O442" s="76" t="s">
        <v>587</v>
      </c>
      <c r="P442" s="78">
        <v>44815.416979166665</v>
      </c>
      <c r="Q442" s="76" t="s">
        <v>767</v>
      </c>
      <c r="R442" s="76"/>
      <c r="S442" s="76"/>
      <c r="T442" s="81" t="s">
        <v>881</v>
      </c>
      <c r="U442" s="76"/>
      <c r="V442" s="79" t="str">
        <f>HYPERLINK("https://pbs.twimg.com/profile_images/1522304931037913088/v16u8wKz_normal.jpg")</f>
        <v>https://pbs.twimg.com/profile_images/1522304931037913088/v16u8wKz_normal.jpg</v>
      </c>
      <c r="W442" s="78">
        <v>44815.416979166665</v>
      </c>
      <c r="X442" s="84">
        <v>44815</v>
      </c>
      <c r="Y442" s="81" t="s">
        <v>1208</v>
      </c>
      <c r="Z442" s="79" t="str">
        <f>HYPERLINK("https://twitter.com/saresistentzia/status/1568902281789046784")</f>
        <v>https://twitter.com/saresistentzia/status/1568902281789046784</v>
      </c>
      <c r="AA442" s="76"/>
      <c r="AB442" s="76"/>
      <c r="AC442" s="81" t="s">
        <v>1547</v>
      </c>
      <c r="AD442" s="81" t="s">
        <v>1606</v>
      </c>
      <c r="AE442" s="76" t="b">
        <v>0</v>
      </c>
      <c r="AF442" s="76">
        <v>0</v>
      </c>
      <c r="AG442" s="81" t="s">
        <v>1717</v>
      </c>
      <c r="AH442" s="76" t="b">
        <v>0</v>
      </c>
      <c r="AI442" s="76" t="s">
        <v>1772</v>
      </c>
      <c r="AJ442" s="76"/>
      <c r="AK442" s="81" t="s">
        <v>1674</v>
      </c>
      <c r="AL442" s="76" t="b">
        <v>0</v>
      </c>
      <c r="AM442" s="76">
        <v>0</v>
      </c>
      <c r="AN442" s="81" t="s">
        <v>1674</v>
      </c>
      <c r="AO442" s="81" t="s">
        <v>1809</v>
      </c>
      <c r="AP442" s="76" t="b">
        <v>0</v>
      </c>
      <c r="AQ442" s="81" t="s">
        <v>1606</v>
      </c>
      <c r="AR442" s="76" t="s">
        <v>219</v>
      </c>
      <c r="AS442" s="76">
        <v>0</v>
      </c>
      <c r="AT442" s="76">
        <v>0</v>
      </c>
      <c r="AU442" s="76"/>
      <c r="AV442" s="76"/>
      <c r="AW442" s="76"/>
      <c r="AX442" s="76"/>
      <c r="AY442" s="76"/>
      <c r="AZ442" s="76"/>
      <c r="BA442" s="76"/>
      <c r="BB442" s="76"/>
      <c r="BC442">
        <v>1</v>
      </c>
      <c r="BD442" s="75" t="str">
        <f>REPLACE(INDEX(GroupVertices[Group],MATCH(Edges[[#This Row],[Vertex 1]],GroupVertices[Vertex],0)),1,1,"")</f>
        <v>1</v>
      </c>
      <c r="BE442" s="75" t="str">
        <f>REPLACE(INDEX(GroupVertices[Group],MATCH(Edges[[#This Row],[Vertex 2]],GroupVertices[Vertex],0)),1,1,"")</f>
        <v>1</v>
      </c>
      <c r="BF442" s="45">
        <v>2</v>
      </c>
      <c r="BG442" s="46">
        <v>5.882352941176471</v>
      </c>
      <c r="BH442" s="45">
        <v>4</v>
      </c>
      <c r="BI442" s="46">
        <v>11.764705882352942</v>
      </c>
      <c r="BJ442" s="45">
        <v>0</v>
      </c>
      <c r="BK442" s="46">
        <v>0</v>
      </c>
      <c r="BL442" s="45">
        <v>28</v>
      </c>
      <c r="BM442" s="46">
        <v>82.3529411764706</v>
      </c>
      <c r="BN442" s="45">
        <v>34</v>
      </c>
    </row>
    <row r="443" spans="1:66" ht="15">
      <c r="A443" s="61" t="s">
        <v>428</v>
      </c>
      <c r="B443" s="61" t="s">
        <v>571</v>
      </c>
      <c r="C443" s="62" t="s">
        <v>4688</v>
      </c>
      <c r="D443" s="63">
        <v>5</v>
      </c>
      <c r="E443" s="62"/>
      <c r="F443" s="65">
        <v>50</v>
      </c>
      <c r="G443" s="62"/>
      <c r="H443" s="66"/>
      <c r="I443" s="67"/>
      <c r="J443" s="67"/>
      <c r="K443" s="31" t="s">
        <v>65</v>
      </c>
      <c r="L443" s="68">
        <v>443</v>
      </c>
      <c r="M443" s="68"/>
      <c r="N443" s="69"/>
      <c r="O443" s="76" t="s">
        <v>587</v>
      </c>
      <c r="P443" s="78">
        <v>44815.65331018518</v>
      </c>
      <c r="Q443" s="76" t="s">
        <v>768</v>
      </c>
      <c r="R443" s="76"/>
      <c r="S443" s="76"/>
      <c r="T443" s="81" t="s">
        <v>795</v>
      </c>
      <c r="U443" s="76"/>
      <c r="V443" s="79" t="str">
        <f>HYPERLINK("https://pbs.twimg.com/profile_images/1522304931037913088/v16u8wKz_normal.jpg")</f>
        <v>https://pbs.twimg.com/profile_images/1522304931037913088/v16u8wKz_normal.jpg</v>
      </c>
      <c r="W443" s="78">
        <v>44815.65331018518</v>
      </c>
      <c r="X443" s="84">
        <v>44815</v>
      </c>
      <c r="Y443" s="81" t="s">
        <v>1209</v>
      </c>
      <c r="Z443" s="79" t="str">
        <f>HYPERLINK("https://twitter.com/saresistentzia/status/1568987926331117570")</f>
        <v>https://twitter.com/saresistentzia/status/1568987926331117570</v>
      </c>
      <c r="AA443" s="76"/>
      <c r="AB443" s="76"/>
      <c r="AC443" s="81" t="s">
        <v>1548</v>
      </c>
      <c r="AD443" s="81" t="s">
        <v>1660</v>
      </c>
      <c r="AE443" s="76" t="b">
        <v>0</v>
      </c>
      <c r="AF443" s="76">
        <v>1</v>
      </c>
      <c r="AG443" s="81" t="s">
        <v>1759</v>
      </c>
      <c r="AH443" s="76" t="b">
        <v>0</v>
      </c>
      <c r="AI443" s="76" t="s">
        <v>1774</v>
      </c>
      <c r="AJ443" s="76"/>
      <c r="AK443" s="81" t="s">
        <v>1674</v>
      </c>
      <c r="AL443" s="76" t="b">
        <v>0</v>
      </c>
      <c r="AM443" s="76">
        <v>0</v>
      </c>
      <c r="AN443" s="81" t="s">
        <v>1674</v>
      </c>
      <c r="AO443" s="81" t="s">
        <v>1809</v>
      </c>
      <c r="AP443" s="76" t="b">
        <v>0</v>
      </c>
      <c r="AQ443" s="81" t="s">
        <v>1660</v>
      </c>
      <c r="AR443" s="76" t="s">
        <v>219</v>
      </c>
      <c r="AS443" s="76">
        <v>0</v>
      </c>
      <c r="AT443" s="76">
        <v>0</v>
      </c>
      <c r="AU443" s="76"/>
      <c r="AV443" s="76"/>
      <c r="AW443" s="76"/>
      <c r="AX443" s="76"/>
      <c r="AY443" s="76"/>
      <c r="AZ443" s="76"/>
      <c r="BA443" s="76"/>
      <c r="BB443" s="76"/>
      <c r="BC443">
        <v>1</v>
      </c>
      <c r="BD443" s="75" t="str">
        <f>REPLACE(INDEX(GroupVertices[Group],MATCH(Edges[[#This Row],[Vertex 1]],GroupVertices[Vertex],0)),1,1,"")</f>
        <v>1</v>
      </c>
      <c r="BE443" s="75" t="str">
        <f>REPLACE(INDEX(GroupVertices[Group],MATCH(Edges[[#This Row],[Vertex 2]],GroupVertices[Vertex],0)),1,1,"")</f>
        <v>1</v>
      </c>
      <c r="BF443" s="45">
        <v>0</v>
      </c>
      <c r="BG443" s="46">
        <v>0</v>
      </c>
      <c r="BH443" s="45">
        <v>2</v>
      </c>
      <c r="BI443" s="46">
        <v>8.333333333333334</v>
      </c>
      <c r="BJ443" s="45">
        <v>0</v>
      </c>
      <c r="BK443" s="46">
        <v>0</v>
      </c>
      <c r="BL443" s="45">
        <v>22</v>
      </c>
      <c r="BM443" s="46">
        <v>91.66666666666667</v>
      </c>
      <c r="BN443" s="45">
        <v>24</v>
      </c>
    </row>
    <row r="444" spans="1:66" ht="15">
      <c r="A444" s="61" t="s">
        <v>428</v>
      </c>
      <c r="B444" s="61" t="s">
        <v>572</v>
      </c>
      <c r="C444" s="62" t="s">
        <v>4688</v>
      </c>
      <c r="D444" s="63">
        <v>5</v>
      </c>
      <c r="E444" s="62"/>
      <c r="F444" s="65">
        <v>50</v>
      </c>
      <c r="G444" s="62"/>
      <c r="H444" s="66"/>
      <c r="I444" s="67"/>
      <c r="J444" s="67"/>
      <c r="K444" s="31" t="s">
        <v>65</v>
      </c>
      <c r="L444" s="68">
        <v>444</v>
      </c>
      <c r="M444" s="68"/>
      <c r="N444" s="69"/>
      <c r="O444" s="76" t="s">
        <v>587</v>
      </c>
      <c r="P444" s="78">
        <v>44816.42490740741</v>
      </c>
      <c r="Q444" s="76" t="s">
        <v>769</v>
      </c>
      <c r="R444" s="76"/>
      <c r="S444" s="76"/>
      <c r="T444" s="81" t="s">
        <v>882</v>
      </c>
      <c r="U444" s="76"/>
      <c r="V444" s="79" t="str">
        <f>HYPERLINK("https://pbs.twimg.com/profile_images/1522304931037913088/v16u8wKz_normal.jpg")</f>
        <v>https://pbs.twimg.com/profile_images/1522304931037913088/v16u8wKz_normal.jpg</v>
      </c>
      <c r="W444" s="78">
        <v>44816.42490740741</v>
      </c>
      <c r="X444" s="84">
        <v>44816</v>
      </c>
      <c r="Y444" s="81" t="s">
        <v>1210</v>
      </c>
      <c r="Z444" s="79" t="str">
        <f>HYPERLINK("https://twitter.com/saresistentzia/status/1569267541087772672")</f>
        <v>https://twitter.com/saresistentzia/status/1569267541087772672</v>
      </c>
      <c r="AA444" s="76"/>
      <c r="AB444" s="76"/>
      <c r="AC444" s="81" t="s">
        <v>1549</v>
      </c>
      <c r="AD444" s="81" t="s">
        <v>1661</v>
      </c>
      <c r="AE444" s="76" t="b">
        <v>0</v>
      </c>
      <c r="AF444" s="76">
        <v>0</v>
      </c>
      <c r="AG444" s="81" t="s">
        <v>1760</v>
      </c>
      <c r="AH444" s="76" t="b">
        <v>0</v>
      </c>
      <c r="AI444" s="76" t="s">
        <v>1772</v>
      </c>
      <c r="AJ444" s="76"/>
      <c r="AK444" s="81" t="s">
        <v>1674</v>
      </c>
      <c r="AL444" s="76" t="b">
        <v>0</v>
      </c>
      <c r="AM444" s="76">
        <v>0</v>
      </c>
      <c r="AN444" s="81" t="s">
        <v>1674</v>
      </c>
      <c r="AO444" s="81" t="s">
        <v>1809</v>
      </c>
      <c r="AP444" s="76" t="b">
        <v>0</v>
      </c>
      <c r="AQ444" s="81" t="s">
        <v>1661</v>
      </c>
      <c r="AR444" s="76" t="s">
        <v>219</v>
      </c>
      <c r="AS444" s="76">
        <v>0</v>
      </c>
      <c r="AT444" s="76">
        <v>0</v>
      </c>
      <c r="AU444" s="76"/>
      <c r="AV444" s="76"/>
      <c r="AW444" s="76"/>
      <c r="AX444" s="76"/>
      <c r="AY444" s="76"/>
      <c r="AZ444" s="76"/>
      <c r="BA444" s="76"/>
      <c r="BB444" s="76"/>
      <c r="BC444">
        <v>1</v>
      </c>
      <c r="BD444" s="75" t="str">
        <f>REPLACE(INDEX(GroupVertices[Group],MATCH(Edges[[#This Row],[Vertex 1]],GroupVertices[Vertex],0)),1,1,"")</f>
        <v>1</v>
      </c>
      <c r="BE444" s="75" t="str">
        <f>REPLACE(INDEX(GroupVertices[Group],MATCH(Edges[[#This Row],[Vertex 2]],GroupVertices[Vertex],0)),1,1,"")</f>
        <v>1</v>
      </c>
      <c r="BF444" s="45">
        <v>1</v>
      </c>
      <c r="BG444" s="46">
        <v>3.125</v>
      </c>
      <c r="BH444" s="45">
        <v>2</v>
      </c>
      <c r="BI444" s="46">
        <v>6.25</v>
      </c>
      <c r="BJ444" s="45">
        <v>0</v>
      </c>
      <c r="BK444" s="46">
        <v>0</v>
      </c>
      <c r="BL444" s="45">
        <v>29</v>
      </c>
      <c r="BM444" s="46">
        <v>90.625</v>
      </c>
      <c r="BN444" s="45">
        <v>32</v>
      </c>
    </row>
    <row r="445" spans="1:66" ht="15">
      <c r="A445" s="61" t="s">
        <v>428</v>
      </c>
      <c r="B445" s="61" t="s">
        <v>573</v>
      </c>
      <c r="C445" s="62" t="s">
        <v>4688</v>
      </c>
      <c r="D445" s="63">
        <v>5</v>
      </c>
      <c r="E445" s="62"/>
      <c r="F445" s="65">
        <v>50</v>
      </c>
      <c r="G445" s="62"/>
      <c r="H445" s="66"/>
      <c r="I445" s="67"/>
      <c r="J445" s="67"/>
      <c r="K445" s="31" t="s">
        <v>65</v>
      </c>
      <c r="L445" s="68">
        <v>445</v>
      </c>
      <c r="M445" s="68"/>
      <c r="N445" s="69"/>
      <c r="O445" s="76" t="s">
        <v>588</v>
      </c>
      <c r="P445" s="78">
        <v>44817.835439814815</v>
      </c>
      <c r="Q445" s="76" t="s">
        <v>770</v>
      </c>
      <c r="R445" s="76"/>
      <c r="S445" s="76"/>
      <c r="T445" s="81" t="s">
        <v>883</v>
      </c>
      <c r="U445" s="76"/>
      <c r="V445" s="79" t="str">
        <f>HYPERLINK("https://pbs.twimg.com/profile_images/1522304931037913088/v16u8wKz_normal.jpg")</f>
        <v>https://pbs.twimg.com/profile_images/1522304931037913088/v16u8wKz_normal.jpg</v>
      </c>
      <c r="W445" s="78">
        <v>44817.835439814815</v>
      </c>
      <c r="X445" s="84">
        <v>44817</v>
      </c>
      <c r="Y445" s="81" t="s">
        <v>1211</v>
      </c>
      <c r="Z445" s="79" t="str">
        <f>HYPERLINK("https://twitter.com/saresistentzia/status/1569778703055339530")</f>
        <v>https://twitter.com/saresistentzia/status/1569778703055339530</v>
      </c>
      <c r="AA445" s="76"/>
      <c r="AB445" s="76"/>
      <c r="AC445" s="81" t="s">
        <v>1550</v>
      </c>
      <c r="AD445" s="81" t="s">
        <v>1662</v>
      </c>
      <c r="AE445" s="76" t="b">
        <v>0</v>
      </c>
      <c r="AF445" s="76">
        <v>0</v>
      </c>
      <c r="AG445" s="81" t="s">
        <v>1761</v>
      </c>
      <c r="AH445" s="76" t="b">
        <v>0</v>
      </c>
      <c r="AI445" s="76" t="s">
        <v>1774</v>
      </c>
      <c r="AJ445" s="76"/>
      <c r="AK445" s="81" t="s">
        <v>1674</v>
      </c>
      <c r="AL445" s="76" t="b">
        <v>0</v>
      </c>
      <c r="AM445" s="76">
        <v>0</v>
      </c>
      <c r="AN445" s="81" t="s">
        <v>1674</v>
      </c>
      <c r="AO445" s="81" t="s">
        <v>1809</v>
      </c>
      <c r="AP445" s="76" t="b">
        <v>0</v>
      </c>
      <c r="AQ445" s="81" t="s">
        <v>1662</v>
      </c>
      <c r="AR445" s="76" t="s">
        <v>219</v>
      </c>
      <c r="AS445" s="76">
        <v>0</v>
      </c>
      <c r="AT445" s="76">
        <v>0</v>
      </c>
      <c r="AU445" s="76"/>
      <c r="AV445" s="76"/>
      <c r="AW445" s="76"/>
      <c r="AX445" s="76"/>
      <c r="AY445" s="76"/>
      <c r="AZ445" s="76"/>
      <c r="BA445" s="76"/>
      <c r="BB445" s="76"/>
      <c r="BC445">
        <v>1</v>
      </c>
      <c r="BD445" s="75" t="str">
        <f>REPLACE(INDEX(GroupVertices[Group],MATCH(Edges[[#This Row],[Vertex 1]],GroupVertices[Vertex],0)),1,1,"")</f>
        <v>1</v>
      </c>
      <c r="BE445" s="75" t="str">
        <f>REPLACE(INDEX(GroupVertices[Group],MATCH(Edges[[#This Row],[Vertex 2]],GroupVertices[Vertex],0)),1,1,"")</f>
        <v>1</v>
      </c>
      <c r="BF445" s="45"/>
      <c r="BG445" s="46"/>
      <c r="BH445" s="45"/>
      <c r="BI445" s="46"/>
      <c r="BJ445" s="45"/>
      <c r="BK445" s="46"/>
      <c r="BL445" s="45"/>
      <c r="BM445" s="46"/>
      <c r="BN445" s="45"/>
    </row>
    <row r="446" spans="1:66" ht="15">
      <c r="A446" s="61" t="s">
        <v>428</v>
      </c>
      <c r="B446" s="61" t="s">
        <v>574</v>
      </c>
      <c r="C446" s="62" t="s">
        <v>4688</v>
      </c>
      <c r="D446" s="63">
        <v>5</v>
      </c>
      <c r="E446" s="62"/>
      <c r="F446" s="65">
        <v>50</v>
      </c>
      <c r="G446" s="62"/>
      <c r="H446" s="66"/>
      <c r="I446" s="67"/>
      <c r="J446" s="67"/>
      <c r="K446" s="31" t="s">
        <v>65</v>
      </c>
      <c r="L446" s="68">
        <v>446</v>
      </c>
      <c r="M446" s="68"/>
      <c r="N446" s="69"/>
      <c r="O446" s="76" t="s">
        <v>588</v>
      </c>
      <c r="P446" s="78">
        <v>44817.835439814815</v>
      </c>
      <c r="Q446" s="76" t="s">
        <v>770</v>
      </c>
      <c r="R446" s="76"/>
      <c r="S446" s="76"/>
      <c r="T446" s="81" t="s">
        <v>883</v>
      </c>
      <c r="U446" s="76"/>
      <c r="V446" s="79" t="str">
        <f>HYPERLINK("https://pbs.twimg.com/profile_images/1522304931037913088/v16u8wKz_normal.jpg")</f>
        <v>https://pbs.twimg.com/profile_images/1522304931037913088/v16u8wKz_normal.jpg</v>
      </c>
      <c r="W446" s="78">
        <v>44817.835439814815</v>
      </c>
      <c r="X446" s="84">
        <v>44817</v>
      </c>
      <c r="Y446" s="81" t="s">
        <v>1211</v>
      </c>
      <c r="Z446" s="79" t="str">
        <f>HYPERLINK("https://twitter.com/saresistentzia/status/1569778703055339530")</f>
        <v>https://twitter.com/saresistentzia/status/1569778703055339530</v>
      </c>
      <c r="AA446" s="76"/>
      <c r="AB446" s="76"/>
      <c r="AC446" s="81" t="s">
        <v>1550</v>
      </c>
      <c r="AD446" s="81" t="s">
        <v>1662</v>
      </c>
      <c r="AE446" s="76" t="b">
        <v>0</v>
      </c>
      <c r="AF446" s="76">
        <v>0</v>
      </c>
      <c r="AG446" s="81" t="s">
        <v>1761</v>
      </c>
      <c r="AH446" s="76" t="b">
        <v>0</v>
      </c>
      <c r="AI446" s="76" t="s">
        <v>1774</v>
      </c>
      <c r="AJ446" s="76"/>
      <c r="AK446" s="81" t="s">
        <v>1674</v>
      </c>
      <c r="AL446" s="76" t="b">
        <v>0</v>
      </c>
      <c r="AM446" s="76">
        <v>0</v>
      </c>
      <c r="AN446" s="81" t="s">
        <v>1674</v>
      </c>
      <c r="AO446" s="81" t="s">
        <v>1809</v>
      </c>
      <c r="AP446" s="76" t="b">
        <v>0</v>
      </c>
      <c r="AQ446" s="81" t="s">
        <v>1662</v>
      </c>
      <c r="AR446" s="76" t="s">
        <v>219</v>
      </c>
      <c r="AS446" s="76">
        <v>0</v>
      </c>
      <c r="AT446" s="76">
        <v>0</v>
      </c>
      <c r="AU446" s="76"/>
      <c r="AV446" s="76"/>
      <c r="AW446" s="76"/>
      <c r="AX446" s="76"/>
      <c r="AY446" s="76"/>
      <c r="AZ446" s="76"/>
      <c r="BA446" s="76"/>
      <c r="BB446" s="76"/>
      <c r="BC446">
        <v>1</v>
      </c>
      <c r="BD446" s="75" t="str">
        <f>REPLACE(INDEX(GroupVertices[Group],MATCH(Edges[[#This Row],[Vertex 1]],GroupVertices[Vertex],0)),1,1,"")</f>
        <v>1</v>
      </c>
      <c r="BE446" s="75" t="str">
        <f>REPLACE(INDEX(GroupVertices[Group],MATCH(Edges[[#This Row],[Vertex 2]],GroupVertices[Vertex],0)),1,1,"")</f>
        <v>1</v>
      </c>
      <c r="BF446" s="45"/>
      <c r="BG446" s="46"/>
      <c r="BH446" s="45"/>
      <c r="BI446" s="46"/>
      <c r="BJ446" s="45"/>
      <c r="BK446" s="46"/>
      <c r="BL446" s="45"/>
      <c r="BM446" s="46"/>
      <c r="BN446" s="45"/>
    </row>
    <row r="447" spans="1:66" ht="15">
      <c r="A447" s="61" t="s">
        <v>428</v>
      </c>
      <c r="B447" s="61" t="s">
        <v>575</v>
      </c>
      <c r="C447" s="62" t="s">
        <v>4688</v>
      </c>
      <c r="D447" s="63">
        <v>5</v>
      </c>
      <c r="E447" s="62"/>
      <c r="F447" s="65">
        <v>50</v>
      </c>
      <c r="G447" s="62"/>
      <c r="H447" s="66"/>
      <c r="I447" s="67"/>
      <c r="J447" s="67"/>
      <c r="K447" s="31" t="s">
        <v>65</v>
      </c>
      <c r="L447" s="68">
        <v>447</v>
      </c>
      <c r="M447" s="68"/>
      <c r="N447" s="69"/>
      <c r="O447" s="76" t="s">
        <v>588</v>
      </c>
      <c r="P447" s="78">
        <v>44817.835439814815</v>
      </c>
      <c r="Q447" s="76" t="s">
        <v>770</v>
      </c>
      <c r="R447" s="76"/>
      <c r="S447" s="76"/>
      <c r="T447" s="81" t="s">
        <v>883</v>
      </c>
      <c r="U447" s="76"/>
      <c r="V447" s="79" t="str">
        <f>HYPERLINK("https://pbs.twimg.com/profile_images/1522304931037913088/v16u8wKz_normal.jpg")</f>
        <v>https://pbs.twimg.com/profile_images/1522304931037913088/v16u8wKz_normal.jpg</v>
      </c>
      <c r="W447" s="78">
        <v>44817.835439814815</v>
      </c>
      <c r="X447" s="84">
        <v>44817</v>
      </c>
      <c r="Y447" s="81" t="s">
        <v>1211</v>
      </c>
      <c r="Z447" s="79" t="str">
        <f>HYPERLINK("https://twitter.com/saresistentzia/status/1569778703055339530")</f>
        <v>https://twitter.com/saresistentzia/status/1569778703055339530</v>
      </c>
      <c r="AA447" s="76"/>
      <c r="AB447" s="76"/>
      <c r="AC447" s="81" t="s">
        <v>1550</v>
      </c>
      <c r="AD447" s="81" t="s">
        <v>1662</v>
      </c>
      <c r="AE447" s="76" t="b">
        <v>0</v>
      </c>
      <c r="AF447" s="76">
        <v>0</v>
      </c>
      <c r="AG447" s="81" t="s">
        <v>1761</v>
      </c>
      <c r="AH447" s="76" t="b">
        <v>0</v>
      </c>
      <c r="AI447" s="76" t="s">
        <v>1774</v>
      </c>
      <c r="AJ447" s="76"/>
      <c r="AK447" s="81" t="s">
        <v>1674</v>
      </c>
      <c r="AL447" s="76" t="b">
        <v>0</v>
      </c>
      <c r="AM447" s="76">
        <v>0</v>
      </c>
      <c r="AN447" s="81" t="s">
        <v>1674</v>
      </c>
      <c r="AO447" s="81" t="s">
        <v>1809</v>
      </c>
      <c r="AP447" s="76" t="b">
        <v>0</v>
      </c>
      <c r="AQ447" s="81" t="s">
        <v>1662</v>
      </c>
      <c r="AR447" s="76" t="s">
        <v>219</v>
      </c>
      <c r="AS447" s="76">
        <v>0</v>
      </c>
      <c r="AT447" s="76">
        <v>0</v>
      </c>
      <c r="AU447" s="76"/>
      <c r="AV447" s="76"/>
      <c r="AW447" s="76"/>
      <c r="AX447" s="76"/>
      <c r="AY447" s="76"/>
      <c r="AZ447" s="76"/>
      <c r="BA447" s="76"/>
      <c r="BB447" s="76"/>
      <c r="BC447">
        <v>1</v>
      </c>
      <c r="BD447" s="75" t="str">
        <f>REPLACE(INDEX(GroupVertices[Group],MATCH(Edges[[#This Row],[Vertex 1]],GroupVertices[Vertex],0)),1,1,"")</f>
        <v>1</v>
      </c>
      <c r="BE447" s="75" t="str">
        <f>REPLACE(INDEX(GroupVertices[Group],MATCH(Edges[[#This Row],[Vertex 2]],GroupVertices[Vertex],0)),1,1,"")</f>
        <v>1</v>
      </c>
      <c r="BF447" s="45"/>
      <c r="BG447" s="46"/>
      <c r="BH447" s="45"/>
      <c r="BI447" s="46"/>
      <c r="BJ447" s="45"/>
      <c r="BK447" s="46"/>
      <c r="BL447" s="45"/>
      <c r="BM447" s="46"/>
      <c r="BN447" s="45"/>
    </row>
    <row r="448" spans="1:66" ht="15">
      <c r="A448" s="61" t="s">
        <v>428</v>
      </c>
      <c r="B448" s="61" t="s">
        <v>576</v>
      </c>
      <c r="C448" s="62" t="s">
        <v>4688</v>
      </c>
      <c r="D448" s="63">
        <v>5</v>
      </c>
      <c r="E448" s="62"/>
      <c r="F448" s="65">
        <v>50</v>
      </c>
      <c r="G448" s="62"/>
      <c r="H448" s="66"/>
      <c r="I448" s="67"/>
      <c r="J448" s="67"/>
      <c r="K448" s="31" t="s">
        <v>65</v>
      </c>
      <c r="L448" s="68">
        <v>448</v>
      </c>
      <c r="M448" s="68"/>
      <c r="N448" s="69"/>
      <c r="O448" s="76" t="s">
        <v>587</v>
      </c>
      <c r="P448" s="78">
        <v>44817.835439814815</v>
      </c>
      <c r="Q448" s="76" t="s">
        <v>770</v>
      </c>
      <c r="R448" s="76"/>
      <c r="S448" s="76"/>
      <c r="T448" s="81" t="s">
        <v>883</v>
      </c>
      <c r="U448" s="76"/>
      <c r="V448" s="79" t="str">
        <f>HYPERLINK("https://pbs.twimg.com/profile_images/1522304931037913088/v16u8wKz_normal.jpg")</f>
        <v>https://pbs.twimg.com/profile_images/1522304931037913088/v16u8wKz_normal.jpg</v>
      </c>
      <c r="W448" s="78">
        <v>44817.835439814815</v>
      </c>
      <c r="X448" s="84">
        <v>44817</v>
      </c>
      <c r="Y448" s="81" t="s">
        <v>1211</v>
      </c>
      <c r="Z448" s="79" t="str">
        <f>HYPERLINK("https://twitter.com/saresistentzia/status/1569778703055339530")</f>
        <v>https://twitter.com/saresistentzia/status/1569778703055339530</v>
      </c>
      <c r="AA448" s="76"/>
      <c r="AB448" s="76"/>
      <c r="AC448" s="81" t="s">
        <v>1550</v>
      </c>
      <c r="AD448" s="81" t="s">
        <v>1662</v>
      </c>
      <c r="AE448" s="76" t="b">
        <v>0</v>
      </c>
      <c r="AF448" s="76">
        <v>0</v>
      </c>
      <c r="AG448" s="81" t="s">
        <v>1761</v>
      </c>
      <c r="AH448" s="76" t="b">
        <v>0</v>
      </c>
      <c r="AI448" s="76" t="s">
        <v>1774</v>
      </c>
      <c r="AJ448" s="76"/>
      <c r="AK448" s="81" t="s">
        <v>1674</v>
      </c>
      <c r="AL448" s="76" t="b">
        <v>0</v>
      </c>
      <c r="AM448" s="76">
        <v>0</v>
      </c>
      <c r="AN448" s="81" t="s">
        <v>1674</v>
      </c>
      <c r="AO448" s="81" t="s">
        <v>1809</v>
      </c>
      <c r="AP448" s="76" t="b">
        <v>0</v>
      </c>
      <c r="AQ448" s="81" t="s">
        <v>1662</v>
      </c>
      <c r="AR448" s="76" t="s">
        <v>219</v>
      </c>
      <c r="AS448" s="76">
        <v>0</v>
      </c>
      <c r="AT448" s="76">
        <v>0</v>
      </c>
      <c r="AU448" s="76"/>
      <c r="AV448" s="76"/>
      <c r="AW448" s="76"/>
      <c r="AX448" s="76"/>
      <c r="AY448" s="76"/>
      <c r="AZ448" s="76"/>
      <c r="BA448" s="76"/>
      <c r="BB448" s="76"/>
      <c r="BC448">
        <v>1</v>
      </c>
      <c r="BD448" s="75" t="str">
        <f>REPLACE(INDEX(GroupVertices[Group],MATCH(Edges[[#This Row],[Vertex 1]],GroupVertices[Vertex],0)),1,1,"")</f>
        <v>1</v>
      </c>
      <c r="BE448" s="75" t="str">
        <f>REPLACE(INDEX(GroupVertices[Group],MATCH(Edges[[#This Row],[Vertex 2]],GroupVertices[Vertex],0)),1,1,"")</f>
        <v>1</v>
      </c>
      <c r="BF448" s="45">
        <v>0</v>
      </c>
      <c r="BG448" s="46">
        <v>0</v>
      </c>
      <c r="BH448" s="45">
        <v>0</v>
      </c>
      <c r="BI448" s="46">
        <v>0</v>
      </c>
      <c r="BJ448" s="45">
        <v>0</v>
      </c>
      <c r="BK448" s="46">
        <v>0</v>
      </c>
      <c r="BL448" s="45">
        <v>24</v>
      </c>
      <c r="BM448" s="46">
        <v>100</v>
      </c>
      <c r="BN448" s="45">
        <v>24</v>
      </c>
    </row>
    <row r="449" spans="1:66" ht="15">
      <c r="A449" s="61" t="s">
        <v>428</v>
      </c>
      <c r="B449" s="61" t="s">
        <v>577</v>
      </c>
      <c r="C449" s="62" t="s">
        <v>4688</v>
      </c>
      <c r="D449" s="63">
        <v>5</v>
      </c>
      <c r="E449" s="62"/>
      <c r="F449" s="65">
        <v>50</v>
      </c>
      <c r="G449" s="62"/>
      <c r="H449" s="66"/>
      <c r="I449" s="67"/>
      <c r="J449" s="67"/>
      <c r="K449" s="31" t="s">
        <v>65</v>
      </c>
      <c r="L449" s="68">
        <v>449</v>
      </c>
      <c r="M449" s="68"/>
      <c r="N449" s="69"/>
      <c r="O449" s="76" t="s">
        <v>587</v>
      </c>
      <c r="P449" s="78">
        <v>44818.24024305555</v>
      </c>
      <c r="Q449" s="76" t="s">
        <v>771</v>
      </c>
      <c r="R449" s="76"/>
      <c r="S449" s="76"/>
      <c r="T449" s="81" t="s">
        <v>884</v>
      </c>
      <c r="U449" s="76"/>
      <c r="V449" s="79" t="str">
        <f>HYPERLINK("https://pbs.twimg.com/profile_images/1522304931037913088/v16u8wKz_normal.jpg")</f>
        <v>https://pbs.twimg.com/profile_images/1522304931037913088/v16u8wKz_normal.jpg</v>
      </c>
      <c r="W449" s="78">
        <v>44818.24024305555</v>
      </c>
      <c r="X449" s="84">
        <v>44818</v>
      </c>
      <c r="Y449" s="81" t="s">
        <v>1212</v>
      </c>
      <c r="Z449" s="79" t="str">
        <f>HYPERLINK("https://twitter.com/saresistentzia/status/1569925396845436929")</f>
        <v>https://twitter.com/saresistentzia/status/1569925396845436929</v>
      </c>
      <c r="AA449" s="76"/>
      <c r="AB449" s="76"/>
      <c r="AC449" s="81" t="s">
        <v>1551</v>
      </c>
      <c r="AD449" s="81" t="s">
        <v>1663</v>
      </c>
      <c r="AE449" s="76" t="b">
        <v>0</v>
      </c>
      <c r="AF449" s="76">
        <v>0</v>
      </c>
      <c r="AG449" s="81" t="s">
        <v>1762</v>
      </c>
      <c r="AH449" s="76" t="b">
        <v>0</v>
      </c>
      <c r="AI449" s="76" t="s">
        <v>1774</v>
      </c>
      <c r="AJ449" s="76"/>
      <c r="AK449" s="81" t="s">
        <v>1674</v>
      </c>
      <c r="AL449" s="76" t="b">
        <v>0</v>
      </c>
      <c r="AM449" s="76">
        <v>0</v>
      </c>
      <c r="AN449" s="81" t="s">
        <v>1674</v>
      </c>
      <c r="AO449" s="81" t="s">
        <v>1809</v>
      </c>
      <c r="AP449" s="76" t="b">
        <v>0</v>
      </c>
      <c r="AQ449" s="81" t="s">
        <v>1663</v>
      </c>
      <c r="AR449" s="76" t="s">
        <v>219</v>
      </c>
      <c r="AS449" s="76">
        <v>0</v>
      </c>
      <c r="AT449" s="76">
        <v>0</v>
      </c>
      <c r="AU449" s="76"/>
      <c r="AV449" s="76"/>
      <c r="AW449" s="76"/>
      <c r="AX449" s="76"/>
      <c r="AY449" s="76"/>
      <c r="AZ449" s="76"/>
      <c r="BA449" s="76"/>
      <c r="BB449" s="76"/>
      <c r="BC449">
        <v>1</v>
      </c>
      <c r="BD449" s="75" t="str">
        <f>REPLACE(INDEX(GroupVertices[Group],MATCH(Edges[[#This Row],[Vertex 1]],GroupVertices[Vertex],0)),1,1,"")</f>
        <v>1</v>
      </c>
      <c r="BE449" s="75" t="str">
        <f>REPLACE(INDEX(GroupVertices[Group],MATCH(Edges[[#This Row],[Vertex 2]],GroupVertices[Vertex],0)),1,1,"")</f>
        <v>1</v>
      </c>
      <c r="BF449" s="45">
        <v>0</v>
      </c>
      <c r="BG449" s="46">
        <v>0</v>
      </c>
      <c r="BH449" s="45">
        <v>0</v>
      </c>
      <c r="BI449" s="46">
        <v>0</v>
      </c>
      <c r="BJ449" s="45">
        <v>0</v>
      </c>
      <c r="BK449" s="46">
        <v>0</v>
      </c>
      <c r="BL449" s="45">
        <v>8</v>
      </c>
      <c r="BM449" s="46">
        <v>100</v>
      </c>
      <c r="BN449" s="45">
        <v>8</v>
      </c>
    </row>
    <row r="450" spans="1:66" ht="15">
      <c r="A450" s="61" t="s">
        <v>428</v>
      </c>
      <c r="B450" s="61" t="s">
        <v>578</v>
      </c>
      <c r="C450" s="62" t="s">
        <v>4688</v>
      </c>
      <c r="D450" s="63">
        <v>5</v>
      </c>
      <c r="E450" s="62"/>
      <c r="F450" s="65">
        <v>50</v>
      </c>
      <c r="G450" s="62"/>
      <c r="H450" s="66"/>
      <c r="I450" s="67"/>
      <c r="J450" s="67"/>
      <c r="K450" s="31" t="s">
        <v>65</v>
      </c>
      <c r="L450" s="68">
        <v>450</v>
      </c>
      <c r="M450" s="68"/>
      <c r="N450" s="69"/>
      <c r="O450" s="76" t="s">
        <v>587</v>
      </c>
      <c r="P450" s="78">
        <v>44818.26756944445</v>
      </c>
      <c r="Q450" s="76" t="s">
        <v>772</v>
      </c>
      <c r="R450" s="76"/>
      <c r="S450" s="76"/>
      <c r="T450" s="81" t="s">
        <v>885</v>
      </c>
      <c r="U450" s="76"/>
      <c r="V450" s="79" t="str">
        <f>HYPERLINK("https://pbs.twimg.com/profile_images/1522304931037913088/v16u8wKz_normal.jpg")</f>
        <v>https://pbs.twimg.com/profile_images/1522304931037913088/v16u8wKz_normal.jpg</v>
      </c>
      <c r="W450" s="78">
        <v>44818.26756944445</v>
      </c>
      <c r="X450" s="84">
        <v>44818</v>
      </c>
      <c r="Y450" s="81" t="s">
        <v>1213</v>
      </c>
      <c r="Z450" s="79" t="str">
        <f>HYPERLINK("https://twitter.com/saresistentzia/status/1569935300507336704")</f>
        <v>https://twitter.com/saresistentzia/status/1569935300507336704</v>
      </c>
      <c r="AA450" s="76"/>
      <c r="AB450" s="76"/>
      <c r="AC450" s="81" t="s">
        <v>1552</v>
      </c>
      <c r="AD450" s="81" t="s">
        <v>1664</v>
      </c>
      <c r="AE450" s="76" t="b">
        <v>0</v>
      </c>
      <c r="AF450" s="76">
        <v>0</v>
      </c>
      <c r="AG450" s="81" t="s">
        <v>1763</v>
      </c>
      <c r="AH450" s="76" t="b">
        <v>0</v>
      </c>
      <c r="AI450" s="76" t="s">
        <v>1774</v>
      </c>
      <c r="AJ450" s="76"/>
      <c r="AK450" s="81" t="s">
        <v>1674</v>
      </c>
      <c r="AL450" s="76" t="b">
        <v>0</v>
      </c>
      <c r="AM450" s="76">
        <v>0</v>
      </c>
      <c r="AN450" s="81" t="s">
        <v>1674</v>
      </c>
      <c r="AO450" s="81" t="s">
        <v>1809</v>
      </c>
      <c r="AP450" s="76" t="b">
        <v>0</v>
      </c>
      <c r="AQ450" s="81" t="s">
        <v>1664</v>
      </c>
      <c r="AR450" s="76" t="s">
        <v>219</v>
      </c>
      <c r="AS450" s="76">
        <v>0</v>
      </c>
      <c r="AT450" s="76">
        <v>0</v>
      </c>
      <c r="AU450" s="76"/>
      <c r="AV450" s="76"/>
      <c r="AW450" s="76"/>
      <c r="AX450" s="76"/>
      <c r="AY450" s="76"/>
      <c r="AZ450" s="76"/>
      <c r="BA450" s="76"/>
      <c r="BB450" s="76"/>
      <c r="BC450">
        <v>1</v>
      </c>
      <c r="BD450" s="75" t="str">
        <f>REPLACE(INDEX(GroupVertices[Group],MATCH(Edges[[#This Row],[Vertex 1]],GroupVertices[Vertex],0)),1,1,"")</f>
        <v>1</v>
      </c>
      <c r="BE450" s="75" t="str">
        <f>REPLACE(INDEX(GroupVertices[Group],MATCH(Edges[[#This Row],[Vertex 2]],GroupVertices[Vertex],0)),1,1,"")</f>
        <v>1</v>
      </c>
      <c r="BF450" s="45">
        <v>0</v>
      </c>
      <c r="BG450" s="46">
        <v>0</v>
      </c>
      <c r="BH450" s="45">
        <v>3</v>
      </c>
      <c r="BI450" s="46">
        <v>8.333333333333334</v>
      </c>
      <c r="BJ450" s="45">
        <v>0</v>
      </c>
      <c r="BK450" s="46">
        <v>0</v>
      </c>
      <c r="BL450" s="45">
        <v>33</v>
      </c>
      <c r="BM450" s="46">
        <v>91.66666666666667</v>
      </c>
      <c r="BN450" s="45">
        <v>36</v>
      </c>
    </row>
    <row r="451" spans="1:66" ht="15">
      <c r="A451" s="61" t="s">
        <v>428</v>
      </c>
      <c r="B451" s="61" t="s">
        <v>579</v>
      </c>
      <c r="C451" s="62" t="s">
        <v>4688</v>
      </c>
      <c r="D451" s="63">
        <v>5</v>
      </c>
      <c r="E451" s="62"/>
      <c r="F451" s="65">
        <v>50</v>
      </c>
      <c r="G451" s="62"/>
      <c r="H451" s="66"/>
      <c r="I451" s="67"/>
      <c r="J451" s="67"/>
      <c r="K451" s="31" t="s">
        <v>65</v>
      </c>
      <c r="L451" s="68">
        <v>451</v>
      </c>
      <c r="M451" s="68"/>
      <c r="N451" s="69"/>
      <c r="O451" s="76" t="s">
        <v>587</v>
      </c>
      <c r="P451" s="78">
        <v>44818.386099537034</v>
      </c>
      <c r="Q451" s="76" t="s">
        <v>773</v>
      </c>
      <c r="R451" s="76"/>
      <c r="S451" s="76"/>
      <c r="T451" s="81" t="s">
        <v>886</v>
      </c>
      <c r="U451" s="76"/>
      <c r="V451" s="79" t="str">
        <f>HYPERLINK("https://pbs.twimg.com/profile_images/1522304931037913088/v16u8wKz_normal.jpg")</f>
        <v>https://pbs.twimg.com/profile_images/1522304931037913088/v16u8wKz_normal.jpg</v>
      </c>
      <c r="W451" s="78">
        <v>44818.386099537034</v>
      </c>
      <c r="X451" s="84">
        <v>44818</v>
      </c>
      <c r="Y451" s="81" t="s">
        <v>1214</v>
      </c>
      <c r="Z451" s="79" t="str">
        <f>HYPERLINK("https://twitter.com/saresistentzia/status/1569978253468745730")</f>
        <v>https://twitter.com/saresistentzia/status/1569978253468745730</v>
      </c>
      <c r="AA451" s="76"/>
      <c r="AB451" s="76"/>
      <c r="AC451" s="81" t="s">
        <v>1553</v>
      </c>
      <c r="AD451" s="81" t="s">
        <v>1665</v>
      </c>
      <c r="AE451" s="76" t="b">
        <v>0</v>
      </c>
      <c r="AF451" s="76">
        <v>3</v>
      </c>
      <c r="AG451" s="81" t="s">
        <v>1764</v>
      </c>
      <c r="AH451" s="76" t="b">
        <v>0</v>
      </c>
      <c r="AI451" s="76" t="s">
        <v>1774</v>
      </c>
      <c r="AJ451" s="76"/>
      <c r="AK451" s="81" t="s">
        <v>1674</v>
      </c>
      <c r="AL451" s="76" t="b">
        <v>0</v>
      </c>
      <c r="AM451" s="76">
        <v>0</v>
      </c>
      <c r="AN451" s="81" t="s">
        <v>1674</v>
      </c>
      <c r="AO451" s="81" t="s">
        <v>1809</v>
      </c>
      <c r="AP451" s="76" t="b">
        <v>0</v>
      </c>
      <c r="AQ451" s="81" t="s">
        <v>1665</v>
      </c>
      <c r="AR451" s="76" t="s">
        <v>219</v>
      </c>
      <c r="AS451" s="76">
        <v>0</v>
      </c>
      <c r="AT451" s="76">
        <v>0</v>
      </c>
      <c r="AU451" s="76"/>
      <c r="AV451" s="76"/>
      <c r="AW451" s="76"/>
      <c r="AX451" s="76"/>
      <c r="AY451" s="76"/>
      <c r="AZ451" s="76"/>
      <c r="BA451" s="76"/>
      <c r="BB451" s="76"/>
      <c r="BC451">
        <v>1</v>
      </c>
      <c r="BD451" s="75" t="str">
        <f>REPLACE(INDEX(GroupVertices[Group],MATCH(Edges[[#This Row],[Vertex 1]],GroupVertices[Vertex],0)),1,1,"")</f>
        <v>1</v>
      </c>
      <c r="BE451" s="75" t="str">
        <f>REPLACE(INDEX(GroupVertices[Group],MATCH(Edges[[#This Row],[Vertex 2]],GroupVertices[Vertex],0)),1,1,"")</f>
        <v>1</v>
      </c>
      <c r="BF451" s="45">
        <v>0</v>
      </c>
      <c r="BG451" s="46">
        <v>0</v>
      </c>
      <c r="BH451" s="45">
        <v>0</v>
      </c>
      <c r="BI451" s="46">
        <v>0</v>
      </c>
      <c r="BJ451" s="45">
        <v>0</v>
      </c>
      <c r="BK451" s="46">
        <v>0</v>
      </c>
      <c r="BL451" s="45">
        <v>27</v>
      </c>
      <c r="BM451" s="46">
        <v>100</v>
      </c>
      <c r="BN451" s="45">
        <v>27</v>
      </c>
    </row>
    <row r="452" spans="1:66" ht="15">
      <c r="A452" s="61" t="s">
        <v>428</v>
      </c>
      <c r="B452" s="61" t="s">
        <v>580</v>
      </c>
      <c r="C452" s="62" t="s">
        <v>4688</v>
      </c>
      <c r="D452" s="63">
        <v>5</v>
      </c>
      <c r="E452" s="62"/>
      <c r="F452" s="65">
        <v>50</v>
      </c>
      <c r="G452" s="62"/>
      <c r="H452" s="66"/>
      <c r="I452" s="67"/>
      <c r="J452" s="67"/>
      <c r="K452" s="31" t="s">
        <v>65</v>
      </c>
      <c r="L452" s="68">
        <v>452</v>
      </c>
      <c r="M452" s="68"/>
      <c r="N452" s="69"/>
      <c r="O452" s="76" t="s">
        <v>587</v>
      </c>
      <c r="P452" s="78">
        <v>44818.6875</v>
      </c>
      <c r="Q452" s="76" t="s">
        <v>774</v>
      </c>
      <c r="R452" s="76"/>
      <c r="S452" s="76"/>
      <c r="T452" s="81" t="s">
        <v>887</v>
      </c>
      <c r="U452" s="76"/>
      <c r="V452" s="79" t="str">
        <f>HYPERLINK("https://pbs.twimg.com/profile_images/1522304931037913088/v16u8wKz_normal.jpg")</f>
        <v>https://pbs.twimg.com/profile_images/1522304931037913088/v16u8wKz_normal.jpg</v>
      </c>
      <c r="W452" s="78">
        <v>44818.6875</v>
      </c>
      <c r="X452" s="84">
        <v>44818</v>
      </c>
      <c r="Y452" s="81" t="s">
        <v>1215</v>
      </c>
      <c r="Z452" s="79" t="str">
        <f>HYPERLINK("https://twitter.com/saresistentzia/status/1570087477381152768")</f>
        <v>https://twitter.com/saresistentzia/status/1570087477381152768</v>
      </c>
      <c r="AA452" s="76"/>
      <c r="AB452" s="76"/>
      <c r="AC452" s="81" t="s">
        <v>1554</v>
      </c>
      <c r="AD452" s="81" t="s">
        <v>1666</v>
      </c>
      <c r="AE452" s="76" t="b">
        <v>0</v>
      </c>
      <c r="AF452" s="76">
        <v>4</v>
      </c>
      <c r="AG452" s="81" t="s">
        <v>1765</v>
      </c>
      <c r="AH452" s="76" t="b">
        <v>0</v>
      </c>
      <c r="AI452" s="76" t="s">
        <v>1774</v>
      </c>
      <c r="AJ452" s="76"/>
      <c r="AK452" s="81" t="s">
        <v>1674</v>
      </c>
      <c r="AL452" s="76" t="b">
        <v>0</v>
      </c>
      <c r="AM452" s="76">
        <v>0</v>
      </c>
      <c r="AN452" s="81" t="s">
        <v>1674</v>
      </c>
      <c r="AO452" s="81" t="s">
        <v>1809</v>
      </c>
      <c r="AP452" s="76" t="b">
        <v>0</v>
      </c>
      <c r="AQ452" s="81" t="s">
        <v>1666</v>
      </c>
      <c r="AR452" s="76" t="s">
        <v>219</v>
      </c>
      <c r="AS452" s="76">
        <v>0</v>
      </c>
      <c r="AT452" s="76">
        <v>0</v>
      </c>
      <c r="AU452" s="76"/>
      <c r="AV452" s="76"/>
      <c r="AW452" s="76"/>
      <c r="AX452" s="76"/>
      <c r="AY452" s="76"/>
      <c r="AZ452" s="76"/>
      <c r="BA452" s="76"/>
      <c r="BB452" s="76"/>
      <c r="BC452">
        <v>1</v>
      </c>
      <c r="BD452" s="75" t="str">
        <f>REPLACE(INDEX(GroupVertices[Group],MATCH(Edges[[#This Row],[Vertex 1]],GroupVertices[Vertex],0)),1,1,"")</f>
        <v>1</v>
      </c>
      <c r="BE452" s="75" t="str">
        <f>REPLACE(INDEX(GroupVertices[Group],MATCH(Edges[[#This Row],[Vertex 2]],GroupVertices[Vertex],0)),1,1,"")</f>
        <v>1</v>
      </c>
      <c r="BF452" s="45">
        <v>0</v>
      </c>
      <c r="BG452" s="46">
        <v>0</v>
      </c>
      <c r="BH452" s="45">
        <v>1</v>
      </c>
      <c r="BI452" s="46">
        <v>4.166666666666667</v>
      </c>
      <c r="BJ452" s="45">
        <v>0</v>
      </c>
      <c r="BK452" s="46">
        <v>0</v>
      </c>
      <c r="BL452" s="45">
        <v>23</v>
      </c>
      <c r="BM452" s="46">
        <v>95.83333333333333</v>
      </c>
      <c r="BN452" s="45">
        <v>24</v>
      </c>
    </row>
    <row r="453" spans="1:66" ht="15">
      <c r="A453" s="61" t="s">
        <v>428</v>
      </c>
      <c r="B453" s="61" t="s">
        <v>533</v>
      </c>
      <c r="C453" s="62" t="s">
        <v>4688</v>
      </c>
      <c r="D453" s="63">
        <v>5</v>
      </c>
      <c r="E453" s="62"/>
      <c r="F453" s="65">
        <v>50</v>
      </c>
      <c r="G453" s="62"/>
      <c r="H453" s="66"/>
      <c r="I453" s="67"/>
      <c r="J453" s="67"/>
      <c r="K453" s="31" t="s">
        <v>65</v>
      </c>
      <c r="L453" s="68">
        <v>453</v>
      </c>
      <c r="M453" s="68"/>
      <c r="N453" s="69"/>
      <c r="O453" s="76" t="s">
        <v>588</v>
      </c>
      <c r="P453" s="78">
        <v>44818.72476851852</v>
      </c>
      <c r="Q453" s="76" t="s">
        <v>775</v>
      </c>
      <c r="R453" s="76"/>
      <c r="S453" s="76"/>
      <c r="T453" s="81" t="s">
        <v>888</v>
      </c>
      <c r="U453" s="76"/>
      <c r="V453" s="79" t="str">
        <f>HYPERLINK("https://pbs.twimg.com/profile_images/1522304931037913088/v16u8wKz_normal.jpg")</f>
        <v>https://pbs.twimg.com/profile_images/1522304931037913088/v16u8wKz_normal.jpg</v>
      </c>
      <c r="W453" s="78">
        <v>44818.72476851852</v>
      </c>
      <c r="X453" s="84">
        <v>44818</v>
      </c>
      <c r="Y453" s="81" t="s">
        <v>1216</v>
      </c>
      <c r="Z453" s="79" t="str">
        <f>HYPERLINK("https://twitter.com/saresistentzia/status/1570100983266426882")</f>
        <v>https://twitter.com/saresistentzia/status/1570100983266426882</v>
      </c>
      <c r="AA453" s="76"/>
      <c r="AB453" s="76"/>
      <c r="AC453" s="81" t="s">
        <v>1555</v>
      </c>
      <c r="AD453" s="81" t="s">
        <v>1618</v>
      </c>
      <c r="AE453" s="76" t="b">
        <v>0</v>
      </c>
      <c r="AF453" s="76">
        <v>0</v>
      </c>
      <c r="AG453" s="81" t="s">
        <v>1702</v>
      </c>
      <c r="AH453" s="76" t="b">
        <v>0</v>
      </c>
      <c r="AI453" s="76" t="s">
        <v>1772</v>
      </c>
      <c r="AJ453" s="76"/>
      <c r="AK453" s="81" t="s">
        <v>1674</v>
      </c>
      <c r="AL453" s="76" t="b">
        <v>0</v>
      </c>
      <c r="AM453" s="76">
        <v>0</v>
      </c>
      <c r="AN453" s="81" t="s">
        <v>1674</v>
      </c>
      <c r="AO453" s="81" t="s">
        <v>1809</v>
      </c>
      <c r="AP453" s="76" t="b">
        <v>0</v>
      </c>
      <c r="AQ453" s="81" t="s">
        <v>1618</v>
      </c>
      <c r="AR453" s="76" t="s">
        <v>219</v>
      </c>
      <c r="AS453" s="76">
        <v>0</v>
      </c>
      <c r="AT453" s="76">
        <v>0</v>
      </c>
      <c r="AU453" s="76"/>
      <c r="AV453" s="76"/>
      <c r="AW453" s="76"/>
      <c r="AX453" s="76"/>
      <c r="AY453" s="76"/>
      <c r="AZ453" s="76"/>
      <c r="BA453" s="76"/>
      <c r="BB453" s="76"/>
      <c r="BC453">
        <v>1</v>
      </c>
      <c r="BD453" s="75" t="str">
        <f>REPLACE(INDEX(GroupVertices[Group],MATCH(Edges[[#This Row],[Vertex 1]],GroupVertices[Vertex],0)),1,1,"")</f>
        <v>1</v>
      </c>
      <c r="BE453" s="75" t="str">
        <f>REPLACE(INDEX(GroupVertices[Group],MATCH(Edges[[#This Row],[Vertex 2]],GroupVertices[Vertex],0)),1,1,"")</f>
        <v>1</v>
      </c>
      <c r="BF453" s="45"/>
      <c r="BG453" s="46"/>
      <c r="BH453" s="45"/>
      <c r="BI453" s="46"/>
      <c r="BJ453" s="45"/>
      <c r="BK453" s="46"/>
      <c r="BL453" s="45"/>
      <c r="BM453" s="46"/>
      <c r="BN453" s="45"/>
    </row>
    <row r="454" spans="1:66" ht="15">
      <c r="A454" s="61" t="s">
        <v>428</v>
      </c>
      <c r="B454" s="61" t="s">
        <v>581</v>
      </c>
      <c r="C454" s="62" t="s">
        <v>4688</v>
      </c>
      <c r="D454" s="63">
        <v>5</v>
      </c>
      <c r="E454" s="62"/>
      <c r="F454" s="65">
        <v>50</v>
      </c>
      <c r="G454" s="62"/>
      <c r="H454" s="66"/>
      <c r="I454" s="67"/>
      <c r="J454" s="67"/>
      <c r="K454" s="31" t="s">
        <v>65</v>
      </c>
      <c r="L454" s="68">
        <v>454</v>
      </c>
      <c r="M454" s="68"/>
      <c r="N454" s="69"/>
      <c r="O454" s="76" t="s">
        <v>587</v>
      </c>
      <c r="P454" s="78">
        <v>44819.23981481481</v>
      </c>
      <c r="Q454" s="76" t="s">
        <v>776</v>
      </c>
      <c r="R454" s="76"/>
      <c r="S454" s="76"/>
      <c r="T454" s="81" t="s">
        <v>889</v>
      </c>
      <c r="U454" s="76"/>
      <c r="V454" s="79" t="str">
        <f>HYPERLINK("https://pbs.twimg.com/profile_images/1522304931037913088/v16u8wKz_normal.jpg")</f>
        <v>https://pbs.twimg.com/profile_images/1522304931037913088/v16u8wKz_normal.jpg</v>
      </c>
      <c r="W454" s="78">
        <v>44819.23981481481</v>
      </c>
      <c r="X454" s="84">
        <v>44819</v>
      </c>
      <c r="Y454" s="81" t="s">
        <v>1217</v>
      </c>
      <c r="Z454" s="79" t="str">
        <f>HYPERLINK("https://twitter.com/saresistentzia/status/1570287633003347975")</f>
        <v>https://twitter.com/saresistentzia/status/1570287633003347975</v>
      </c>
      <c r="AA454" s="76"/>
      <c r="AB454" s="76"/>
      <c r="AC454" s="81" t="s">
        <v>1556</v>
      </c>
      <c r="AD454" s="81" t="s">
        <v>1667</v>
      </c>
      <c r="AE454" s="76" t="b">
        <v>0</v>
      </c>
      <c r="AF454" s="76">
        <v>1</v>
      </c>
      <c r="AG454" s="81" t="s">
        <v>1766</v>
      </c>
      <c r="AH454" s="76" t="b">
        <v>0</v>
      </c>
      <c r="AI454" s="76" t="s">
        <v>1774</v>
      </c>
      <c r="AJ454" s="76"/>
      <c r="AK454" s="81" t="s">
        <v>1674</v>
      </c>
      <c r="AL454" s="76" t="b">
        <v>0</v>
      </c>
      <c r="AM454" s="76">
        <v>0</v>
      </c>
      <c r="AN454" s="81" t="s">
        <v>1674</v>
      </c>
      <c r="AO454" s="81" t="s">
        <v>1809</v>
      </c>
      <c r="AP454" s="76" t="b">
        <v>0</v>
      </c>
      <c r="AQ454" s="81" t="s">
        <v>1667</v>
      </c>
      <c r="AR454" s="76" t="s">
        <v>219</v>
      </c>
      <c r="AS454" s="76">
        <v>0</v>
      </c>
      <c r="AT454" s="76">
        <v>0</v>
      </c>
      <c r="AU454" s="76"/>
      <c r="AV454" s="76"/>
      <c r="AW454" s="76"/>
      <c r="AX454" s="76"/>
      <c r="AY454" s="76"/>
      <c r="AZ454" s="76"/>
      <c r="BA454" s="76"/>
      <c r="BB454" s="76"/>
      <c r="BC454">
        <v>1</v>
      </c>
      <c r="BD454" s="75" t="str">
        <f>REPLACE(INDEX(GroupVertices[Group],MATCH(Edges[[#This Row],[Vertex 1]],GroupVertices[Vertex],0)),1,1,"")</f>
        <v>1</v>
      </c>
      <c r="BE454" s="75" t="str">
        <f>REPLACE(INDEX(GroupVertices[Group],MATCH(Edges[[#This Row],[Vertex 2]],GroupVertices[Vertex],0)),1,1,"")</f>
        <v>1</v>
      </c>
      <c r="BF454" s="45"/>
      <c r="BG454" s="46"/>
      <c r="BH454" s="45"/>
      <c r="BI454" s="46"/>
      <c r="BJ454" s="45"/>
      <c r="BK454" s="46"/>
      <c r="BL454" s="45"/>
      <c r="BM454" s="46"/>
      <c r="BN454" s="45"/>
    </row>
    <row r="455" spans="1:66" ht="15">
      <c r="A455" s="61" t="s">
        <v>428</v>
      </c>
      <c r="B455" s="61" t="s">
        <v>532</v>
      </c>
      <c r="C455" s="62" t="s">
        <v>4691</v>
      </c>
      <c r="D455" s="63">
        <v>5.833333333333333</v>
      </c>
      <c r="E455" s="62"/>
      <c r="F455" s="65">
        <v>44.166666666666664</v>
      </c>
      <c r="G455" s="62"/>
      <c r="H455" s="66"/>
      <c r="I455" s="67"/>
      <c r="J455" s="67"/>
      <c r="K455" s="31" t="s">
        <v>65</v>
      </c>
      <c r="L455" s="68">
        <v>455</v>
      </c>
      <c r="M455" s="68"/>
      <c r="N455" s="69"/>
      <c r="O455" s="76" t="s">
        <v>588</v>
      </c>
      <c r="P455" s="78">
        <v>44815.65331018518</v>
      </c>
      <c r="Q455" s="76" t="s">
        <v>768</v>
      </c>
      <c r="R455" s="76"/>
      <c r="S455" s="76"/>
      <c r="T455" s="81" t="s">
        <v>795</v>
      </c>
      <c r="U455" s="76"/>
      <c r="V455" s="79" t="str">
        <f>HYPERLINK("https://pbs.twimg.com/profile_images/1522304931037913088/v16u8wKz_normal.jpg")</f>
        <v>https://pbs.twimg.com/profile_images/1522304931037913088/v16u8wKz_normal.jpg</v>
      </c>
      <c r="W455" s="78">
        <v>44815.65331018518</v>
      </c>
      <c r="X455" s="84">
        <v>44815</v>
      </c>
      <c r="Y455" s="81" t="s">
        <v>1209</v>
      </c>
      <c r="Z455" s="79" t="str">
        <f>HYPERLINK("https://twitter.com/saresistentzia/status/1568987926331117570")</f>
        <v>https://twitter.com/saresistentzia/status/1568987926331117570</v>
      </c>
      <c r="AA455" s="76"/>
      <c r="AB455" s="76"/>
      <c r="AC455" s="81" t="s">
        <v>1548</v>
      </c>
      <c r="AD455" s="81" t="s">
        <v>1660</v>
      </c>
      <c r="AE455" s="76" t="b">
        <v>0</v>
      </c>
      <c r="AF455" s="76">
        <v>1</v>
      </c>
      <c r="AG455" s="81" t="s">
        <v>1759</v>
      </c>
      <c r="AH455" s="76" t="b">
        <v>0</v>
      </c>
      <c r="AI455" s="76" t="s">
        <v>1774</v>
      </c>
      <c r="AJ455" s="76"/>
      <c r="AK455" s="81" t="s">
        <v>1674</v>
      </c>
      <c r="AL455" s="76" t="b">
        <v>0</v>
      </c>
      <c r="AM455" s="76">
        <v>0</v>
      </c>
      <c r="AN455" s="81" t="s">
        <v>1674</v>
      </c>
      <c r="AO455" s="81" t="s">
        <v>1809</v>
      </c>
      <c r="AP455" s="76" t="b">
        <v>0</v>
      </c>
      <c r="AQ455" s="81" t="s">
        <v>1660</v>
      </c>
      <c r="AR455" s="76" t="s">
        <v>219</v>
      </c>
      <c r="AS455" s="76">
        <v>0</v>
      </c>
      <c r="AT455" s="76">
        <v>0</v>
      </c>
      <c r="AU455" s="76"/>
      <c r="AV455" s="76"/>
      <c r="AW455" s="76"/>
      <c r="AX455" s="76"/>
      <c r="AY455" s="76"/>
      <c r="AZ455" s="76"/>
      <c r="BA455" s="76"/>
      <c r="BB455" s="76"/>
      <c r="BC455">
        <v>3</v>
      </c>
      <c r="BD455" s="75" t="str">
        <f>REPLACE(INDEX(GroupVertices[Group],MATCH(Edges[[#This Row],[Vertex 1]],GroupVertices[Vertex],0)),1,1,"")</f>
        <v>1</v>
      </c>
      <c r="BE455" s="75" t="str">
        <f>REPLACE(INDEX(GroupVertices[Group],MATCH(Edges[[#This Row],[Vertex 2]],GroupVertices[Vertex],0)),1,1,"")</f>
        <v>1</v>
      </c>
      <c r="BF455" s="45"/>
      <c r="BG455" s="46"/>
      <c r="BH455" s="45"/>
      <c r="BI455" s="46"/>
      <c r="BJ455" s="45"/>
      <c r="BK455" s="46"/>
      <c r="BL455" s="45"/>
      <c r="BM455" s="46"/>
      <c r="BN455" s="45"/>
    </row>
    <row r="456" spans="1:66" ht="15">
      <c r="A456" s="61" t="s">
        <v>428</v>
      </c>
      <c r="B456" s="61" t="s">
        <v>532</v>
      </c>
      <c r="C456" s="62" t="s">
        <v>4691</v>
      </c>
      <c r="D456" s="63">
        <v>5.833333333333333</v>
      </c>
      <c r="E456" s="62"/>
      <c r="F456" s="65">
        <v>44.166666666666664</v>
      </c>
      <c r="G456" s="62"/>
      <c r="H456" s="66"/>
      <c r="I456" s="67"/>
      <c r="J456" s="67"/>
      <c r="K456" s="31" t="s">
        <v>65</v>
      </c>
      <c r="L456" s="68">
        <v>456</v>
      </c>
      <c r="M456" s="68"/>
      <c r="N456" s="69"/>
      <c r="O456" s="76" t="s">
        <v>588</v>
      </c>
      <c r="P456" s="78">
        <v>44818.386099537034</v>
      </c>
      <c r="Q456" s="76" t="s">
        <v>773</v>
      </c>
      <c r="R456" s="76"/>
      <c r="S456" s="76"/>
      <c r="T456" s="81" t="s">
        <v>886</v>
      </c>
      <c r="U456" s="76"/>
      <c r="V456" s="79" t="str">
        <f>HYPERLINK("https://pbs.twimg.com/profile_images/1522304931037913088/v16u8wKz_normal.jpg")</f>
        <v>https://pbs.twimg.com/profile_images/1522304931037913088/v16u8wKz_normal.jpg</v>
      </c>
      <c r="W456" s="78">
        <v>44818.386099537034</v>
      </c>
      <c r="X456" s="84">
        <v>44818</v>
      </c>
      <c r="Y456" s="81" t="s">
        <v>1214</v>
      </c>
      <c r="Z456" s="79" t="str">
        <f>HYPERLINK("https://twitter.com/saresistentzia/status/1569978253468745730")</f>
        <v>https://twitter.com/saresistentzia/status/1569978253468745730</v>
      </c>
      <c r="AA456" s="76"/>
      <c r="AB456" s="76"/>
      <c r="AC456" s="81" t="s">
        <v>1553</v>
      </c>
      <c r="AD456" s="81" t="s">
        <v>1665</v>
      </c>
      <c r="AE456" s="76" t="b">
        <v>0</v>
      </c>
      <c r="AF456" s="76">
        <v>3</v>
      </c>
      <c r="AG456" s="81" t="s">
        <v>1764</v>
      </c>
      <c r="AH456" s="76" t="b">
        <v>0</v>
      </c>
      <c r="AI456" s="76" t="s">
        <v>1774</v>
      </c>
      <c r="AJ456" s="76"/>
      <c r="AK456" s="81" t="s">
        <v>1674</v>
      </c>
      <c r="AL456" s="76" t="b">
        <v>0</v>
      </c>
      <c r="AM456" s="76">
        <v>0</v>
      </c>
      <c r="AN456" s="81" t="s">
        <v>1674</v>
      </c>
      <c r="AO456" s="81" t="s">
        <v>1809</v>
      </c>
      <c r="AP456" s="76" t="b">
        <v>0</v>
      </c>
      <c r="AQ456" s="81" t="s">
        <v>1665</v>
      </c>
      <c r="AR456" s="76" t="s">
        <v>219</v>
      </c>
      <c r="AS456" s="76">
        <v>0</v>
      </c>
      <c r="AT456" s="76">
        <v>0</v>
      </c>
      <c r="AU456" s="76"/>
      <c r="AV456" s="76"/>
      <c r="AW456" s="76"/>
      <c r="AX456" s="76"/>
      <c r="AY456" s="76"/>
      <c r="AZ456" s="76"/>
      <c r="BA456" s="76"/>
      <c r="BB456" s="76"/>
      <c r="BC456">
        <v>3</v>
      </c>
      <c r="BD456" s="75" t="str">
        <f>REPLACE(INDEX(GroupVertices[Group],MATCH(Edges[[#This Row],[Vertex 1]],GroupVertices[Vertex],0)),1,1,"")</f>
        <v>1</v>
      </c>
      <c r="BE456" s="75" t="str">
        <f>REPLACE(INDEX(GroupVertices[Group],MATCH(Edges[[#This Row],[Vertex 2]],GroupVertices[Vertex],0)),1,1,"")</f>
        <v>1</v>
      </c>
      <c r="BF456" s="45"/>
      <c r="BG456" s="46"/>
      <c r="BH456" s="45"/>
      <c r="BI456" s="46"/>
      <c r="BJ456" s="45"/>
      <c r="BK456" s="46"/>
      <c r="BL456" s="45"/>
      <c r="BM456" s="46"/>
      <c r="BN456" s="45"/>
    </row>
    <row r="457" spans="1:66" ht="15">
      <c r="A457" s="61" t="s">
        <v>428</v>
      </c>
      <c r="B457" s="61" t="s">
        <v>532</v>
      </c>
      <c r="C457" s="62" t="s">
        <v>4691</v>
      </c>
      <c r="D457" s="63">
        <v>5.833333333333333</v>
      </c>
      <c r="E457" s="62"/>
      <c r="F457" s="65">
        <v>44.166666666666664</v>
      </c>
      <c r="G457" s="62"/>
      <c r="H457" s="66"/>
      <c r="I457" s="67"/>
      <c r="J457" s="67"/>
      <c r="K457" s="31" t="s">
        <v>65</v>
      </c>
      <c r="L457" s="68">
        <v>457</v>
      </c>
      <c r="M457" s="68"/>
      <c r="N457" s="69"/>
      <c r="O457" s="76" t="s">
        <v>588</v>
      </c>
      <c r="P457" s="78">
        <v>44819.25040509259</v>
      </c>
      <c r="Q457" s="76" t="s">
        <v>721</v>
      </c>
      <c r="R457" s="76"/>
      <c r="S457" s="76"/>
      <c r="T457" s="81" t="s">
        <v>859</v>
      </c>
      <c r="U457" s="76"/>
      <c r="V457" s="79" t="str">
        <f>HYPERLINK("https://pbs.twimg.com/profile_images/1522304931037913088/v16u8wKz_normal.jpg")</f>
        <v>https://pbs.twimg.com/profile_images/1522304931037913088/v16u8wKz_normal.jpg</v>
      </c>
      <c r="W457" s="78">
        <v>44819.25040509259</v>
      </c>
      <c r="X457" s="84">
        <v>44819</v>
      </c>
      <c r="Y457" s="81" t="s">
        <v>1218</v>
      </c>
      <c r="Z457" s="79" t="str">
        <f>HYPERLINK("https://twitter.com/saresistentzia/status/1570291470782824448")</f>
        <v>https://twitter.com/saresistentzia/status/1570291470782824448</v>
      </c>
      <c r="AA457" s="76"/>
      <c r="AB457" s="76"/>
      <c r="AC457" s="81" t="s">
        <v>1557</v>
      </c>
      <c r="AD457" s="81" t="s">
        <v>1668</v>
      </c>
      <c r="AE457" s="76" t="b">
        <v>0</v>
      </c>
      <c r="AF457" s="76">
        <v>2</v>
      </c>
      <c r="AG457" s="81" t="s">
        <v>1767</v>
      </c>
      <c r="AH457" s="76" t="b">
        <v>0</v>
      </c>
      <c r="AI457" s="76" t="s">
        <v>1774</v>
      </c>
      <c r="AJ457" s="76"/>
      <c r="AK457" s="81" t="s">
        <v>1674</v>
      </c>
      <c r="AL457" s="76" t="b">
        <v>0</v>
      </c>
      <c r="AM457" s="76">
        <v>1</v>
      </c>
      <c r="AN457" s="81" t="s">
        <v>1674</v>
      </c>
      <c r="AO457" s="81" t="s">
        <v>1809</v>
      </c>
      <c r="AP457" s="76" t="b">
        <v>0</v>
      </c>
      <c r="AQ457" s="81" t="s">
        <v>1668</v>
      </c>
      <c r="AR457" s="76" t="s">
        <v>219</v>
      </c>
      <c r="AS457" s="76">
        <v>0</v>
      </c>
      <c r="AT457" s="76">
        <v>0</v>
      </c>
      <c r="AU457" s="76"/>
      <c r="AV457" s="76"/>
      <c r="AW457" s="76"/>
      <c r="AX457" s="76"/>
      <c r="AY457" s="76"/>
      <c r="AZ457" s="76"/>
      <c r="BA457" s="76"/>
      <c r="BB457" s="76"/>
      <c r="BC457">
        <v>3</v>
      </c>
      <c r="BD457" s="75" t="str">
        <f>REPLACE(INDEX(GroupVertices[Group],MATCH(Edges[[#This Row],[Vertex 1]],GroupVertices[Vertex],0)),1,1,"")</f>
        <v>1</v>
      </c>
      <c r="BE457" s="75" t="str">
        <f>REPLACE(INDEX(GroupVertices[Group],MATCH(Edges[[#This Row],[Vertex 2]],GroupVertices[Vertex],0)),1,1,"")</f>
        <v>1</v>
      </c>
      <c r="BF457" s="45"/>
      <c r="BG457" s="46"/>
      <c r="BH457" s="45"/>
      <c r="BI457" s="46"/>
      <c r="BJ457" s="45"/>
      <c r="BK457" s="46"/>
      <c r="BL457" s="45"/>
      <c r="BM457" s="46"/>
      <c r="BN457" s="45"/>
    </row>
    <row r="458" spans="1:66" ht="15">
      <c r="A458" s="61" t="s">
        <v>428</v>
      </c>
      <c r="B458" s="61" t="s">
        <v>545</v>
      </c>
      <c r="C458" s="62" t="s">
        <v>4688</v>
      </c>
      <c r="D458" s="63">
        <v>5</v>
      </c>
      <c r="E458" s="62"/>
      <c r="F458" s="65">
        <v>50</v>
      </c>
      <c r="G458" s="62"/>
      <c r="H458" s="66"/>
      <c r="I458" s="67"/>
      <c r="J458" s="67"/>
      <c r="K458" s="31" t="s">
        <v>65</v>
      </c>
      <c r="L458" s="68">
        <v>458</v>
      </c>
      <c r="M458" s="68"/>
      <c r="N458" s="69"/>
      <c r="O458" s="76" t="s">
        <v>587</v>
      </c>
      <c r="P458" s="78">
        <v>44819.25040509259</v>
      </c>
      <c r="Q458" s="76" t="s">
        <v>721</v>
      </c>
      <c r="R458" s="76"/>
      <c r="S458" s="76"/>
      <c r="T458" s="81" t="s">
        <v>859</v>
      </c>
      <c r="U458" s="76"/>
      <c r="V458" s="79" t="str">
        <f>HYPERLINK("https://pbs.twimg.com/profile_images/1522304931037913088/v16u8wKz_normal.jpg")</f>
        <v>https://pbs.twimg.com/profile_images/1522304931037913088/v16u8wKz_normal.jpg</v>
      </c>
      <c r="W458" s="78">
        <v>44819.25040509259</v>
      </c>
      <c r="X458" s="84">
        <v>44819</v>
      </c>
      <c r="Y458" s="81" t="s">
        <v>1218</v>
      </c>
      <c r="Z458" s="79" t="str">
        <f>HYPERLINK("https://twitter.com/saresistentzia/status/1570291470782824448")</f>
        <v>https://twitter.com/saresistentzia/status/1570291470782824448</v>
      </c>
      <c r="AA458" s="76"/>
      <c r="AB458" s="76"/>
      <c r="AC458" s="81" t="s">
        <v>1557</v>
      </c>
      <c r="AD458" s="81" t="s">
        <v>1668</v>
      </c>
      <c r="AE458" s="76" t="b">
        <v>0</v>
      </c>
      <c r="AF458" s="76">
        <v>2</v>
      </c>
      <c r="AG458" s="81" t="s">
        <v>1767</v>
      </c>
      <c r="AH458" s="76" t="b">
        <v>0</v>
      </c>
      <c r="AI458" s="76" t="s">
        <v>1774</v>
      </c>
      <c r="AJ458" s="76"/>
      <c r="AK458" s="81" t="s">
        <v>1674</v>
      </c>
      <c r="AL458" s="76" t="b">
        <v>0</v>
      </c>
      <c r="AM458" s="76">
        <v>1</v>
      </c>
      <c r="AN458" s="81" t="s">
        <v>1674</v>
      </c>
      <c r="AO458" s="81" t="s">
        <v>1809</v>
      </c>
      <c r="AP458" s="76" t="b">
        <v>0</v>
      </c>
      <c r="AQ458" s="81" t="s">
        <v>1668</v>
      </c>
      <c r="AR458" s="76" t="s">
        <v>219</v>
      </c>
      <c r="AS458" s="76">
        <v>0</v>
      </c>
      <c r="AT458" s="76">
        <v>0</v>
      </c>
      <c r="AU458" s="76"/>
      <c r="AV458" s="76"/>
      <c r="AW458" s="76"/>
      <c r="AX458" s="76"/>
      <c r="AY458" s="76"/>
      <c r="AZ458" s="76"/>
      <c r="BA458" s="76"/>
      <c r="BB458" s="76"/>
      <c r="BC458">
        <v>1</v>
      </c>
      <c r="BD458" s="75" t="str">
        <f>REPLACE(INDEX(GroupVertices[Group],MATCH(Edges[[#This Row],[Vertex 1]],GroupVertices[Vertex],0)),1,1,"")</f>
        <v>1</v>
      </c>
      <c r="BE458" s="75" t="str">
        <f>REPLACE(INDEX(GroupVertices[Group],MATCH(Edges[[#This Row],[Vertex 2]],GroupVertices[Vertex],0)),1,1,"")</f>
        <v>1</v>
      </c>
      <c r="BF458" s="45">
        <v>0</v>
      </c>
      <c r="BG458" s="46">
        <v>0</v>
      </c>
      <c r="BH458" s="45">
        <v>0</v>
      </c>
      <c r="BI458" s="46">
        <v>0</v>
      </c>
      <c r="BJ458" s="45">
        <v>0</v>
      </c>
      <c r="BK458" s="46">
        <v>0</v>
      </c>
      <c r="BL458" s="45">
        <v>33</v>
      </c>
      <c r="BM458" s="46">
        <v>100</v>
      </c>
      <c r="BN458" s="45">
        <v>33</v>
      </c>
    </row>
    <row r="459" spans="1:66" ht="15">
      <c r="A459" s="61" t="s">
        <v>428</v>
      </c>
      <c r="B459" s="61" t="s">
        <v>582</v>
      </c>
      <c r="C459" s="62" t="s">
        <v>4688</v>
      </c>
      <c r="D459" s="63">
        <v>5</v>
      </c>
      <c r="E459" s="62"/>
      <c r="F459" s="65">
        <v>50</v>
      </c>
      <c r="G459" s="62"/>
      <c r="H459" s="66"/>
      <c r="I459" s="67"/>
      <c r="J459" s="67"/>
      <c r="K459" s="31" t="s">
        <v>65</v>
      </c>
      <c r="L459" s="68">
        <v>459</v>
      </c>
      <c r="M459" s="68"/>
      <c r="N459" s="69"/>
      <c r="O459" s="76" t="s">
        <v>588</v>
      </c>
      <c r="P459" s="78">
        <v>44819.672476851854</v>
      </c>
      <c r="Q459" s="76" t="s">
        <v>777</v>
      </c>
      <c r="R459" s="76"/>
      <c r="S459" s="76"/>
      <c r="T459" s="81" t="s">
        <v>890</v>
      </c>
      <c r="U459" s="76"/>
      <c r="V459" s="79" t="str">
        <f>HYPERLINK("https://pbs.twimg.com/profile_images/1522304931037913088/v16u8wKz_normal.jpg")</f>
        <v>https://pbs.twimg.com/profile_images/1522304931037913088/v16u8wKz_normal.jpg</v>
      </c>
      <c r="W459" s="78">
        <v>44819.672476851854</v>
      </c>
      <c r="X459" s="84">
        <v>44819</v>
      </c>
      <c r="Y459" s="81" t="s">
        <v>1219</v>
      </c>
      <c r="Z459" s="79" t="str">
        <f>HYPERLINK("https://twitter.com/saresistentzia/status/1570444422625599488")</f>
        <v>https://twitter.com/saresistentzia/status/1570444422625599488</v>
      </c>
      <c r="AA459" s="76"/>
      <c r="AB459" s="76"/>
      <c r="AC459" s="81" t="s">
        <v>1558</v>
      </c>
      <c r="AD459" s="81" t="s">
        <v>1669</v>
      </c>
      <c r="AE459" s="76" t="b">
        <v>0</v>
      </c>
      <c r="AF459" s="76">
        <v>0</v>
      </c>
      <c r="AG459" s="81" t="s">
        <v>1768</v>
      </c>
      <c r="AH459" s="76" t="b">
        <v>0</v>
      </c>
      <c r="AI459" s="76" t="s">
        <v>1772</v>
      </c>
      <c r="AJ459" s="76"/>
      <c r="AK459" s="81" t="s">
        <v>1674</v>
      </c>
      <c r="AL459" s="76" t="b">
        <v>0</v>
      </c>
      <c r="AM459" s="76">
        <v>0</v>
      </c>
      <c r="AN459" s="81" t="s">
        <v>1674</v>
      </c>
      <c r="AO459" s="81" t="s">
        <v>1809</v>
      </c>
      <c r="AP459" s="76" t="b">
        <v>0</v>
      </c>
      <c r="AQ459" s="81" t="s">
        <v>1669</v>
      </c>
      <c r="AR459" s="76" t="s">
        <v>219</v>
      </c>
      <c r="AS459" s="76">
        <v>0</v>
      </c>
      <c r="AT459" s="76">
        <v>0</v>
      </c>
      <c r="AU459" s="76"/>
      <c r="AV459" s="76"/>
      <c r="AW459" s="76"/>
      <c r="AX459" s="76"/>
      <c r="AY459" s="76"/>
      <c r="AZ459" s="76"/>
      <c r="BA459" s="76"/>
      <c r="BB459" s="76"/>
      <c r="BC459">
        <v>1</v>
      </c>
      <c r="BD459" s="75" t="str">
        <f>REPLACE(INDEX(GroupVertices[Group],MATCH(Edges[[#This Row],[Vertex 1]],GroupVertices[Vertex],0)),1,1,"")</f>
        <v>1</v>
      </c>
      <c r="BE459" s="75" t="str">
        <f>REPLACE(INDEX(GroupVertices[Group],MATCH(Edges[[#This Row],[Vertex 2]],GroupVertices[Vertex],0)),1,1,"")</f>
        <v>1</v>
      </c>
      <c r="BF459" s="45"/>
      <c r="BG459" s="46"/>
      <c r="BH459" s="45"/>
      <c r="BI459" s="46"/>
      <c r="BJ459" s="45"/>
      <c r="BK459" s="46"/>
      <c r="BL459" s="45"/>
      <c r="BM459" s="46"/>
      <c r="BN459" s="45"/>
    </row>
    <row r="460" spans="1:66" ht="15">
      <c r="A460" s="61" t="s">
        <v>428</v>
      </c>
      <c r="B460" s="61" t="s">
        <v>583</v>
      </c>
      <c r="C460" s="62" t="s">
        <v>4688</v>
      </c>
      <c r="D460" s="63">
        <v>5</v>
      </c>
      <c r="E460" s="62"/>
      <c r="F460" s="65">
        <v>50</v>
      </c>
      <c r="G460" s="62"/>
      <c r="H460" s="66"/>
      <c r="I460" s="67"/>
      <c r="J460" s="67"/>
      <c r="K460" s="31" t="s">
        <v>65</v>
      </c>
      <c r="L460" s="68">
        <v>460</v>
      </c>
      <c r="M460" s="68"/>
      <c r="N460" s="69"/>
      <c r="O460" s="76" t="s">
        <v>587</v>
      </c>
      <c r="P460" s="78">
        <v>44819.672476851854</v>
      </c>
      <c r="Q460" s="76" t="s">
        <v>777</v>
      </c>
      <c r="R460" s="76"/>
      <c r="S460" s="76"/>
      <c r="T460" s="81" t="s">
        <v>890</v>
      </c>
      <c r="U460" s="76"/>
      <c r="V460" s="79" t="str">
        <f>HYPERLINK("https://pbs.twimg.com/profile_images/1522304931037913088/v16u8wKz_normal.jpg")</f>
        <v>https://pbs.twimg.com/profile_images/1522304931037913088/v16u8wKz_normal.jpg</v>
      </c>
      <c r="W460" s="78">
        <v>44819.672476851854</v>
      </c>
      <c r="X460" s="84">
        <v>44819</v>
      </c>
      <c r="Y460" s="81" t="s">
        <v>1219</v>
      </c>
      <c r="Z460" s="79" t="str">
        <f>HYPERLINK("https://twitter.com/saresistentzia/status/1570444422625599488")</f>
        <v>https://twitter.com/saresistentzia/status/1570444422625599488</v>
      </c>
      <c r="AA460" s="76"/>
      <c r="AB460" s="76"/>
      <c r="AC460" s="81" t="s">
        <v>1558</v>
      </c>
      <c r="AD460" s="81" t="s">
        <v>1669</v>
      </c>
      <c r="AE460" s="76" t="b">
        <v>0</v>
      </c>
      <c r="AF460" s="76">
        <v>0</v>
      </c>
      <c r="AG460" s="81" t="s">
        <v>1768</v>
      </c>
      <c r="AH460" s="76" t="b">
        <v>0</v>
      </c>
      <c r="AI460" s="76" t="s">
        <v>1772</v>
      </c>
      <c r="AJ460" s="76"/>
      <c r="AK460" s="81" t="s">
        <v>1674</v>
      </c>
      <c r="AL460" s="76" t="b">
        <v>0</v>
      </c>
      <c r="AM460" s="76">
        <v>0</v>
      </c>
      <c r="AN460" s="81" t="s">
        <v>1674</v>
      </c>
      <c r="AO460" s="81" t="s">
        <v>1809</v>
      </c>
      <c r="AP460" s="76" t="b">
        <v>0</v>
      </c>
      <c r="AQ460" s="81" t="s">
        <v>1669</v>
      </c>
      <c r="AR460" s="76" t="s">
        <v>219</v>
      </c>
      <c r="AS460" s="76">
        <v>0</v>
      </c>
      <c r="AT460" s="76">
        <v>0</v>
      </c>
      <c r="AU460" s="76"/>
      <c r="AV460" s="76"/>
      <c r="AW460" s="76"/>
      <c r="AX460" s="76"/>
      <c r="AY460" s="76"/>
      <c r="AZ460" s="76"/>
      <c r="BA460" s="76"/>
      <c r="BB460" s="76"/>
      <c r="BC460">
        <v>1</v>
      </c>
      <c r="BD460" s="75" t="str">
        <f>REPLACE(INDEX(GroupVertices[Group],MATCH(Edges[[#This Row],[Vertex 1]],GroupVertices[Vertex],0)),1,1,"")</f>
        <v>1</v>
      </c>
      <c r="BE460" s="75" t="str">
        <f>REPLACE(INDEX(GroupVertices[Group],MATCH(Edges[[#This Row],[Vertex 2]],GroupVertices[Vertex],0)),1,1,"")</f>
        <v>1</v>
      </c>
      <c r="BF460" s="45">
        <v>0</v>
      </c>
      <c r="BG460" s="46">
        <v>0</v>
      </c>
      <c r="BH460" s="45">
        <v>2</v>
      </c>
      <c r="BI460" s="46">
        <v>6.25</v>
      </c>
      <c r="BJ460" s="45">
        <v>0</v>
      </c>
      <c r="BK460" s="46">
        <v>0</v>
      </c>
      <c r="BL460" s="45">
        <v>30</v>
      </c>
      <c r="BM460" s="46">
        <v>93.75</v>
      </c>
      <c r="BN460" s="45">
        <v>32</v>
      </c>
    </row>
    <row r="461" spans="1:66" ht="15">
      <c r="A461" s="61" t="s">
        <v>428</v>
      </c>
      <c r="B461" s="61" t="s">
        <v>497</v>
      </c>
      <c r="C461" s="62" t="s">
        <v>4689</v>
      </c>
      <c r="D461" s="63">
        <v>5.416666666666667</v>
      </c>
      <c r="E461" s="62"/>
      <c r="F461" s="65">
        <v>47.083333333333336</v>
      </c>
      <c r="G461" s="62"/>
      <c r="H461" s="66"/>
      <c r="I461" s="67"/>
      <c r="J461" s="67"/>
      <c r="K461" s="31" t="s">
        <v>65</v>
      </c>
      <c r="L461" s="68">
        <v>461</v>
      </c>
      <c r="M461" s="68"/>
      <c r="N461" s="69"/>
      <c r="O461" s="76" t="s">
        <v>588</v>
      </c>
      <c r="P461" s="78">
        <v>44819.672476851854</v>
      </c>
      <c r="Q461" s="76" t="s">
        <v>777</v>
      </c>
      <c r="R461" s="76"/>
      <c r="S461" s="76"/>
      <c r="T461" s="81" t="s">
        <v>890</v>
      </c>
      <c r="U461" s="76"/>
      <c r="V461" s="79" t="str">
        <f>HYPERLINK("https://pbs.twimg.com/profile_images/1522304931037913088/v16u8wKz_normal.jpg")</f>
        <v>https://pbs.twimg.com/profile_images/1522304931037913088/v16u8wKz_normal.jpg</v>
      </c>
      <c r="W461" s="78">
        <v>44819.672476851854</v>
      </c>
      <c r="X461" s="84">
        <v>44819</v>
      </c>
      <c r="Y461" s="81" t="s">
        <v>1219</v>
      </c>
      <c r="Z461" s="79" t="str">
        <f>HYPERLINK("https://twitter.com/saresistentzia/status/1570444422625599488")</f>
        <v>https://twitter.com/saresistentzia/status/1570444422625599488</v>
      </c>
      <c r="AA461" s="76"/>
      <c r="AB461" s="76"/>
      <c r="AC461" s="81" t="s">
        <v>1558</v>
      </c>
      <c r="AD461" s="81" t="s">
        <v>1669</v>
      </c>
      <c r="AE461" s="76" t="b">
        <v>0</v>
      </c>
      <c r="AF461" s="76">
        <v>0</v>
      </c>
      <c r="AG461" s="81" t="s">
        <v>1768</v>
      </c>
      <c r="AH461" s="76" t="b">
        <v>0</v>
      </c>
      <c r="AI461" s="76" t="s">
        <v>1772</v>
      </c>
      <c r="AJ461" s="76"/>
      <c r="AK461" s="81" t="s">
        <v>1674</v>
      </c>
      <c r="AL461" s="76" t="b">
        <v>0</v>
      </c>
      <c r="AM461" s="76">
        <v>0</v>
      </c>
      <c r="AN461" s="81" t="s">
        <v>1674</v>
      </c>
      <c r="AO461" s="81" t="s">
        <v>1809</v>
      </c>
      <c r="AP461" s="76" t="b">
        <v>0</v>
      </c>
      <c r="AQ461" s="81" t="s">
        <v>1669</v>
      </c>
      <c r="AR461" s="76" t="s">
        <v>219</v>
      </c>
      <c r="AS461" s="76">
        <v>0</v>
      </c>
      <c r="AT461" s="76">
        <v>0</v>
      </c>
      <c r="AU461" s="76"/>
      <c r="AV461" s="76"/>
      <c r="AW461" s="76"/>
      <c r="AX461" s="76"/>
      <c r="AY461" s="76"/>
      <c r="AZ461" s="76"/>
      <c r="BA461" s="76"/>
      <c r="BB461" s="76"/>
      <c r="BC461">
        <v>2</v>
      </c>
      <c r="BD461" s="75" t="str">
        <f>REPLACE(INDEX(GroupVertices[Group],MATCH(Edges[[#This Row],[Vertex 1]],GroupVertices[Vertex],0)),1,1,"")</f>
        <v>1</v>
      </c>
      <c r="BE461" s="75" t="str">
        <f>REPLACE(INDEX(GroupVertices[Group],MATCH(Edges[[#This Row],[Vertex 2]],GroupVertices[Vertex],0)),1,1,"")</f>
        <v>3</v>
      </c>
      <c r="BF461" s="45"/>
      <c r="BG461" s="46"/>
      <c r="BH461" s="45"/>
      <c r="BI461" s="46"/>
      <c r="BJ461" s="45"/>
      <c r="BK461" s="46"/>
      <c r="BL461" s="45"/>
      <c r="BM461" s="46"/>
      <c r="BN461" s="45"/>
    </row>
    <row r="462" spans="1:66" ht="15">
      <c r="A462" s="61" t="s">
        <v>428</v>
      </c>
      <c r="B462" s="61" t="s">
        <v>497</v>
      </c>
      <c r="C462" s="62" t="s">
        <v>4689</v>
      </c>
      <c r="D462" s="63">
        <v>5.416666666666667</v>
      </c>
      <c r="E462" s="62"/>
      <c r="F462" s="65">
        <v>47.083333333333336</v>
      </c>
      <c r="G462" s="62"/>
      <c r="H462" s="66"/>
      <c r="I462" s="67"/>
      <c r="J462" s="67"/>
      <c r="K462" s="31" t="s">
        <v>65</v>
      </c>
      <c r="L462" s="68">
        <v>462</v>
      </c>
      <c r="M462" s="68"/>
      <c r="N462" s="69"/>
      <c r="O462" s="76" t="s">
        <v>588</v>
      </c>
      <c r="P462" s="78">
        <v>44819.724907407406</v>
      </c>
      <c r="Q462" s="76" t="s">
        <v>778</v>
      </c>
      <c r="R462" s="76"/>
      <c r="S462" s="76"/>
      <c r="T462" s="81" t="s">
        <v>891</v>
      </c>
      <c r="U462" s="76"/>
      <c r="V462" s="79" t="str">
        <f>HYPERLINK("https://pbs.twimg.com/profile_images/1522304931037913088/v16u8wKz_normal.jpg")</f>
        <v>https://pbs.twimg.com/profile_images/1522304931037913088/v16u8wKz_normal.jpg</v>
      </c>
      <c r="W462" s="78">
        <v>44819.724907407406</v>
      </c>
      <c r="X462" s="84">
        <v>44819</v>
      </c>
      <c r="Y462" s="81" t="s">
        <v>1220</v>
      </c>
      <c r="Z462" s="79" t="str">
        <f>HYPERLINK("https://twitter.com/saresistentzia/status/1570463421757358082")</f>
        <v>https://twitter.com/saresistentzia/status/1570463421757358082</v>
      </c>
      <c r="AA462" s="76"/>
      <c r="AB462" s="76"/>
      <c r="AC462" s="81" t="s">
        <v>1559</v>
      </c>
      <c r="AD462" s="81" t="s">
        <v>1670</v>
      </c>
      <c r="AE462" s="76" t="b">
        <v>0</v>
      </c>
      <c r="AF462" s="76">
        <v>0</v>
      </c>
      <c r="AG462" s="81" t="s">
        <v>1702</v>
      </c>
      <c r="AH462" s="76" t="b">
        <v>0</v>
      </c>
      <c r="AI462" s="76" t="s">
        <v>1774</v>
      </c>
      <c r="AJ462" s="76"/>
      <c r="AK462" s="81" t="s">
        <v>1674</v>
      </c>
      <c r="AL462" s="76" t="b">
        <v>0</v>
      </c>
      <c r="AM462" s="76">
        <v>0</v>
      </c>
      <c r="AN462" s="81" t="s">
        <v>1674</v>
      </c>
      <c r="AO462" s="81" t="s">
        <v>1809</v>
      </c>
      <c r="AP462" s="76" t="b">
        <v>0</v>
      </c>
      <c r="AQ462" s="81" t="s">
        <v>1670</v>
      </c>
      <c r="AR462" s="76" t="s">
        <v>219</v>
      </c>
      <c r="AS462" s="76">
        <v>0</v>
      </c>
      <c r="AT462" s="76">
        <v>0</v>
      </c>
      <c r="AU462" s="76"/>
      <c r="AV462" s="76"/>
      <c r="AW462" s="76"/>
      <c r="AX462" s="76"/>
      <c r="AY462" s="76"/>
      <c r="AZ462" s="76"/>
      <c r="BA462" s="76"/>
      <c r="BB462" s="76"/>
      <c r="BC462">
        <v>2</v>
      </c>
      <c r="BD462" s="75" t="str">
        <f>REPLACE(INDEX(GroupVertices[Group],MATCH(Edges[[#This Row],[Vertex 1]],GroupVertices[Vertex],0)),1,1,"")</f>
        <v>1</v>
      </c>
      <c r="BE462" s="75" t="str">
        <f>REPLACE(INDEX(GroupVertices[Group],MATCH(Edges[[#This Row],[Vertex 2]],GroupVertices[Vertex],0)),1,1,"")</f>
        <v>3</v>
      </c>
      <c r="BF462" s="45"/>
      <c r="BG462" s="46"/>
      <c r="BH462" s="45"/>
      <c r="BI462" s="46"/>
      <c r="BJ462" s="45"/>
      <c r="BK462" s="46"/>
      <c r="BL462" s="45"/>
      <c r="BM462" s="46"/>
      <c r="BN462" s="45"/>
    </row>
    <row r="463" spans="1:66" ht="15">
      <c r="A463" s="61" t="s">
        <v>428</v>
      </c>
      <c r="B463" s="61" t="s">
        <v>447</v>
      </c>
      <c r="C463" s="62" t="s">
        <v>4691</v>
      </c>
      <c r="D463" s="63">
        <v>5.833333333333333</v>
      </c>
      <c r="E463" s="62"/>
      <c r="F463" s="65">
        <v>44.166666666666664</v>
      </c>
      <c r="G463" s="62"/>
      <c r="H463" s="66"/>
      <c r="I463" s="67"/>
      <c r="J463" s="67"/>
      <c r="K463" s="31" t="s">
        <v>65</v>
      </c>
      <c r="L463" s="68">
        <v>463</v>
      </c>
      <c r="M463" s="68"/>
      <c r="N463" s="69"/>
      <c r="O463" s="76" t="s">
        <v>587</v>
      </c>
      <c r="P463" s="78">
        <v>44818.72476851852</v>
      </c>
      <c r="Q463" s="76" t="s">
        <v>775</v>
      </c>
      <c r="R463" s="76"/>
      <c r="S463" s="76"/>
      <c r="T463" s="81" t="s">
        <v>888</v>
      </c>
      <c r="U463" s="76"/>
      <c r="V463" s="79" t="str">
        <f>HYPERLINK("https://pbs.twimg.com/profile_images/1522304931037913088/v16u8wKz_normal.jpg")</f>
        <v>https://pbs.twimg.com/profile_images/1522304931037913088/v16u8wKz_normal.jpg</v>
      </c>
      <c r="W463" s="78">
        <v>44818.72476851852</v>
      </c>
      <c r="X463" s="84">
        <v>44818</v>
      </c>
      <c r="Y463" s="81" t="s">
        <v>1216</v>
      </c>
      <c r="Z463" s="79" t="str">
        <f>HYPERLINK("https://twitter.com/saresistentzia/status/1570100983266426882")</f>
        <v>https://twitter.com/saresistentzia/status/1570100983266426882</v>
      </c>
      <c r="AA463" s="76"/>
      <c r="AB463" s="76"/>
      <c r="AC463" s="81" t="s">
        <v>1555</v>
      </c>
      <c r="AD463" s="81" t="s">
        <v>1618</v>
      </c>
      <c r="AE463" s="76" t="b">
        <v>0</v>
      </c>
      <c r="AF463" s="76">
        <v>0</v>
      </c>
      <c r="AG463" s="81" t="s">
        <v>1702</v>
      </c>
      <c r="AH463" s="76" t="b">
        <v>0</v>
      </c>
      <c r="AI463" s="76" t="s">
        <v>1772</v>
      </c>
      <c r="AJ463" s="76"/>
      <c r="AK463" s="81" t="s">
        <v>1674</v>
      </c>
      <c r="AL463" s="76" t="b">
        <v>0</v>
      </c>
      <c r="AM463" s="76">
        <v>0</v>
      </c>
      <c r="AN463" s="81" t="s">
        <v>1674</v>
      </c>
      <c r="AO463" s="81" t="s">
        <v>1809</v>
      </c>
      <c r="AP463" s="76" t="b">
        <v>0</v>
      </c>
      <c r="AQ463" s="81" t="s">
        <v>1618</v>
      </c>
      <c r="AR463" s="76" t="s">
        <v>219</v>
      </c>
      <c r="AS463" s="76">
        <v>0</v>
      </c>
      <c r="AT463" s="76">
        <v>0</v>
      </c>
      <c r="AU463" s="76"/>
      <c r="AV463" s="76"/>
      <c r="AW463" s="76"/>
      <c r="AX463" s="76"/>
      <c r="AY463" s="76"/>
      <c r="AZ463" s="76"/>
      <c r="BA463" s="76"/>
      <c r="BB463" s="76"/>
      <c r="BC463">
        <v>3</v>
      </c>
      <c r="BD463" s="75" t="str">
        <f>REPLACE(INDEX(GroupVertices[Group],MATCH(Edges[[#This Row],[Vertex 1]],GroupVertices[Vertex],0)),1,1,"")</f>
        <v>1</v>
      </c>
      <c r="BE463" s="75" t="str">
        <f>REPLACE(INDEX(GroupVertices[Group],MATCH(Edges[[#This Row],[Vertex 2]],GroupVertices[Vertex],0)),1,1,"")</f>
        <v>1</v>
      </c>
      <c r="BF463" s="45">
        <v>0</v>
      </c>
      <c r="BG463" s="46">
        <v>0</v>
      </c>
      <c r="BH463" s="45">
        <v>2</v>
      </c>
      <c r="BI463" s="46">
        <v>12.5</v>
      </c>
      <c r="BJ463" s="45">
        <v>0</v>
      </c>
      <c r="BK463" s="46">
        <v>0</v>
      </c>
      <c r="BL463" s="45">
        <v>14</v>
      </c>
      <c r="BM463" s="46">
        <v>87.5</v>
      </c>
      <c r="BN463" s="45">
        <v>16</v>
      </c>
    </row>
    <row r="464" spans="1:66" ht="15">
      <c r="A464" s="61" t="s">
        <v>428</v>
      </c>
      <c r="B464" s="61" t="s">
        <v>447</v>
      </c>
      <c r="C464" s="62" t="s">
        <v>4691</v>
      </c>
      <c r="D464" s="63">
        <v>5.833333333333333</v>
      </c>
      <c r="E464" s="62"/>
      <c r="F464" s="65">
        <v>44.166666666666664</v>
      </c>
      <c r="G464" s="62"/>
      <c r="H464" s="66"/>
      <c r="I464" s="67"/>
      <c r="J464" s="67"/>
      <c r="K464" s="31" t="s">
        <v>65</v>
      </c>
      <c r="L464" s="68">
        <v>464</v>
      </c>
      <c r="M464" s="68"/>
      <c r="N464" s="69"/>
      <c r="O464" s="76" t="s">
        <v>588</v>
      </c>
      <c r="P464" s="78">
        <v>44819.672476851854</v>
      </c>
      <c r="Q464" s="76" t="s">
        <v>777</v>
      </c>
      <c r="R464" s="76"/>
      <c r="S464" s="76"/>
      <c r="T464" s="81" t="s">
        <v>890</v>
      </c>
      <c r="U464" s="76"/>
      <c r="V464" s="79" t="str">
        <f>HYPERLINK("https://pbs.twimg.com/profile_images/1522304931037913088/v16u8wKz_normal.jpg")</f>
        <v>https://pbs.twimg.com/profile_images/1522304931037913088/v16u8wKz_normal.jpg</v>
      </c>
      <c r="W464" s="78">
        <v>44819.672476851854</v>
      </c>
      <c r="X464" s="84">
        <v>44819</v>
      </c>
      <c r="Y464" s="81" t="s">
        <v>1219</v>
      </c>
      <c r="Z464" s="79" t="str">
        <f>HYPERLINK("https://twitter.com/saresistentzia/status/1570444422625599488")</f>
        <v>https://twitter.com/saresistentzia/status/1570444422625599488</v>
      </c>
      <c r="AA464" s="76"/>
      <c r="AB464" s="76"/>
      <c r="AC464" s="81" t="s">
        <v>1558</v>
      </c>
      <c r="AD464" s="81" t="s">
        <v>1669</v>
      </c>
      <c r="AE464" s="76" t="b">
        <v>0</v>
      </c>
      <c r="AF464" s="76">
        <v>0</v>
      </c>
      <c r="AG464" s="81" t="s">
        <v>1768</v>
      </c>
      <c r="AH464" s="76" t="b">
        <v>0</v>
      </c>
      <c r="AI464" s="76" t="s">
        <v>1772</v>
      </c>
      <c r="AJ464" s="76"/>
      <c r="AK464" s="81" t="s">
        <v>1674</v>
      </c>
      <c r="AL464" s="76" t="b">
        <v>0</v>
      </c>
      <c r="AM464" s="76">
        <v>0</v>
      </c>
      <c r="AN464" s="81" t="s">
        <v>1674</v>
      </c>
      <c r="AO464" s="81" t="s">
        <v>1809</v>
      </c>
      <c r="AP464" s="76" t="b">
        <v>0</v>
      </c>
      <c r="AQ464" s="81" t="s">
        <v>1669</v>
      </c>
      <c r="AR464" s="76" t="s">
        <v>219</v>
      </c>
      <c r="AS464" s="76">
        <v>0</v>
      </c>
      <c r="AT464" s="76">
        <v>0</v>
      </c>
      <c r="AU464" s="76"/>
      <c r="AV464" s="76"/>
      <c r="AW464" s="76"/>
      <c r="AX464" s="76"/>
      <c r="AY464" s="76"/>
      <c r="AZ464" s="76"/>
      <c r="BA464" s="76"/>
      <c r="BB464" s="76"/>
      <c r="BC464">
        <v>3</v>
      </c>
      <c r="BD464" s="75" t="str">
        <f>REPLACE(INDEX(GroupVertices[Group],MATCH(Edges[[#This Row],[Vertex 1]],GroupVertices[Vertex],0)),1,1,"")</f>
        <v>1</v>
      </c>
      <c r="BE464" s="75" t="str">
        <f>REPLACE(INDEX(GroupVertices[Group],MATCH(Edges[[#This Row],[Vertex 2]],GroupVertices[Vertex],0)),1,1,"")</f>
        <v>1</v>
      </c>
      <c r="BF464" s="45"/>
      <c r="BG464" s="46"/>
      <c r="BH464" s="45"/>
      <c r="BI464" s="46"/>
      <c r="BJ464" s="45"/>
      <c r="BK464" s="46"/>
      <c r="BL464" s="45"/>
      <c r="BM464" s="46"/>
      <c r="BN464" s="45"/>
    </row>
    <row r="465" spans="1:66" ht="15">
      <c r="A465" s="61" t="s">
        <v>428</v>
      </c>
      <c r="B465" s="61" t="s">
        <v>447</v>
      </c>
      <c r="C465" s="62" t="s">
        <v>4691</v>
      </c>
      <c r="D465" s="63">
        <v>5.833333333333333</v>
      </c>
      <c r="E465" s="62"/>
      <c r="F465" s="65">
        <v>44.166666666666664</v>
      </c>
      <c r="G465" s="62"/>
      <c r="H465" s="66"/>
      <c r="I465" s="67"/>
      <c r="J465" s="67"/>
      <c r="K465" s="31" t="s">
        <v>65</v>
      </c>
      <c r="L465" s="68">
        <v>465</v>
      </c>
      <c r="M465" s="68"/>
      <c r="N465" s="69"/>
      <c r="O465" s="76" t="s">
        <v>587</v>
      </c>
      <c r="P465" s="78">
        <v>44819.724907407406</v>
      </c>
      <c r="Q465" s="76" t="s">
        <v>778</v>
      </c>
      <c r="R465" s="76"/>
      <c r="S465" s="76"/>
      <c r="T465" s="81" t="s">
        <v>891</v>
      </c>
      <c r="U465" s="76"/>
      <c r="V465" s="79" t="str">
        <f>HYPERLINK("https://pbs.twimg.com/profile_images/1522304931037913088/v16u8wKz_normal.jpg")</f>
        <v>https://pbs.twimg.com/profile_images/1522304931037913088/v16u8wKz_normal.jpg</v>
      </c>
      <c r="W465" s="78">
        <v>44819.724907407406</v>
      </c>
      <c r="X465" s="84">
        <v>44819</v>
      </c>
      <c r="Y465" s="81" t="s">
        <v>1220</v>
      </c>
      <c r="Z465" s="79" t="str">
        <f>HYPERLINK("https://twitter.com/saresistentzia/status/1570463421757358082")</f>
        <v>https://twitter.com/saresistentzia/status/1570463421757358082</v>
      </c>
      <c r="AA465" s="76"/>
      <c r="AB465" s="76"/>
      <c r="AC465" s="81" t="s">
        <v>1559</v>
      </c>
      <c r="AD465" s="81" t="s">
        <v>1670</v>
      </c>
      <c r="AE465" s="76" t="b">
        <v>0</v>
      </c>
      <c r="AF465" s="76">
        <v>0</v>
      </c>
      <c r="AG465" s="81" t="s">
        <v>1702</v>
      </c>
      <c r="AH465" s="76" t="b">
        <v>0</v>
      </c>
      <c r="AI465" s="76" t="s">
        <v>1774</v>
      </c>
      <c r="AJ465" s="76"/>
      <c r="AK465" s="81" t="s">
        <v>1674</v>
      </c>
      <c r="AL465" s="76" t="b">
        <v>0</v>
      </c>
      <c r="AM465" s="76">
        <v>0</v>
      </c>
      <c r="AN465" s="81" t="s">
        <v>1674</v>
      </c>
      <c r="AO465" s="81" t="s">
        <v>1809</v>
      </c>
      <c r="AP465" s="76" t="b">
        <v>0</v>
      </c>
      <c r="AQ465" s="81" t="s">
        <v>1670</v>
      </c>
      <c r="AR465" s="76" t="s">
        <v>219</v>
      </c>
      <c r="AS465" s="76">
        <v>0</v>
      </c>
      <c r="AT465" s="76">
        <v>0</v>
      </c>
      <c r="AU465" s="76"/>
      <c r="AV465" s="76"/>
      <c r="AW465" s="76"/>
      <c r="AX465" s="76"/>
      <c r="AY465" s="76"/>
      <c r="AZ465" s="76"/>
      <c r="BA465" s="76"/>
      <c r="BB465" s="76"/>
      <c r="BC465">
        <v>3</v>
      </c>
      <c r="BD465" s="75" t="str">
        <f>REPLACE(INDEX(GroupVertices[Group],MATCH(Edges[[#This Row],[Vertex 1]],GroupVertices[Vertex],0)),1,1,"")</f>
        <v>1</v>
      </c>
      <c r="BE465" s="75" t="str">
        <f>REPLACE(INDEX(GroupVertices[Group],MATCH(Edges[[#This Row],[Vertex 2]],GroupVertices[Vertex],0)),1,1,"")</f>
        <v>1</v>
      </c>
      <c r="BF465" s="45">
        <v>0</v>
      </c>
      <c r="BG465" s="46">
        <v>0</v>
      </c>
      <c r="BH465" s="45">
        <v>3</v>
      </c>
      <c r="BI465" s="46">
        <v>9.375</v>
      </c>
      <c r="BJ465" s="45">
        <v>0</v>
      </c>
      <c r="BK465" s="46">
        <v>0</v>
      </c>
      <c r="BL465" s="45">
        <v>29</v>
      </c>
      <c r="BM465" s="46">
        <v>90.625</v>
      </c>
      <c r="BN465" s="45">
        <v>32</v>
      </c>
    </row>
    <row r="466" spans="1:66" ht="15">
      <c r="A466" s="61" t="s">
        <v>428</v>
      </c>
      <c r="B466" s="61" t="s">
        <v>584</v>
      </c>
      <c r="C466" s="62" t="s">
        <v>4693</v>
      </c>
      <c r="D466" s="63">
        <v>6.25</v>
      </c>
      <c r="E466" s="62"/>
      <c r="F466" s="65">
        <v>41.25</v>
      </c>
      <c r="G466" s="62"/>
      <c r="H466" s="66"/>
      <c r="I466" s="67"/>
      <c r="J466" s="67"/>
      <c r="K466" s="31" t="s">
        <v>65</v>
      </c>
      <c r="L466" s="68">
        <v>466</v>
      </c>
      <c r="M466" s="68"/>
      <c r="N466" s="69"/>
      <c r="O466" s="76" t="s">
        <v>587</v>
      </c>
      <c r="P466" s="78">
        <v>44817.26106481482</v>
      </c>
      <c r="Q466" s="76" t="s">
        <v>779</v>
      </c>
      <c r="R466" s="76"/>
      <c r="S466" s="76"/>
      <c r="T466" s="81" t="s">
        <v>883</v>
      </c>
      <c r="U466" s="76"/>
      <c r="V466" s="79" t="str">
        <f>HYPERLINK("https://pbs.twimg.com/profile_images/1522304931037913088/v16u8wKz_normal.jpg")</f>
        <v>https://pbs.twimg.com/profile_images/1522304931037913088/v16u8wKz_normal.jpg</v>
      </c>
      <c r="W466" s="78">
        <v>44817.26106481482</v>
      </c>
      <c r="X466" s="84">
        <v>44817</v>
      </c>
      <c r="Y466" s="81" t="s">
        <v>1221</v>
      </c>
      <c r="Z466" s="79" t="str">
        <f>HYPERLINK("https://twitter.com/saresistentzia/status/1569570558387388416")</f>
        <v>https://twitter.com/saresistentzia/status/1569570558387388416</v>
      </c>
      <c r="AA466" s="76"/>
      <c r="AB466" s="76"/>
      <c r="AC466" s="81" t="s">
        <v>1560</v>
      </c>
      <c r="AD466" s="81" t="s">
        <v>1671</v>
      </c>
      <c r="AE466" s="76" t="b">
        <v>0</v>
      </c>
      <c r="AF466" s="76">
        <v>0</v>
      </c>
      <c r="AG466" s="81" t="s">
        <v>1769</v>
      </c>
      <c r="AH466" s="76" t="b">
        <v>0</v>
      </c>
      <c r="AI466" s="76" t="s">
        <v>1774</v>
      </c>
      <c r="AJ466" s="76"/>
      <c r="AK466" s="81" t="s">
        <v>1674</v>
      </c>
      <c r="AL466" s="76" t="b">
        <v>0</v>
      </c>
      <c r="AM466" s="76">
        <v>0</v>
      </c>
      <c r="AN466" s="81" t="s">
        <v>1674</v>
      </c>
      <c r="AO466" s="81" t="s">
        <v>1809</v>
      </c>
      <c r="AP466" s="76" t="b">
        <v>0</v>
      </c>
      <c r="AQ466" s="81" t="s">
        <v>1671</v>
      </c>
      <c r="AR466" s="76" t="s">
        <v>219</v>
      </c>
      <c r="AS466" s="76">
        <v>0</v>
      </c>
      <c r="AT466" s="76">
        <v>0</v>
      </c>
      <c r="AU466" s="76"/>
      <c r="AV466" s="76"/>
      <c r="AW466" s="76"/>
      <c r="AX466" s="76"/>
      <c r="AY466" s="76"/>
      <c r="AZ466" s="76"/>
      <c r="BA466" s="76"/>
      <c r="BB466" s="76"/>
      <c r="BC466">
        <v>4</v>
      </c>
      <c r="BD466" s="75" t="str">
        <f>REPLACE(INDEX(GroupVertices[Group],MATCH(Edges[[#This Row],[Vertex 1]],GroupVertices[Vertex],0)),1,1,"")</f>
        <v>1</v>
      </c>
      <c r="BE466" s="75" t="str">
        <f>REPLACE(INDEX(GroupVertices[Group],MATCH(Edges[[#This Row],[Vertex 2]],GroupVertices[Vertex],0)),1,1,"")</f>
        <v>1</v>
      </c>
      <c r="BF466" s="45">
        <v>0</v>
      </c>
      <c r="BG466" s="46">
        <v>0</v>
      </c>
      <c r="BH466" s="45">
        <v>0</v>
      </c>
      <c r="BI466" s="46">
        <v>0</v>
      </c>
      <c r="BJ466" s="45">
        <v>0</v>
      </c>
      <c r="BK466" s="46">
        <v>0</v>
      </c>
      <c r="BL466" s="45">
        <v>11</v>
      </c>
      <c r="BM466" s="46">
        <v>100</v>
      </c>
      <c r="BN466" s="45">
        <v>11</v>
      </c>
    </row>
    <row r="467" spans="1:66" ht="15">
      <c r="A467" s="61" t="s">
        <v>428</v>
      </c>
      <c r="B467" s="61" t="s">
        <v>584</v>
      </c>
      <c r="C467" s="62" t="s">
        <v>4693</v>
      </c>
      <c r="D467" s="63">
        <v>6.25</v>
      </c>
      <c r="E467" s="62"/>
      <c r="F467" s="65">
        <v>41.25</v>
      </c>
      <c r="G467" s="62"/>
      <c r="H467" s="66"/>
      <c r="I467" s="67"/>
      <c r="J467" s="67"/>
      <c r="K467" s="31" t="s">
        <v>65</v>
      </c>
      <c r="L467" s="68">
        <v>467</v>
      </c>
      <c r="M467" s="68"/>
      <c r="N467" s="69"/>
      <c r="O467" s="76" t="s">
        <v>587</v>
      </c>
      <c r="P467" s="78">
        <v>44818.67755787037</v>
      </c>
      <c r="Q467" s="76" t="s">
        <v>780</v>
      </c>
      <c r="R467" s="76"/>
      <c r="S467" s="76"/>
      <c r="T467" s="81" t="s">
        <v>892</v>
      </c>
      <c r="U467" s="76"/>
      <c r="V467" s="79" t="str">
        <f>HYPERLINK("https://pbs.twimg.com/profile_images/1522304931037913088/v16u8wKz_normal.jpg")</f>
        <v>https://pbs.twimg.com/profile_images/1522304931037913088/v16u8wKz_normal.jpg</v>
      </c>
      <c r="W467" s="78">
        <v>44818.67755787037</v>
      </c>
      <c r="X467" s="84">
        <v>44818</v>
      </c>
      <c r="Y467" s="81" t="s">
        <v>1222</v>
      </c>
      <c r="Z467" s="79" t="str">
        <f>HYPERLINK("https://twitter.com/saresistentzia/status/1570083874553712640")</f>
        <v>https://twitter.com/saresistentzia/status/1570083874553712640</v>
      </c>
      <c r="AA467" s="76"/>
      <c r="AB467" s="76"/>
      <c r="AC467" s="81" t="s">
        <v>1561</v>
      </c>
      <c r="AD467" s="81" t="s">
        <v>1672</v>
      </c>
      <c r="AE467" s="76" t="b">
        <v>0</v>
      </c>
      <c r="AF467" s="76">
        <v>6</v>
      </c>
      <c r="AG467" s="81" t="s">
        <v>1769</v>
      </c>
      <c r="AH467" s="76" t="b">
        <v>0</v>
      </c>
      <c r="AI467" s="76" t="s">
        <v>1774</v>
      </c>
      <c r="AJ467" s="76"/>
      <c r="AK467" s="81" t="s">
        <v>1674</v>
      </c>
      <c r="AL467" s="76" t="b">
        <v>0</v>
      </c>
      <c r="AM467" s="76">
        <v>0</v>
      </c>
      <c r="AN467" s="81" t="s">
        <v>1674</v>
      </c>
      <c r="AO467" s="81" t="s">
        <v>1809</v>
      </c>
      <c r="AP467" s="76" t="b">
        <v>0</v>
      </c>
      <c r="AQ467" s="81" t="s">
        <v>1672</v>
      </c>
      <c r="AR467" s="76" t="s">
        <v>219</v>
      </c>
      <c r="AS467" s="76">
        <v>0</v>
      </c>
      <c r="AT467" s="76">
        <v>0</v>
      </c>
      <c r="AU467" s="76"/>
      <c r="AV467" s="76"/>
      <c r="AW467" s="76"/>
      <c r="AX467" s="76"/>
      <c r="AY467" s="76"/>
      <c r="AZ467" s="76"/>
      <c r="BA467" s="76"/>
      <c r="BB467" s="76"/>
      <c r="BC467">
        <v>4</v>
      </c>
      <c r="BD467" s="75" t="str">
        <f>REPLACE(INDEX(GroupVertices[Group],MATCH(Edges[[#This Row],[Vertex 1]],GroupVertices[Vertex],0)),1,1,"")</f>
        <v>1</v>
      </c>
      <c r="BE467" s="75" t="str">
        <f>REPLACE(INDEX(GroupVertices[Group],MATCH(Edges[[#This Row],[Vertex 2]],GroupVertices[Vertex],0)),1,1,"")</f>
        <v>1</v>
      </c>
      <c r="BF467" s="45">
        <v>0</v>
      </c>
      <c r="BG467" s="46">
        <v>0</v>
      </c>
      <c r="BH467" s="45">
        <v>0</v>
      </c>
      <c r="BI467" s="46">
        <v>0</v>
      </c>
      <c r="BJ467" s="45">
        <v>0</v>
      </c>
      <c r="BK467" s="46">
        <v>0</v>
      </c>
      <c r="BL467" s="45">
        <v>30</v>
      </c>
      <c r="BM467" s="46">
        <v>100</v>
      </c>
      <c r="BN467" s="45">
        <v>30</v>
      </c>
    </row>
    <row r="468" spans="1:66" ht="15">
      <c r="A468" s="61" t="s">
        <v>428</v>
      </c>
      <c r="B468" s="61" t="s">
        <v>584</v>
      </c>
      <c r="C468" s="62" t="s">
        <v>4693</v>
      </c>
      <c r="D468" s="63">
        <v>6.25</v>
      </c>
      <c r="E468" s="62"/>
      <c r="F468" s="65">
        <v>41.25</v>
      </c>
      <c r="G468" s="62"/>
      <c r="H468" s="66"/>
      <c r="I468" s="67"/>
      <c r="J468" s="67"/>
      <c r="K468" s="31" t="s">
        <v>65</v>
      </c>
      <c r="L468" s="68">
        <v>468</v>
      </c>
      <c r="M468" s="68"/>
      <c r="N468" s="69"/>
      <c r="O468" s="76" t="s">
        <v>588</v>
      </c>
      <c r="P468" s="78">
        <v>44819.23981481481</v>
      </c>
      <c r="Q468" s="76" t="s">
        <v>776</v>
      </c>
      <c r="R468" s="76"/>
      <c r="S468" s="76"/>
      <c r="T468" s="81" t="s">
        <v>889</v>
      </c>
      <c r="U468" s="76"/>
      <c r="V468" s="79" t="str">
        <f>HYPERLINK("https://pbs.twimg.com/profile_images/1522304931037913088/v16u8wKz_normal.jpg")</f>
        <v>https://pbs.twimg.com/profile_images/1522304931037913088/v16u8wKz_normal.jpg</v>
      </c>
      <c r="W468" s="78">
        <v>44819.23981481481</v>
      </c>
      <c r="X468" s="84">
        <v>44819</v>
      </c>
      <c r="Y468" s="81" t="s">
        <v>1217</v>
      </c>
      <c r="Z468" s="79" t="str">
        <f>HYPERLINK("https://twitter.com/saresistentzia/status/1570287633003347975")</f>
        <v>https://twitter.com/saresistentzia/status/1570287633003347975</v>
      </c>
      <c r="AA468" s="76"/>
      <c r="AB468" s="76"/>
      <c r="AC468" s="81" t="s">
        <v>1556</v>
      </c>
      <c r="AD468" s="81" t="s">
        <v>1667</v>
      </c>
      <c r="AE468" s="76" t="b">
        <v>0</v>
      </c>
      <c r="AF468" s="76">
        <v>1</v>
      </c>
      <c r="AG468" s="81" t="s">
        <v>1766</v>
      </c>
      <c r="AH468" s="76" t="b">
        <v>0</v>
      </c>
      <c r="AI468" s="76" t="s">
        <v>1774</v>
      </c>
      <c r="AJ468" s="76"/>
      <c r="AK468" s="81" t="s">
        <v>1674</v>
      </c>
      <c r="AL468" s="76" t="b">
        <v>0</v>
      </c>
      <c r="AM468" s="76">
        <v>0</v>
      </c>
      <c r="AN468" s="81" t="s">
        <v>1674</v>
      </c>
      <c r="AO468" s="81" t="s">
        <v>1809</v>
      </c>
      <c r="AP468" s="76" t="b">
        <v>0</v>
      </c>
      <c r="AQ468" s="81" t="s">
        <v>1667</v>
      </c>
      <c r="AR468" s="76" t="s">
        <v>219</v>
      </c>
      <c r="AS468" s="76">
        <v>0</v>
      </c>
      <c r="AT468" s="76">
        <v>0</v>
      </c>
      <c r="AU468" s="76"/>
      <c r="AV468" s="76"/>
      <c r="AW468" s="76"/>
      <c r="AX468" s="76"/>
      <c r="AY468" s="76"/>
      <c r="AZ468" s="76"/>
      <c r="BA468" s="76"/>
      <c r="BB468" s="76"/>
      <c r="BC468">
        <v>4</v>
      </c>
      <c r="BD468" s="75" t="str">
        <f>REPLACE(INDEX(GroupVertices[Group],MATCH(Edges[[#This Row],[Vertex 1]],GroupVertices[Vertex],0)),1,1,"")</f>
        <v>1</v>
      </c>
      <c r="BE468" s="75" t="str">
        <f>REPLACE(INDEX(GroupVertices[Group],MATCH(Edges[[#This Row],[Vertex 2]],GroupVertices[Vertex],0)),1,1,"")</f>
        <v>1</v>
      </c>
      <c r="BF468" s="45">
        <v>0</v>
      </c>
      <c r="BG468" s="46">
        <v>0</v>
      </c>
      <c r="BH468" s="45">
        <v>0</v>
      </c>
      <c r="BI468" s="46">
        <v>0</v>
      </c>
      <c r="BJ468" s="45">
        <v>0</v>
      </c>
      <c r="BK468" s="46">
        <v>0</v>
      </c>
      <c r="BL468" s="45">
        <v>22</v>
      </c>
      <c r="BM468" s="46">
        <v>100</v>
      </c>
      <c r="BN468" s="45">
        <v>22</v>
      </c>
    </row>
    <row r="469" spans="1:66" ht="15">
      <c r="A469" s="61" t="s">
        <v>428</v>
      </c>
      <c r="B469" s="61" t="s">
        <v>584</v>
      </c>
      <c r="C469" s="62" t="s">
        <v>4693</v>
      </c>
      <c r="D469" s="63">
        <v>6.25</v>
      </c>
      <c r="E469" s="62"/>
      <c r="F469" s="65">
        <v>41.25</v>
      </c>
      <c r="G469" s="62"/>
      <c r="H469" s="66"/>
      <c r="I469" s="67"/>
      <c r="J469" s="67"/>
      <c r="K469" s="31" t="s">
        <v>65</v>
      </c>
      <c r="L469" s="68">
        <v>469</v>
      </c>
      <c r="M469" s="68"/>
      <c r="N469" s="69"/>
      <c r="O469" s="76" t="s">
        <v>587</v>
      </c>
      <c r="P469" s="78">
        <v>44819.80777777778</v>
      </c>
      <c r="Q469" s="76" t="s">
        <v>781</v>
      </c>
      <c r="R469" s="76"/>
      <c r="S469" s="76"/>
      <c r="T469" s="81" t="s">
        <v>893</v>
      </c>
      <c r="U469" s="76"/>
      <c r="V469" s="79" t="str">
        <f>HYPERLINK("https://pbs.twimg.com/profile_images/1522304931037913088/v16u8wKz_normal.jpg")</f>
        <v>https://pbs.twimg.com/profile_images/1522304931037913088/v16u8wKz_normal.jpg</v>
      </c>
      <c r="W469" s="78">
        <v>44819.80777777778</v>
      </c>
      <c r="X469" s="84">
        <v>44819</v>
      </c>
      <c r="Y469" s="81" t="s">
        <v>1223</v>
      </c>
      <c r="Z469" s="79" t="str">
        <f>HYPERLINK("https://twitter.com/saresistentzia/status/1570493452902895616")</f>
        <v>https://twitter.com/saresistentzia/status/1570493452902895616</v>
      </c>
      <c r="AA469" s="76"/>
      <c r="AB469" s="76"/>
      <c r="AC469" s="81" t="s">
        <v>1562</v>
      </c>
      <c r="AD469" s="81" t="s">
        <v>1673</v>
      </c>
      <c r="AE469" s="76" t="b">
        <v>0</v>
      </c>
      <c r="AF469" s="76">
        <v>1</v>
      </c>
      <c r="AG469" s="81" t="s">
        <v>1769</v>
      </c>
      <c r="AH469" s="76" t="b">
        <v>0</v>
      </c>
      <c r="AI469" s="76" t="s">
        <v>1774</v>
      </c>
      <c r="AJ469" s="76"/>
      <c r="AK469" s="81" t="s">
        <v>1674</v>
      </c>
      <c r="AL469" s="76" t="b">
        <v>0</v>
      </c>
      <c r="AM469" s="76">
        <v>0</v>
      </c>
      <c r="AN469" s="81" t="s">
        <v>1674</v>
      </c>
      <c r="AO469" s="81" t="s">
        <v>1809</v>
      </c>
      <c r="AP469" s="76" t="b">
        <v>0</v>
      </c>
      <c r="AQ469" s="81" t="s">
        <v>1673</v>
      </c>
      <c r="AR469" s="76" t="s">
        <v>219</v>
      </c>
      <c r="AS469" s="76">
        <v>0</v>
      </c>
      <c r="AT469" s="76">
        <v>0</v>
      </c>
      <c r="AU469" s="76"/>
      <c r="AV469" s="76"/>
      <c r="AW469" s="76"/>
      <c r="AX469" s="76"/>
      <c r="AY469" s="76"/>
      <c r="AZ469" s="76"/>
      <c r="BA469" s="76"/>
      <c r="BB469" s="76"/>
      <c r="BC469">
        <v>4</v>
      </c>
      <c r="BD469" s="75" t="str">
        <f>REPLACE(INDEX(GroupVertices[Group],MATCH(Edges[[#This Row],[Vertex 1]],GroupVertices[Vertex],0)),1,1,"")</f>
        <v>1</v>
      </c>
      <c r="BE469" s="75" t="str">
        <f>REPLACE(INDEX(GroupVertices[Group],MATCH(Edges[[#This Row],[Vertex 2]],GroupVertices[Vertex],0)),1,1,"")</f>
        <v>1</v>
      </c>
      <c r="BF469" s="45">
        <v>0</v>
      </c>
      <c r="BG469" s="46">
        <v>0</v>
      </c>
      <c r="BH469" s="45">
        <v>0</v>
      </c>
      <c r="BI469" s="46">
        <v>0</v>
      </c>
      <c r="BJ469" s="45">
        <v>0</v>
      </c>
      <c r="BK469" s="46">
        <v>0</v>
      </c>
      <c r="BL469" s="45">
        <v>35</v>
      </c>
      <c r="BM469" s="46">
        <v>100</v>
      </c>
      <c r="BN469" s="45">
        <v>35</v>
      </c>
    </row>
    <row r="470" spans="1:66" ht="15">
      <c r="A470" s="61" t="s">
        <v>428</v>
      </c>
      <c r="B470" s="61" t="s">
        <v>428</v>
      </c>
      <c r="C470" s="62" t="s">
        <v>4688</v>
      </c>
      <c r="D470" s="63">
        <v>5</v>
      </c>
      <c r="E470" s="62"/>
      <c r="F470" s="65">
        <v>50</v>
      </c>
      <c r="G470" s="62"/>
      <c r="H470" s="66"/>
      <c r="I470" s="67"/>
      <c r="J470" s="67"/>
      <c r="K470" s="31" t="s">
        <v>65</v>
      </c>
      <c r="L470" s="68">
        <v>470</v>
      </c>
      <c r="M470" s="68"/>
      <c r="N470" s="69"/>
      <c r="O470" s="76" t="s">
        <v>219</v>
      </c>
      <c r="P470" s="78">
        <v>44818.54063657407</v>
      </c>
      <c r="Q470" s="76" t="s">
        <v>700</v>
      </c>
      <c r="R470" s="76"/>
      <c r="S470" s="76"/>
      <c r="T470" s="81" t="s">
        <v>849</v>
      </c>
      <c r="U470" s="79" t="str">
        <f>HYPERLINK("https://pbs.twimg.com/ext_tw_video_thumb/1569990463913852929/pu/img/jtvBzzGtZsaI9lVF.jpg")</f>
        <v>https://pbs.twimg.com/ext_tw_video_thumb/1569990463913852929/pu/img/jtvBzzGtZsaI9lVF.jpg</v>
      </c>
      <c r="V470" s="79" t="str">
        <f>HYPERLINK("https://pbs.twimg.com/ext_tw_video_thumb/1569990463913852929/pu/img/jtvBzzGtZsaI9lVF.jpg")</f>
        <v>https://pbs.twimg.com/ext_tw_video_thumb/1569990463913852929/pu/img/jtvBzzGtZsaI9lVF.jpg</v>
      </c>
      <c r="W470" s="78">
        <v>44818.54063657407</v>
      </c>
      <c r="X470" s="84">
        <v>44818</v>
      </c>
      <c r="Y470" s="81" t="s">
        <v>1224</v>
      </c>
      <c r="Z470" s="79" t="str">
        <f>HYPERLINK("https://twitter.com/saresistentzia/status/1570034256658984966")</f>
        <v>https://twitter.com/saresistentzia/status/1570034256658984966</v>
      </c>
      <c r="AA470" s="76"/>
      <c r="AB470" s="76"/>
      <c r="AC470" s="81" t="s">
        <v>1563</v>
      </c>
      <c r="AD470" s="76"/>
      <c r="AE470" s="76" t="b">
        <v>0</v>
      </c>
      <c r="AF470" s="76">
        <v>1</v>
      </c>
      <c r="AG470" s="81" t="s">
        <v>1674</v>
      </c>
      <c r="AH470" s="76" t="b">
        <v>0</v>
      </c>
      <c r="AI470" s="76" t="s">
        <v>1772</v>
      </c>
      <c r="AJ470" s="76"/>
      <c r="AK470" s="81" t="s">
        <v>1674</v>
      </c>
      <c r="AL470" s="76" t="b">
        <v>0</v>
      </c>
      <c r="AM470" s="76">
        <v>1</v>
      </c>
      <c r="AN470" s="81" t="s">
        <v>1674</v>
      </c>
      <c r="AO470" s="81" t="s">
        <v>1809</v>
      </c>
      <c r="AP470" s="76" t="b">
        <v>0</v>
      </c>
      <c r="AQ470" s="81" t="s">
        <v>1563</v>
      </c>
      <c r="AR470" s="76" t="s">
        <v>219</v>
      </c>
      <c r="AS470" s="76">
        <v>0</v>
      </c>
      <c r="AT470" s="76">
        <v>0</v>
      </c>
      <c r="AU470" s="76"/>
      <c r="AV470" s="76"/>
      <c r="AW470" s="76"/>
      <c r="AX470" s="76"/>
      <c r="AY470" s="76"/>
      <c r="AZ470" s="76"/>
      <c r="BA470" s="76"/>
      <c r="BB470" s="76"/>
      <c r="BC470">
        <v>1</v>
      </c>
      <c r="BD470" s="75" t="str">
        <f>REPLACE(INDEX(GroupVertices[Group],MATCH(Edges[[#This Row],[Vertex 1]],GroupVertices[Vertex],0)),1,1,"")</f>
        <v>1</v>
      </c>
      <c r="BE470" s="75" t="str">
        <f>REPLACE(INDEX(GroupVertices[Group],MATCH(Edges[[#This Row],[Vertex 2]],GroupVertices[Vertex],0)),1,1,"")</f>
        <v>1</v>
      </c>
      <c r="BF470" s="45">
        <v>0</v>
      </c>
      <c r="BG470" s="46">
        <v>0</v>
      </c>
      <c r="BH470" s="45">
        <v>0</v>
      </c>
      <c r="BI470" s="46">
        <v>0</v>
      </c>
      <c r="BJ470" s="45">
        <v>0</v>
      </c>
      <c r="BK470" s="46">
        <v>0</v>
      </c>
      <c r="BL470" s="45">
        <v>18</v>
      </c>
      <c r="BM470" s="46">
        <v>100</v>
      </c>
      <c r="BN470" s="45">
        <v>18</v>
      </c>
    </row>
    <row r="471" spans="1:66" ht="15">
      <c r="A471" s="61" t="s">
        <v>429</v>
      </c>
      <c r="B471" s="61" t="s">
        <v>429</v>
      </c>
      <c r="C471" s="62" t="s">
        <v>4688</v>
      </c>
      <c r="D471" s="63">
        <v>5</v>
      </c>
      <c r="E471" s="62"/>
      <c r="F471" s="65">
        <v>50</v>
      </c>
      <c r="G471" s="62"/>
      <c r="H471" s="66"/>
      <c r="I471" s="67"/>
      <c r="J471" s="67"/>
      <c r="K471" s="31" t="s">
        <v>65</v>
      </c>
      <c r="L471" s="68">
        <v>471</v>
      </c>
      <c r="M471" s="68"/>
      <c r="N471" s="69"/>
      <c r="O471" s="76" t="s">
        <v>219</v>
      </c>
      <c r="P471" s="78">
        <v>44819.815300925926</v>
      </c>
      <c r="Q471" s="76" t="s">
        <v>782</v>
      </c>
      <c r="R471" s="76"/>
      <c r="S471" s="76"/>
      <c r="T471" s="81" t="s">
        <v>894</v>
      </c>
      <c r="U471" s="79" t="str">
        <f>HYPERLINK("https://pbs.twimg.com/media/FcuF81lWQAAbFzL.jpg")</f>
        <v>https://pbs.twimg.com/media/FcuF81lWQAAbFzL.jpg</v>
      </c>
      <c r="V471" s="79" t="str">
        <f>HYPERLINK("https://pbs.twimg.com/media/FcuF81lWQAAbFzL.jpg")</f>
        <v>https://pbs.twimg.com/media/FcuF81lWQAAbFzL.jpg</v>
      </c>
      <c r="W471" s="78">
        <v>44819.815300925926</v>
      </c>
      <c r="X471" s="84">
        <v>44819</v>
      </c>
      <c r="Y471" s="81" t="s">
        <v>1225</v>
      </c>
      <c r="Z471" s="79" t="str">
        <f>HYPERLINK("https://twitter.com/seekingreader/status/1570496179234033666")</f>
        <v>https://twitter.com/seekingreader/status/1570496179234033666</v>
      </c>
      <c r="AA471" s="76"/>
      <c r="AB471" s="76"/>
      <c r="AC471" s="81" t="s">
        <v>1564</v>
      </c>
      <c r="AD471" s="76"/>
      <c r="AE471" s="76" t="b">
        <v>0</v>
      </c>
      <c r="AF471" s="76">
        <v>0</v>
      </c>
      <c r="AG471" s="81" t="s">
        <v>1674</v>
      </c>
      <c r="AH471" s="76" t="b">
        <v>0</v>
      </c>
      <c r="AI471" s="76" t="s">
        <v>1774</v>
      </c>
      <c r="AJ471" s="76"/>
      <c r="AK471" s="81" t="s">
        <v>1674</v>
      </c>
      <c r="AL471" s="76" t="b">
        <v>0</v>
      </c>
      <c r="AM471" s="76">
        <v>0</v>
      </c>
      <c r="AN471" s="81" t="s">
        <v>1674</v>
      </c>
      <c r="AO471" s="81" t="s">
        <v>1809</v>
      </c>
      <c r="AP471" s="76" t="b">
        <v>0</v>
      </c>
      <c r="AQ471" s="81" t="s">
        <v>1564</v>
      </c>
      <c r="AR471" s="76" t="s">
        <v>219</v>
      </c>
      <c r="AS471" s="76">
        <v>0</v>
      </c>
      <c r="AT471" s="76">
        <v>0</v>
      </c>
      <c r="AU471" s="76"/>
      <c r="AV471" s="76"/>
      <c r="AW471" s="76"/>
      <c r="AX471" s="76"/>
      <c r="AY471" s="76"/>
      <c r="AZ471" s="76"/>
      <c r="BA471" s="76"/>
      <c r="BB471" s="76"/>
      <c r="BC471">
        <v>1</v>
      </c>
      <c r="BD471" s="75" t="str">
        <f>REPLACE(INDEX(GroupVertices[Group],MATCH(Edges[[#This Row],[Vertex 1]],GroupVertices[Vertex],0)),1,1,"")</f>
        <v>2</v>
      </c>
      <c r="BE471" s="75" t="str">
        <f>REPLACE(INDEX(GroupVertices[Group],MATCH(Edges[[#This Row],[Vertex 2]],GroupVertices[Vertex],0)),1,1,"")</f>
        <v>2</v>
      </c>
      <c r="BF471" s="45">
        <v>0</v>
      </c>
      <c r="BG471" s="46">
        <v>0</v>
      </c>
      <c r="BH471" s="45">
        <v>0</v>
      </c>
      <c r="BI471" s="46">
        <v>0</v>
      </c>
      <c r="BJ471" s="45">
        <v>0</v>
      </c>
      <c r="BK471" s="46">
        <v>0</v>
      </c>
      <c r="BL471" s="45">
        <v>32</v>
      </c>
      <c r="BM471" s="46">
        <v>100</v>
      </c>
      <c r="BN471" s="45">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1"/>
    <dataValidation allowBlank="1" showErrorMessage="1" sqref="N2:N4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1"/>
    <dataValidation allowBlank="1" showInputMessage="1" promptTitle="Edge Color" prompt="To select an optional edge color, right-click and select Select Color on the right-click menu." sqref="C3:C471"/>
    <dataValidation allowBlank="1" showInputMessage="1" promptTitle="Edge Width" prompt="Enter an optional edge width between 1 and 10." errorTitle="Invalid Edge Width" error="The optional edge width must be a whole number between 1 and 10." sqref="D3:D471"/>
    <dataValidation allowBlank="1" showInputMessage="1" promptTitle="Edge Opacity" prompt="Enter an optional edge opacity between 0 (transparent) and 100 (opaque)." errorTitle="Invalid Edge Opacity" error="The optional edge opacity must be a whole number between 0 and 10." sqref="F3:F4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1">
      <formula1>ValidEdgeVisibilities</formula1>
    </dataValidation>
    <dataValidation allowBlank="1" showInputMessage="1" showErrorMessage="1" promptTitle="Vertex 1 Name" prompt="Enter the name of the edge's first vertex." sqref="A3:A471"/>
    <dataValidation allowBlank="1" showInputMessage="1" showErrorMessage="1" promptTitle="Vertex 2 Name" prompt="Enter the name of the edge's second vertex." sqref="B3:B471"/>
    <dataValidation allowBlank="1" showInputMessage="1" showErrorMessage="1" promptTitle="Edge Label" prompt="Enter an optional edge label." errorTitle="Invalid Edge Visibility" error="You have entered an unrecognized edge visibility.  Try selecting from the drop-down list instead." sqref="H3:H4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E4CAC-991D-466D-A022-750CBD16C013}">
  <dimension ref="A1:C71"/>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3920</v>
      </c>
      <c r="B2" s="108" t="s">
        <v>3921</v>
      </c>
      <c r="C2" s="50" t="s">
        <v>3922</v>
      </c>
    </row>
    <row r="3" spans="1:3" ht="15">
      <c r="A3" s="107" t="s">
        <v>3176</v>
      </c>
      <c r="B3" s="107" t="s">
        <v>3176</v>
      </c>
      <c r="C3" s="31">
        <v>60</v>
      </c>
    </row>
    <row r="4" spans="1:3" ht="15">
      <c r="A4" s="107" t="s">
        <v>3176</v>
      </c>
      <c r="B4" s="107" t="s">
        <v>3178</v>
      </c>
      <c r="C4" s="31">
        <v>5</v>
      </c>
    </row>
    <row r="5" spans="1:3" ht="15">
      <c r="A5" s="107" t="s">
        <v>3176</v>
      </c>
      <c r="B5" s="107" t="s">
        <v>3181</v>
      </c>
      <c r="C5" s="31">
        <v>1</v>
      </c>
    </row>
    <row r="6" spans="1:3" ht="15">
      <c r="A6" s="107" t="s">
        <v>3176</v>
      </c>
      <c r="B6" s="107" t="s">
        <v>3184</v>
      </c>
      <c r="C6" s="31">
        <v>3</v>
      </c>
    </row>
    <row r="7" spans="1:3" ht="15">
      <c r="A7" s="107" t="s">
        <v>3176</v>
      </c>
      <c r="B7" s="107" t="s">
        <v>3191</v>
      </c>
      <c r="C7" s="31">
        <v>2</v>
      </c>
    </row>
    <row r="8" spans="1:3" ht="15">
      <c r="A8" s="107" t="s">
        <v>3176</v>
      </c>
      <c r="B8" s="107" t="s">
        <v>3198</v>
      </c>
      <c r="C8" s="31">
        <v>5</v>
      </c>
    </row>
    <row r="9" spans="1:3" ht="15">
      <c r="A9" s="107" t="s">
        <v>3176</v>
      </c>
      <c r="B9" s="107" t="s">
        <v>3200</v>
      </c>
      <c r="C9" s="31">
        <v>1</v>
      </c>
    </row>
    <row r="10" spans="1:3" ht="15">
      <c r="A10" s="107" t="s">
        <v>3177</v>
      </c>
      <c r="B10" s="107" t="s">
        <v>3177</v>
      </c>
      <c r="C10" s="31">
        <v>76</v>
      </c>
    </row>
    <row r="11" spans="1:3" ht="15">
      <c r="A11" s="107" t="s">
        <v>3178</v>
      </c>
      <c r="B11" s="107" t="s">
        <v>3178</v>
      </c>
      <c r="C11" s="31">
        <v>49</v>
      </c>
    </row>
    <row r="12" spans="1:3" ht="15">
      <c r="A12" s="107" t="s">
        <v>3179</v>
      </c>
      <c r="B12" s="107" t="s">
        <v>3179</v>
      </c>
      <c r="C12" s="31">
        <v>24</v>
      </c>
    </row>
    <row r="13" spans="1:3" ht="15">
      <c r="A13" s="107" t="s">
        <v>3180</v>
      </c>
      <c r="B13" s="107" t="s">
        <v>3180</v>
      </c>
      <c r="C13" s="31">
        <v>17</v>
      </c>
    </row>
    <row r="14" spans="1:3" ht="15">
      <c r="A14" s="107" t="s">
        <v>3181</v>
      </c>
      <c r="B14" s="107" t="s">
        <v>3176</v>
      </c>
      <c r="C14" s="31">
        <v>1</v>
      </c>
    </row>
    <row r="15" spans="1:3" ht="15">
      <c r="A15" s="107" t="s">
        <v>3181</v>
      </c>
      <c r="B15" s="107" t="s">
        <v>3181</v>
      </c>
      <c r="C15" s="31">
        <v>11</v>
      </c>
    </row>
    <row r="16" spans="1:3" ht="15">
      <c r="A16" s="107" t="s">
        <v>3182</v>
      </c>
      <c r="B16" s="107" t="s">
        <v>3176</v>
      </c>
      <c r="C16" s="31">
        <v>1</v>
      </c>
    </row>
    <row r="17" spans="1:3" ht="15">
      <c r="A17" s="107" t="s">
        <v>3182</v>
      </c>
      <c r="B17" s="107" t="s">
        <v>3178</v>
      </c>
      <c r="C17" s="31">
        <v>1</v>
      </c>
    </row>
    <row r="18" spans="1:3" ht="15">
      <c r="A18" s="107" t="s">
        <v>3182</v>
      </c>
      <c r="B18" s="107" t="s">
        <v>3182</v>
      </c>
      <c r="C18" s="31">
        <v>12</v>
      </c>
    </row>
    <row r="19" spans="1:3" ht="15">
      <c r="A19" s="107" t="s">
        <v>3183</v>
      </c>
      <c r="B19" s="107" t="s">
        <v>3183</v>
      </c>
      <c r="C19" s="31">
        <v>12</v>
      </c>
    </row>
    <row r="20" spans="1:3" ht="15">
      <c r="A20" s="107" t="s">
        <v>3184</v>
      </c>
      <c r="B20" s="107" t="s">
        <v>3176</v>
      </c>
      <c r="C20" s="31">
        <v>1</v>
      </c>
    </row>
    <row r="21" spans="1:3" ht="15">
      <c r="A21" s="107" t="s">
        <v>3184</v>
      </c>
      <c r="B21" s="107" t="s">
        <v>3184</v>
      </c>
      <c r="C21" s="31">
        <v>11</v>
      </c>
    </row>
    <row r="22" spans="1:3" ht="15">
      <c r="A22" s="107" t="s">
        <v>3185</v>
      </c>
      <c r="B22" s="107" t="s">
        <v>3185</v>
      </c>
      <c r="C22" s="31">
        <v>19</v>
      </c>
    </row>
    <row r="23" spans="1:3" ht="15">
      <c r="A23" s="107" t="s">
        <v>3186</v>
      </c>
      <c r="B23" s="107" t="s">
        <v>3186</v>
      </c>
      <c r="C23" s="31">
        <v>8</v>
      </c>
    </row>
    <row r="24" spans="1:3" ht="15">
      <c r="A24" s="107" t="s">
        <v>3187</v>
      </c>
      <c r="B24" s="107" t="s">
        <v>3187</v>
      </c>
      <c r="C24" s="31">
        <v>6</v>
      </c>
    </row>
    <row r="25" spans="1:3" ht="15">
      <c r="A25" s="107" t="s">
        <v>3188</v>
      </c>
      <c r="B25" s="107" t="s">
        <v>3188</v>
      </c>
      <c r="C25" s="31">
        <v>14</v>
      </c>
    </row>
    <row r="26" spans="1:3" ht="15">
      <c r="A26" s="107" t="s">
        <v>3189</v>
      </c>
      <c r="B26" s="107" t="s">
        <v>3189</v>
      </c>
      <c r="C26" s="31">
        <v>6</v>
      </c>
    </row>
    <row r="27" spans="1:3" ht="15">
      <c r="A27" s="107" t="s">
        <v>3190</v>
      </c>
      <c r="B27" s="107" t="s">
        <v>3190</v>
      </c>
      <c r="C27" s="31">
        <v>10</v>
      </c>
    </row>
    <row r="28" spans="1:3" ht="15">
      <c r="A28" s="107" t="s">
        <v>3191</v>
      </c>
      <c r="B28" s="107" t="s">
        <v>3191</v>
      </c>
      <c r="C28" s="31">
        <v>7</v>
      </c>
    </row>
    <row r="29" spans="1:3" ht="15">
      <c r="A29" s="107" t="s">
        <v>3192</v>
      </c>
      <c r="B29" s="107" t="s">
        <v>3192</v>
      </c>
      <c r="C29" s="31">
        <v>5</v>
      </c>
    </row>
    <row r="30" spans="1:3" ht="15">
      <c r="A30" s="107" t="s">
        <v>3193</v>
      </c>
      <c r="B30" s="107" t="s">
        <v>3193</v>
      </c>
      <c r="C30" s="31">
        <v>4</v>
      </c>
    </row>
    <row r="31" spans="1:3" ht="15">
      <c r="A31" s="107" t="s">
        <v>3194</v>
      </c>
      <c r="B31" s="107" t="s">
        <v>3194</v>
      </c>
      <c r="C31" s="31">
        <v>6</v>
      </c>
    </row>
    <row r="32" spans="1:3" ht="15">
      <c r="A32" s="107" t="s">
        <v>3195</v>
      </c>
      <c r="B32" s="107" t="s">
        <v>3195</v>
      </c>
      <c r="C32" s="31">
        <v>4</v>
      </c>
    </row>
    <row r="33" spans="1:3" ht="15">
      <c r="A33" s="107" t="s">
        <v>3196</v>
      </c>
      <c r="B33" s="107" t="s">
        <v>3196</v>
      </c>
      <c r="C33" s="31">
        <v>3</v>
      </c>
    </row>
    <row r="34" spans="1:3" ht="15">
      <c r="A34" s="107" t="s">
        <v>3197</v>
      </c>
      <c r="B34" s="107" t="s">
        <v>3197</v>
      </c>
      <c r="C34" s="31">
        <v>3</v>
      </c>
    </row>
    <row r="35" spans="1:3" ht="15">
      <c r="A35" s="107" t="s">
        <v>3198</v>
      </c>
      <c r="B35" s="107" t="s">
        <v>3198</v>
      </c>
      <c r="C35" s="31">
        <v>5</v>
      </c>
    </row>
    <row r="36" spans="1:3" ht="15">
      <c r="A36" s="107" t="s">
        <v>3199</v>
      </c>
      <c r="B36" s="107" t="s">
        <v>3199</v>
      </c>
      <c r="C36" s="31">
        <v>4</v>
      </c>
    </row>
    <row r="37" spans="1:3" ht="15">
      <c r="A37" s="107" t="s">
        <v>3200</v>
      </c>
      <c r="B37" s="107" t="s">
        <v>3200</v>
      </c>
      <c r="C37" s="31">
        <v>3</v>
      </c>
    </row>
    <row r="38" spans="1:3" ht="15">
      <c r="A38" s="107" t="s">
        <v>3201</v>
      </c>
      <c r="B38" s="107" t="s">
        <v>3201</v>
      </c>
      <c r="C38" s="31">
        <v>3</v>
      </c>
    </row>
    <row r="39" spans="1:3" ht="15">
      <c r="A39" s="107" t="s">
        <v>3202</v>
      </c>
      <c r="B39" s="107" t="s">
        <v>3202</v>
      </c>
      <c r="C39" s="31">
        <v>5</v>
      </c>
    </row>
    <row r="40" spans="1:3" ht="15">
      <c r="A40" s="107" t="s">
        <v>3203</v>
      </c>
      <c r="B40" s="107" t="s">
        <v>3203</v>
      </c>
      <c r="C40" s="31">
        <v>4</v>
      </c>
    </row>
    <row r="41" spans="1:3" ht="15">
      <c r="A41" s="107" t="s">
        <v>3204</v>
      </c>
      <c r="B41" s="107" t="s">
        <v>3204</v>
      </c>
      <c r="C41" s="31">
        <v>3</v>
      </c>
    </row>
    <row r="42" spans="1:3" ht="15">
      <c r="A42" s="107" t="s">
        <v>3205</v>
      </c>
      <c r="B42" s="107" t="s">
        <v>3205</v>
      </c>
      <c r="C42" s="31">
        <v>3</v>
      </c>
    </row>
    <row r="43" spans="1:3" ht="15">
      <c r="A43" s="107" t="s">
        <v>3206</v>
      </c>
      <c r="B43" s="107" t="s">
        <v>3206</v>
      </c>
      <c r="C43" s="31">
        <v>2</v>
      </c>
    </row>
    <row r="44" spans="1:3" ht="15">
      <c r="A44" s="107" t="s">
        <v>3207</v>
      </c>
      <c r="B44" s="107" t="s">
        <v>3207</v>
      </c>
      <c r="C44" s="31">
        <v>3</v>
      </c>
    </row>
    <row r="45" spans="1:3" ht="15">
      <c r="A45" s="107" t="s">
        <v>3208</v>
      </c>
      <c r="B45" s="107" t="s">
        <v>3208</v>
      </c>
      <c r="C45" s="31">
        <v>2</v>
      </c>
    </row>
    <row r="46" spans="1:3" ht="15">
      <c r="A46" s="107" t="s">
        <v>3209</v>
      </c>
      <c r="B46" s="107" t="s">
        <v>3209</v>
      </c>
      <c r="C46" s="31">
        <v>2</v>
      </c>
    </row>
    <row r="47" spans="1:3" ht="15">
      <c r="A47" s="107" t="s">
        <v>3210</v>
      </c>
      <c r="B47" s="107" t="s">
        <v>3210</v>
      </c>
      <c r="C47" s="31">
        <v>2</v>
      </c>
    </row>
    <row r="48" spans="1:3" ht="15">
      <c r="A48" s="107" t="s">
        <v>3211</v>
      </c>
      <c r="B48" s="107" t="s">
        <v>3211</v>
      </c>
      <c r="C48" s="31">
        <v>2</v>
      </c>
    </row>
    <row r="49" spans="1:3" ht="15">
      <c r="A49" s="107" t="s">
        <v>3212</v>
      </c>
      <c r="B49" s="107" t="s">
        <v>3212</v>
      </c>
      <c r="C49" s="31">
        <v>2</v>
      </c>
    </row>
    <row r="50" spans="1:3" ht="15">
      <c r="A50" s="107" t="s">
        <v>3213</v>
      </c>
      <c r="B50" s="107" t="s">
        <v>3213</v>
      </c>
      <c r="C50" s="31">
        <v>3</v>
      </c>
    </row>
    <row r="51" spans="1:3" ht="15">
      <c r="A51" s="107" t="s">
        <v>3214</v>
      </c>
      <c r="B51" s="107" t="s">
        <v>3214</v>
      </c>
      <c r="C51" s="31">
        <v>1</v>
      </c>
    </row>
    <row r="52" spans="1:3" ht="15">
      <c r="A52" s="107" t="s">
        <v>3215</v>
      </c>
      <c r="B52" s="107" t="s">
        <v>3215</v>
      </c>
      <c r="C52" s="31">
        <v>1</v>
      </c>
    </row>
    <row r="53" spans="1:3" ht="15">
      <c r="A53" s="107" t="s">
        <v>3216</v>
      </c>
      <c r="B53" s="107" t="s">
        <v>3216</v>
      </c>
      <c r="C53" s="31">
        <v>2</v>
      </c>
    </row>
    <row r="54" spans="1:3" ht="15">
      <c r="A54" s="107" t="s">
        <v>3217</v>
      </c>
      <c r="B54" s="107" t="s">
        <v>3217</v>
      </c>
      <c r="C54" s="31">
        <v>1</v>
      </c>
    </row>
    <row r="55" spans="1:3" ht="15">
      <c r="A55" s="107" t="s">
        <v>3218</v>
      </c>
      <c r="B55" s="107" t="s">
        <v>3218</v>
      </c>
      <c r="C55" s="31">
        <v>2</v>
      </c>
    </row>
    <row r="56" spans="1:3" ht="15">
      <c r="A56" s="107" t="s">
        <v>3219</v>
      </c>
      <c r="B56" s="107" t="s">
        <v>3219</v>
      </c>
      <c r="C56" s="31">
        <v>1</v>
      </c>
    </row>
    <row r="57" spans="1:3" ht="15">
      <c r="A57" s="107" t="s">
        <v>3220</v>
      </c>
      <c r="B57" s="107" t="s">
        <v>3220</v>
      </c>
      <c r="C57" s="31">
        <v>1</v>
      </c>
    </row>
    <row r="58" spans="1:3" ht="15">
      <c r="A58" s="107" t="s">
        <v>3221</v>
      </c>
      <c r="B58" s="107" t="s">
        <v>3221</v>
      </c>
      <c r="C58" s="31">
        <v>1</v>
      </c>
    </row>
    <row r="59" spans="1:3" ht="15">
      <c r="A59" s="107" t="s">
        <v>3222</v>
      </c>
      <c r="B59" s="107" t="s">
        <v>3222</v>
      </c>
      <c r="C59" s="31">
        <v>1</v>
      </c>
    </row>
    <row r="60" spans="1:3" ht="15">
      <c r="A60" s="107" t="s">
        <v>3223</v>
      </c>
      <c r="B60" s="107" t="s">
        <v>3223</v>
      </c>
      <c r="C60" s="31">
        <v>2</v>
      </c>
    </row>
    <row r="61" spans="1:3" ht="15">
      <c r="A61" s="107" t="s">
        <v>3224</v>
      </c>
      <c r="B61" s="107" t="s">
        <v>3224</v>
      </c>
      <c r="C61" s="31">
        <v>1</v>
      </c>
    </row>
    <row r="62" spans="1:3" ht="15">
      <c r="A62" s="107" t="s">
        <v>3225</v>
      </c>
      <c r="B62" s="107" t="s">
        <v>3225</v>
      </c>
      <c r="C62" s="31">
        <v>1</v>
      </c>
    </row>
    <row r="63" spans="1:3" ht="15">
      <c r="A63" s="107" t="s">
        <v>3226</v>
      </c>
      <c r="B63" s="107" t="s">
        <v>3226</v>
      </c>
      <c r="C63" s="31">
        <v>1</v>
      </c>
    </row>
    <row r="64" spans="1:3" ht="15">
      <c r="A64" s="107" t="s">
        <v>3227</v>
      </c>
      <c r="B64" s="107" t="s">
        <v>3227</v>
      </c>
      <c r="C64" s="31">
        <v>1</v>
      </c>
    </row>
    <row r="65" spans="1:3" ht="15">
      <c r="A65" s="107" t="s">
        <v>3228</v>
      </c>
      <c r="B65" s="107" t="s">
        <v>3228</v>
      </c>
      <c r="C65" s="31">
        <v>1</v>
      </c>
    </row>
    <row r="66" spans="1:3" ht="15">
      <c r="A66" s="107" t="s">
        <v>3229</v>
      </c>
      <c r="B66" s="107" t="s">
        <v>3229</v>
      </c>
      <c r="C66" s="31">
        <v>1</v>
      </c>
    </row>
    <row r="67" spans="1:3" ht="15">
      <c r="A67" s="107" t="s">
        <v>3230</v>
      </c>
      <c r="B67" s="107" t="s">
        <v>3230</v>
      </c>
      <c r="C67" s="31">
        <v>2</v>
      </c>
    </row>
    <row r="68" spans="1:3" ht="15">
      <c r="A68" s="107" t="s">
        <v>3231</v>
      </c>
      <c r="B68" s="107" t="s">
        <v>3231</v>
      </c>
      <c r="C68" s="31">
        <v>1</v>
      </c>
    </row>
    <row r="69" spans="1:3" ht="15">
      <c r="A69" s="107" t="s">
        <v>3232</v>
      </c>
      <c r="B69" s="107" t="s">
        <v>3232</v>
      </c>
      <c r="C69" s="31">
        <v>1</v>
      </c>
    </row>
    <row r="70" spans="1:3" ht="15">
      <c r="A70" s="107" t="s">
        <v>3233</v>
      </c>
      <c r="B70" s="107" t="s">
        <v>3233</v>
      </c>
      <c r="C70" s="31">
        <v>1</v>
      </c>
    </row>
    <row r="71" spans="1:3" ht="15">
      <c r="A71" s="107" t="s">
        <v>3234</v>
      </c>
      <c r="B71" s="107" t="s">
        <v>3234</v>
      </c>
      <c r="C71" s="31">
        <v>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44780-1342-4D79-99B4-AF1B7D5AAC0F}">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3942</v>
      </c>
      <c r="B1" s="7" t="s">
        <v>17</v>
      </c>
    </row>
    <row r="2" spans="1:2" ht="15">
      <c r="A2" s="75" t="s">
        <v>3943</v>
      </c>
      <c r="B2" s="75" t="s">
        <v>3949</v>
      </c>
    </row>
    <row r="3" spans="1:2" ht="15">
      <c r="A3" s="76" t="s">
        <v>3944</v>
      </c>
      <c r="B3" s="75" t="s">
        <v>3950</v>
      </c>
    </row>
    <row r="4" spans="1:2" ht="15">
      <c r="A4" s="76" t="s">
        <v>3945</v>
      </c>
      <c r="B4" s="75" t="s">
        <v>3951</v>
      </c>
    </row>
    <row r="5" spans="1:2" ht="15">
      <c r="A5" s="76" t="s">
        <v>3946</v>
      </c>
      <c r="B5" s="75" t="s">
        <v>3952</v>
      </c>
    </row>
    <row r="6" spans="1:2" ht="15">
      <c r="A6" s="76" t="s">
        <v>3947</v>
      </c>
      <c r="B6" s="75" t="s">
        <v>3953</v>
      </c>
    </row>
    <row r="7" spans="1:2" ht="15">
      <c r="A7" s="76" t="s">
        <v>3948</v>
      </c>
      <c r="B7" s="75"/>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AE87F-1717-4486-930A-406DBC69C49A}">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7" t="s">
        <v>3954</v>
      </c>
      <c r="B1" s="7" t="s">
        <v>34</v>
      </c>
    </row>
    <row r="2" spans="1:2" ht="15">
      <c r="A2" s="101" t="s">
        <v>396</v>
      </c>
      <c r="B2" s="75">
        <v>4498.330159</v>
      </c>
    </row>
    <row r="3" spans="1:2" ht="15">
      <c r="A3" s="103" t="s">
        <v>428</v>
      </c>
      <c r="B3" s="75">
        <v>4098.44127</v>
      </c>
    </row>
    <row r="4" spans="1:2" ht="15">
      <c r="A4" s="103" t="s">
        <v>497</v>
      </c>
      <c r="B4" s="75">
        <v>4025.606349</v>
      </c>
    </row>
    <row r="5" spans="1:2" ht="15">
      <c r="A5" s="103" t="s">
        <v>447</v>
      </c>
      <c r="B5" s="75">
        <v>3210.673016</v>
      </c>
    </row>
    <row r="6" spans="1:2" ht="15">
      <c r="A6" s="103" t="s">
        <v>414</v>
      </c>
      <c r="B6" s="75">
        <v>2647</v>
      </c>
    </row>
    <row r="7" spans="1:2" ht="15">
      <c r="A7" s="103" t="s">
        <v>337</v>
      </c>
      <c r="B7" s="75">
        <v>2013.650794</v>
      </c>
    </row>
    <row r="8" spans="1:2" ht="15">
      <c r="A8" s="103" t="s">
        <v>262</v>
      </c>
      <c r="B8" s="75">
        <v>1949.266667</v>
      </c>
    </row>
    <row r="9" spans="1:2" ht="15">
      <c r="A9" s="103" t="s">
        <v>382</v>
      </c>
      <c r="B9" s="75">
        <v>1851.4</v>
      </c>
    </row>
    <row r="10" spans="1:2" ht="15">
      <c r="A10" s="103" t="s">
        <v>328</v>
      </c>
      <c r="B10" s="75">
        <v>1203.933333</v>
      </c>
    </row>
    <row r="11" spans="1:2" ht="15">
      <c r="A11" s="103" t="s">
        <v>496</v>
      </c>
      <c r="B11" s="75">
        <v>930.095238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5CDB1-CDD5-4811-BDC2-92C31A36243B}">
  <dimension ref="A1:BN3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217</v>
      </c>
      <c r="P2" s="7" t="s">
        <v>218</v>
      </c>
      <c r="Q2" s="7" t="s">
        <v>219</v>
      </c>
      <c r="R2" s="7" t="s">
        <v>220</v>
      </c>
      <c r="S2" s="7" t="s">
        <v>221</v>
      </c>
      <c r="T2" s="7" t="s">
        <v>222</v>
      </c>
      <c r="U2" s="7" t="s">
        <v>223</v>
      </c>
      <c r="V2" s="7" t="s">
        <v>224</v>
      </c>
      <c r="W2" s="7" t="s">
        <v>225</v>
      </c>
      <c r="X2" s="7" t="s">
        <v>226</v>
      </c>
      <c r="Y2" s="7" t="s">
        <v>227</v>
      </c>
      <c r="Z2" s="7" t="s">
        <v>228</v>
      </c>
      <c r="AA2" s="7" t="s">
        <v>229</v>
      </c>
      <c r="AB2" s="7" t="s">
        <v>230</v>
      </c>
      <c r="AC2" s="7" t="s">
        <v>231</v>
      </c>
      <c r="AD2" s="7" t="s">
        <v>232</v>
      </c>
      <c r="AE2" s="7" t="s">
        <v>233</v>
      </c>
      <c r="AF2" s="7" t="s">
        <v>234</v>
      </c>
      <c r="AG2" s="7" t="s">
        <v>235</v>
      </c>
      <c r="AH2" s="7" t="s">
        <v>236</v>
      </c>
      <c r="AI2" s="7" t="s">
        <v>237</v>
      </c>
      <c r="AJ2" s="7" t="s">
        <v>238</v>
      </c>
      <c r="AK2" s="7" t="s">
        <v>239</v>
      </c>
      <c r="AL2" s="7" t="s">
        <v>240</v>
      </c>
      <c r="AM2" s="7" t="s">
        <v>241</v>
      </c>
      <c r="AN2" s="7" t="s">
        <v>242</v>
      </c>
      <c r="AO2" s="7" t="s">
        <v>243</v>
      </c>
      <c r="AP2" s="7" t="s">
        <v>244</v>
      </c>
      <c r="AQ2" s="7" t="s">
        <v>245</v>
      </c>
      <c r="AR2" s="7" t="s">
        <v>246</v>
      </c>
      <c r="AS2" s="7" t="s">
        <v>247</v>
      </c>
      <c r="AT2" s="7" t="s">
        <v>248</v>
      </c>
      <c r="AU2" s="7" t="s">
        <v>249</v>
      </c>
      <c r="AV2" s="7" t="s">
        <v>250</v>
      </c>
      <c r="AW2" s="7" t="s">
        <v>251</v>
      </c>
      <c r="AX2" s="7" t="s">
        <v>252</v>
      </c>
      <c r="AY2" s="7" t="s">
        <v>253</v>
      </c>
      <c r="AZ2" s="7" t="s">
        <v>254</v>
      </c>
      <c r="BA2" s="7" t="s">
        <v>255</v>
      </c>
      <c r="BB2" s="7" t="s">
        <v>256</v>
      </c>
      <c r="BC2" t="s">
        <v>3175</v>
      </c>
      <c r="BD2" s="7" t="s">
        <v>3248</v>
      </c>
      <c r="BE2" s="7" t="s">
        <v>3249</v>
      </c>
      <c r="BF2" s="50" t="s">
        <v>3909</v>
      </c>
      <c r="BG2" s="50" t="s">
        <v>3910</v>
      </c>
      <c r="BH2" s="50" t="s">
        <v>3911</v>
      </c>
      <c r="BI2" s="50" t="s">
        <v>3912</v>
      </c>
      <c r="BJ2" s="50" t="s">
        <v>3913</v>
      </c>
      <c r="BK2" s="50" t="s">
        <v>3914</v>
      </c>
      <c r="BL2" s="50" t="s">
        <v>3915</v>
      </c>
      <c r="BM2" s="50" t="s">
        <v>3916</v>
      </c>
      <c r="BN2" s="50" t="s">
        <v>3917</v>
      </c>
    </row>
    <row r="3" spans="1:66" ht="15" customHeight="1">
      <c r="A3" s="61" t="s">
        <v>257</v>
      </c>
      <c r="B3" s="61" t="s">
        <v>460</v>
      </c>
      <c r="C3" s="62"/>
      <c r="D3" s="63"/>
      <c r="E3" s="64"/>
      <c r="F3" s="65"/>
      <c r="G3" s="62"/>
      <c r="H3" s="66"/>
      <c r="I3" s="67"/>
      <c r="J3" s="67"/>
      <c r="K3" s="31" t="s">
        <v>65</v>
      </c>
      <c r="L3" s="68">
        <v>3</v>
      </c>
      <c r="M3" s="68"/>
      <c r="N3" s="69"/>
      <c r="O3" s="75" t="s">
        <v>585</v>
      </c>
      <c r="P3" s="77">
        <v>44811.23148148148</v>
      </c>
      <c r="Q3" s="75" t="s">
        <v>589</v>
      </c>
      <c r="R3" s="75"/>
      <c r="S3" s="75"/>
      <c r="T3" s="80" t="s">
        <v>792</v>
      </c>
      <c r="U3" s="82" t="str">
        <f>HYPERLINK("https://pbs.twimg.com/media/Fb6ZZsqWYAUww3Q.jpg")</f>
        <v>https://pbs.twimg.com/media/Fb6ZZsqWYAUww3Q.jpg</v>
      </c>
      <c r="V3" s="82" t="str">
        <f>HYPERLINK("https://pbs.twimg.com/media/Fb6ZZsqWYAUww3Q.jpg")</f>
        <v>https://pbs.twimg.com/media/Fb6ZZsqWYAUww3Q.jpg</v>
      </c>
      <c r="W3" s="77">
        <v>44811.23148148148</v>
      </c>
      <c r="X3" s="83">
        <v>44811</v>
      </c>
      <c r="Y3" s="80" t="s">
        <v>895</v>
      </c>
      <c r="Z3" s="82" t="str">
        <f>HYPERLINK("https://twitter.com/croisefranco/status/1567385509206364161")</f>
        <v>https://twitter.com/croisefranco/status/1567385509206364161</v>
      </c>
      <c r="AA3" s="75"/>
      <c r="AB3" s="75"/>
      <c r="AC3" s="80" t="s">
        <v>1226</v>
      </c>
      <c r="AD3" s="75"/>
      <c r="AE3" s="75" t="b">
        <v>0</v>
      </c>
      <c r="AF3" s="75">
        <v>0</v>
      </c>
      <c r="AG3" s="80" t="s">
        <v>1674</v>
      </c>
      <c r="AH3" s="75" t="b">
        <v>0</v>
      </c>
      <c r="AI3" s="75" t="s">
        <v>1770</v>
      </c>
      <c r="AJ3" s="75"/>
      <c r="AK3" s="80" t="s">
        <v>1674</v>
      </c>
      <c r="AL3" s="75" t="b">
        <v>0</v>
      </c>
      <c r="AM3" s="75">
        <v>35</v>
      </c>
      <c r="AN3" s="80" t="s">
        <v>1303</v>
      </c>
      <c r="AO3" s="80" t="s">
        <v>1807</v>
      </c>
      <c r="AP3" s="75" t="b">
        <v>0</v>
      </c>
      <c r="AQ3" s="80" t="s">
        <v>1303</v>
      </c>
      <c r="AR3" s="75" t="s">
        <v>219</v>
      </c>
      <c r="AS3" s="75">
        <v>0</v>
      </c>
      <c r="AT3" s="75">
        <v>0</v>
      </c>
      <c r="AU3" s="75"/>
      <c r="AV3" s="75"/>
      <c r="AW3" s="75"/>
      <c r="AX3" s="75"/>
      <c r="AY3" s="75"/>
      <c r="AZ3" s="75"/>
      <c r="BA3" s="75"/>
      <c r="BB3" s="75"/>
      <c r="BC3">
        <v>1</v>
      </c>
      <c r="BD3" s="75" t="str">
        <f>REPLACE(INDEX(GroupVertices[Group],MATCH(Edges25[[#This Row],[Vertex 1]],GroupVertices[Vertex],0)),1,1,"")</f>
        <v>10</v>
      </c>
      <c r="BE3" s="75" t="str">
        <f>REPLACE(INDEX(GroupVertices[Group],MATCH(Edges25[[#This Row],[Vertex 2]],GroupVertices[Vertex],0)),1,1,"")</f>
        <v>10</v>
      </c>
      <c r="BF3" s="45"/>
      <c r="BG3" s="46"/>
      <c r="BH3" s="45"/>
      <c r="BI3" s="46"/>
      <c r="BJ3" s="45"/>
      <c r="BK3" s="46"/>
      <c r="BL3" s="45"/>
      <c r="BM3" s="46"/>
      <c r="BN3" s="45"/>
    </row>
    <row r="4" spans="1:66" ht="15" customHeight="1">
      <c r="A4" s="61" t="s">
        <v>258</v>
      </c>
      <c r="B4" s="61" t="s">
        <v>414</v>
      </c>
      <c r="C4" s="62"/>
      <c r="D4" s="63"/>
      <c r="E4" s="62"/>
      <c r="F4" s="65"/>
      <c r="G4" s="62"/>
      <c r="H4" s="66"/>
      <c r="I4" s="67"/>
      <c r="J4" s="67"/>
      <c r="K4" s="31" t="s">
        <v>65</v>
      </c>
      <c r="L4" s="68">
        <v>7</v>
      </c>
      <c r="M4" s="68"/>
      <c r="N4" s="69"/>
      <c r="O4" s="76" t="s">
        <v>586</v>
      </c>
      <c r="P4" s="78">
        <v>44811.29386574074</v>
      </c>
      <c r="Q4" s="76" t="s">
        <v>590</v>
      </c>
      <c r="R4" s="76"/>
      <c r="S4" s="76"/>
      <c r="T4" s="81" t="s">
        <v>793</v>
      </c>
      <c r="U4" s="79" t="str">
        <f>HYPERLINK("https://pbs.twimg.com/media/FcCNOtRX0AMZ0JE.jpg")</f>
        <v>https://pbs.twimg.com/media/FcCNOtRX0AMZ0JE.jpg</v>
      </c>
      <c r="V4" s="79" t="str">
        <f>HYPERLINK("https://pbs.twimg.com/media/FcCNOtRX0AMZ0JE.jpg")</f>
        <v>https://pbs.twimg.com/media/FcCNOtRX0AMZ0JE.jpg</v>
      </c>
      <c r="W4" s="78">
        <v>44811.29386574074</v>
      </c>
      <c r="X4" s="84">
        <v>44811</v>
      </c>
      <c r="Y4" s="81" t="s">
        <v>896</v>
      </c>
      <c r="Z4" s="79" t="str">
        <f>HYPERLINK("https://twitter.com/dinara59920357t/status/1567408117473808387")</f>
        <v>https://twitter.com/dinara59920357t/status/1567408117473808387</v>
      </c>
      <c r="AA4" s="76"/>
      <c r="AB4" s="76"/>
      <c r="AC4" s="81" t="s">
        <v>1227</v>
      </c>
      <c r="AD4" s="76"/>
      <c r="AE4" s="76" t="b">
        <v>0</v>
      </c>
      <c r="AF4" s="76">
        <v>0</v>
      </c>
      <c r="AG4" s="81" t="s">
        <v>1674</v>
      </c>
      <c r="AH4" s="76" t="b">
        <v>0</v>
      </c>
      <c r="AI4" s="76" t="s">
        <v>1771</v>
      </c>
      <c r="AJ4" s="76"/>
      <c r="AK4" s="81" t="s">
        <v>1674</v>
      </c>
      <c r="AL4" s="76" t="b">
        <v>0</v>
      </c>
      <c r="AM4" s="76">
        <v>3</v>
      </c>
      <c r="AN4" s="81" t="s">
        <v>1447</v>
      </c>
      <c r="AO4" s="81" t="s">
        <v>1807</v>
      </c>
      <c r="AP4" s="76" t="b">
        <v>0</v>
      </c>
      <c r="AQ4" s="81" t="s">
        <v>1447</v>
      </c>
      <c r="AR4" s="76" t="s">
        <v>219</v>
      </c>
      <c r="AS4" s="76">
        <v>0</v>
      </c>
      <c r="AT4" s="76">
        <v>0</v>
      </c>
      <c r="AU4" s="76"/>
      <c r="AV4" s="76"/>
      <c r="AW4" s="76"/>
      <c r="AX4" s="76"/>
      <c r="AY4" s="76"/>
      <c r="AZ4" s="76"/>
      <c r="BA4" s="76"/>
      <c r="BB4" s="76"/>
      <c r="BC4">
        <v>1</v>
      </c>
      <c r="BD4" s="75" t="str">
        <f>REPLACE(INDEX(GroupVertices[Group],MATCH(Edges25[[#This Row],[Vertex 1]],GroupVertices[Vertex],0)),1,1,"")</f>
        <v>3</v>
      </c>
      <c r="BE4" s="75" t="str">
        <f>REPLACE(INDEX(GroupVertices[Group],MATCH(Edges25[[#This Row],[Vertex 2]],GroupVertices[Vertex],0)),1,1,"")</f>
        <v>3</v>
      </c>
      <c r="BF4" s="45">
        <v>0</v>
      </c>
      <c r="BG4" s="46">
        <v>0</v>
      </c>
      <c r="BH4" s="45">
        <v>0</v>
      </c>
      <c r="BI4" s="46">
        <v>0</v>
      </c>
      <c r="BJ4" s="45">
        <v>0</v>
      </c>
      <c r="BK4" s="46">
        <v>0</v>
      </c>
      <c r="BL4" s="45">
        <v>12</v>
      </c>
      <c r="BM4" s="46">
        <v>100</v>
      </c>
      <c r="BN4" s="45">
        <v>12</v>
      </c>
    </row>
    <row r="5" spans="1:66" ht="15">
      <c r="A5" s="61" t="s">
        <v>259</v>
      </c>
      <c r="B5" s="61" t="s">
        <v>304</v>
      </c>
      <c r="C5" s="62"/>
      <c r="D5" s="63"/>
      <c r="E5" s="62"/>
      <c r="F5" s="65"/>
      <c r="G5" s="62"/>
      <c r="H5" s="66"/>
      <c r="I5" s="67"/>
      <c r="J5" s="67"/>
      <c r="K5" s="31" t="s">
        <v>65</v>
      </c>
      <c r="L5" s="68">
        <v>8</v>
      </c>
      <c r="M5" s="68"/>
      <c r="N5" s="69"/>
      <c r="O5" s="76" t="s">
        <v>587</v>
      </c>
      <c r="P5" s="78">
        <v>44811.38836805556</v>
      </c>
      <c r="Q5" s="76" t="s">
        <v>591</v>
      </c>
      <c r="R5" s="79" t="str">
        <f>HYPERLINK("https://twitter.com/i/status/1567414255762247682")</f>
        <v>https://twitter.com/i/status/1567414255762247682</v>
      </c>
      <c r="S5" s="76" t="s">
        <v>783</v>
      </c>
      <c r="T5" s="81" t="s">
        <v>794</v>
      </c>
      <c r="U5" s="76"/>
      <c r="V5" s="79" t="str">
        <f>HYPERLINK("https://abs.twimg.com/sticky/default_profile_images/default_profile_normal.png")</f>
        <v>https://abs.twimg.com/sticky/default_profile_images/default_profile_normal.png</v>
      </c>
      <c r="W5" s="78">
        <v>44811.38836805556</v>
      </c>
      <c r="X5" s="84">
        <v>44811</v>
      </c>
      <c r="Y5" s="81" t="s">
        <v>897</v>
      </c>
      <c r="Z5" s="79" t="str">
        <f>HYPERLINK("https://twitter.com/davidbu85029668/status/1567442362166824960")</f>
        <v>https://twitter.com/davidbu85029668/status/1567442362166824960</v>
      </c>
      <c r="AA5" s="76"/>
      <c r="AB5" s="76"/>
      <c r="AC5" s="81" t="s">
        <v>1228</v>
      </c>
      <c r="AD5" s="81" t="s">
        <v>1565</v>
      </c>
      <c r="AE5" s="76" t="b">
        <v>0</v>
      </c>
      <c r="AF5" s="76">
        <v>1</v>
      </c>
      <c r="AG5" s="81" t="s">
        <v>1675</v>
      </c>
      <c r="AH5" s="76" t="b">
        <v>1</v>
      </c>
      <c r="AI5" s="76" t="s">
        <v>1772</v>
      </c>
      <c r="AJ5" s="76"/>
      <c r="AK5" s="81" t="s">
        <v>1785</v>
      </c>
      <c r="AL5" s="76" t="b">
        <v>0</v>
      </c>
      <c r="AM5" s="76">
        <v>0</v>
      </c>
      <c r="AN5" s="81" t="s">
        <v>1674</v>
      </c>
      <c r="AO5" s="81" t="s">
        <v>1808</v>
      </c>
      <c r="AP5" s="76" t="b">
        <v>0</v>
      </c>
      <c r="AQ5" s="81" t="s">
        <v>1565</v>
      </c>
      <c r="AR5" s="76" t="s">
        <v>219</v>
      </c>
      <c r="AS5" s="76">
        <v>0</v>
      </c>
      <c r="AT5" s="76">
        <v>0</v>
      </c>
      <c r="AU5" s="76"/>
      <c r="AV5" s="76"/>
      <c r="AW5" s="76"/>
      <c r="AX5" s="76"/>
      <c r="AY5" s="76"/>
      <c r="AZ5" s="76"/>
      <c r="BA5" s="76"/>
      <c r="BB5" s="76"/>
      <c r="BC5">
        <v>1</v>
      </c>
      <c r="BD5" s="75" t="str">
        <f>REPLACE(INDEX(GroupVertices[Group],MATCH(Edges25[[#This Row],[Vertex 1]],GroupVertices[Vertex],0)),1,1,"")</f>
        <v>59</v>
      </c>
      <c r="BE5" s="75" t="str">
        <f>REPLACE(INDEX(GroupVertices[Group],MATCH(Edges25[[#This Row],[Vertex 2]],GroupVertices[Vertex],0)),1,1,"")</f>
        <v>59</v>
      </c>
      <c r="BF5" s="45">
        <v>1</v>
      </c>
      <c r="BG5" s="46">
        <v>4</v>
      </c>
      <c r="BH5" s="45">
        <v>1</v>
      </c>
      <c r="BI5" s="46">
        <v>4</v>
      </c>
      <c r="BJ5" s="45">
        <v>0</v>
      </c>
      <c r="BK5" s="46">
        <v>0</v>
      </c>
      <c r="BL5" s="45">
        <v>23</v>
      </c>
      <c r="BM5" s="46">
        <v>92</v>
      </c>
      <c r="BN5" s="45">
        <v>25</v>
      </c>
    </row>
    <row r="6" spans="1:66" ht="15">
      <c r="A6" s="61" t="s">
        <v>260</v>
      </c>
      <c r="B6" s="61" t="s">
        <v>432</v>
      </c>
      <c r="C6" s="62"/>
      <c r="D6" s="63"/>
      <c r="E6" s="62"/>
      <c r="F6" s="65"/>
      <c r="G6" s="62"/>
      <c r="H6" s="66"/>
      <c r="I6" s="67"/>
      <c r="J6" s="67"/>
      <c r="K6" s="31" t="s">
        <v>65</v>
      </c>
      <c r="L6" s="68">
        <v>9</v>
      </c>
      <c r="M6" s="68"/>
      <c r="N6" s="69"/>
      <c r="O6" s="76" t="s">
        <v>588</v>
      </c>
      <c r="P6" s="78">
        <v>44811.4846875</v>
      </c>
      <c r="Q6" s="76" t="s">
        <v>592</v>
      </c>
      <c r="R6" s="76"/>
      <c r="S6" s="76"/>
      <c r="T6" s="81" t="s">
        <v>795</v>
      </c>
      <c r="U6" s="76"/>
      <c r="V6" s="79" t="str">
        <f>HYPERLINK("https://pbs.twimg.com/profile_images/502141633870462976/P9rJm9Fl_normal.jpeg")</f>
        <v>https://pbs.twimg.com/profile_images/502141633870462976/P9rJm9Fl_normal.jpeg</v>
      </c>
      <c r="W6" s="78">
        <v>44811.4846875</v>
      </c>
      <c r="X6" s="84">
        <v>44811</v>
      </c>
      <c r="Y6" s="81" t="s">
        <v>898</v>
      </c>
      <c r="Z6" s="79" t="str">
        <f>HYPERLINK("https://twitter.com/zivkovasiljev/status/1567477268682838016")</f>
        <v>https://twitter.com/zivkovasiljev/status/1567477268682838016</v>
      </c>
      <c r="AA6" s="76"/>
      <c r="AB6" s="76"/>
      <c r="AC6" s="81" t="s">
        <v>1229</v>
      </c>
      <c r="AD6" s="81" t="s">
        <v>1566</v>
      </c>
      <c r="AE6" s="76" t="b">
        <v>0</v>
      </c>
      <c r="AF6" s="76">
        <v>1</v>
      </c>
      <c r="AG6" s="81" t="s">
        <v>1676</v>
      </c>
      <c r="AH6" s="76" t="b">
        <v>0</v>
      </c>
      <c r="AI6" s="76" t="s">
        <v>1772</v>
      </c>
      <c r="AJ6" s="76"/>
      <c r="AK6" s="81" t="s">
        <v>1674</v>
      </c>
      <c r="AL6" s="76" t="b">
        <v>0</v>
      </c>
      <c r="AM6" s="76">
        <v>0</v>
      </c>
      <c r="AN6" s="81" t="s">
        <v>1674</v>
      </c>
      <c r="AO6" s="81" t="s">
        <v>1809</v>
      </c>
      <c r="AP6" s="76" t="b">
        <v>0</v>
      </c>
      <c r="AQ6" s="81" t="s">
        <v>1566</v>
      </c>
      <c r="AR6" s="76" t="s">
        <v>219</v>
      </c>
      <c r="AS6" s="76">
        <v>0</v>
      </c>
      <c r="AT6" s="76">
        <v>0</v>
      </c>
      <c r="AU6" s="76"/>
      <c r="AV6" s="76"/>
      <c r="AW6" s="76"/>
      <c r="AX6" s="76"/>
      <c r="AY6" s="76"/>
      <c r="AZ6" s="76"/>
      <c r="BA6" s="76"/>
      <c r="BB6" s="76"/>
      <c r="BC6">
        <v>1</v>
      </c>
      <c r="BD6" s="75" t="str">
        <f>REPLACE(INDEX(GroupVertices[Group],MATCH(Edges25[[#This Row],[Vertex 1]],GroupVertices[Vertex],0)),1,1,"")</f>
        <v>30</v>
      </c>
      <c r="BE6" s="75" t="str">
        <f>REPLACE(INDEX(GroupVertices[Group],MATCH(Edges25[[#This Row],[Vertex 2]],GroupVertices[Vertex],0)),1,1,"")</f>
        <v>30</v>
      </c>
      <c r="BF6" s="45"/>
      <c r="BG6" s="46"/>
      <c r="BH6" s="45"/>
      <c r="BI6" s="46"/>
      <c r="BJ6" s="45"/>
      <c r="BK6" s="46"/>
      <c r="BL6" s="45"/>
      <c r="BM6" s="46"/>
      <c r="BN6" s="45"/>
    </row>
    <row r="7" spans="1:66" ht="15">
      <c r="A7" s="61" t="s">
        <v>261</v>
      </c>
      <c r="B7" s="61" t="s">
        <v>435</v>
      </c>
      <c r="C7" s="62"/>
      <c r="D7" s="63"/>
      <c r="E7" s="62"/>
      <c r="F7" s="65"/>
      <c r="G7" s="62"/>
      <c r="H7" s="66"/>
      <c r="I7" s="67"/>
      <c r="J7" s="67"/>
      <c r="K7" s="31" t="s">
        <v>65</v>
      </c>
      <c r="L7" s="68">
        <v>12</v>
      </c>
      <c r="M7" s="68"/>
      <c r="N7" s="69"/>
      <c r="O7" s="76" t="s">
        <v>587</v>
      </c>
      <c r="P7" s="78">
        <v>44811.53053240741</v>
      </c>
      <c r="Q7" s="76" t="s">
        <v>593</v>
      </c>
      <c r="R7" s="76"/>
      <c r="S7" s="76"/>
      <c r="T7" s="81" t="s">
        <v>795</v>
      </c>
      <c r="U7" s="79" t="str">
        <f>HYPERLINK("https://pbs.twimg.com/tweet_video_thumb/FcDbXzfXoAEgGup.jpg")</f>
        <v>https://pbs.twimg.com/tweet_video_thumb/FcDbXzfXoAEgGup.jpg</v>
      </c>
      <c r="V7" s="79" t="str">
        <f>HYPERLINK("https://pbs.twimg.com/tweet_video_thumb/FcDbXzfXoAEgGup.jpg")</f>
        <v>https://pbs.twimg.com/tweet_video_thumb/FcDbXzfXoAEgGup.jpg</v>
      </c>
      <c r="W7" s="78">
        <v>44811.53053240741</v>
      </c>
      <c r="X7" s="84">
        <v>44811</v>
      </c>
      <c r="Y7" s="81" t="s">
        <v>899</v>
      </c>
      <c r="Z7" s="79" t="str">
        <f>HYPERLINK("https://twitter.com/jokerdepressif/status/1567493879758209026")</f>
        <v>https://twitter.com/jokerdepressif/status/1567493879758209026</v>
      </c>
      <c r="AA7" s="76"/>
      <c r="AB7" s="76"/>
      <c r="AC7" s="81" t="s">
        <v>1230</v>
      </c>
      <c r="AD7" s="81" t="s">
        <v>1567</v>
      </c>
      <c r="AE7" s="76" t="b">
        <v>0</v>
      </c>
      <c r="AF7" s="76">
        <v>0</v>
      </c>
      <c r="AG7" s="81" t="s">
        <v>1677</v>
      </c>
      <c r="AH7" s="76" t="b">
        <v>0</v>
      </c>
      <c r="AI7" s="76" t="s">
        <v>1770</v>
      </c>
      <c r="AJ7" s="76"/>
      <c r="AK7" s="81" t="s">
        <v>1674</v>
      </c>
      <c r="AL7" s="76" t="b">
        <v>0</v>
      </c>
      <c r="AM7" s="76">
        <v>0</v>
      </c>
      <c r="AN7" s="81" t="s">
        <v>1674</v>
      </c>
      <c r="AO7" s="81" t="s">
        <v>1807</v>
      </c>
      <c r="AP7" s="76" t="b">
        <v>0</v>
      </c>
      <c r="AQ7" s="81" t="s">
        <v>1567</v>
      </c>
      <c r="AR7" s="76" t="s">
        <v>219</v>
      </c>
      <c r="AS7" s="76">
        <v>0</v>
      </c>
      <c r="AT7" s="76">
        <v>0</v>
      </c>
      <c r="AU7" s="76"/>
      <c r="AV7" s="76"/>
      <c r="AW7" s="76"/>
      <c r="AX7" s="76"/>
      <c r="AY7" s="76"/>
      <c r="AZ7" s="76"/>
      <c r="BA7" s="76"/>
      <c r="BB7" s="76"/>
      <c r="BC7">
        <v>1</v>
      </c>
      <c r="BD7" s="75" t="str">
        <f>REPLACE(INDEX(GroupVertices[Group],MATCH(Edges25[[#This Row],[Vertex 1]],GroupVertices[Vertex],0)),1,1,"")</f>
        <v>58</v>
      </c>
      <c r="BE7" s="75" t="str">
        <f>REPLACE(INDEX(GroupVertices[Group],MATCH(Edges25[[#This Row],[Vertex 2]],GroupVertices[Vertex],0)),1,1,"")</f>
        <v>58</v>
      </c>
      <c r="BF7" s="45">
        <v>0</v>
      </c>
      <c r="BG7" s="46">
        <v>0</v>
      </c>
      <c r="BH7" s="45">
        <v>0</v>
      </c>
      <c r="BI7" s="46">
        <v>0</v>
      </c>
      <c r="BJ7" s="45">
        <v>0</v>
      </c>
      <c r="BK7" s="46">
        <v>0</v>
      </c>
      <c r="BL7" s="45">
        <v>39</v>
      </c>
      <c r="BM7" s="46">
        <v>100</v>
      </c>
      <c r="BN7" s="45">
        <v>39</v>
      </c>
    </row>
    <row r="8" spans="1:66" ht="15">
      <c r="A8" s="61" t="s">
        <v>262</v>
      </c>
      <c r="B8" s="61" t="s">
        <v>436</v>
      </c>
      <c r="C8" s="62"/>
      <c r="D8" s="63"/>
      <c r="E8" s="62"/>
      <c r="F8" s="65"/>
      <c r="G8" s="62"/>
      <c r="H8" s="66"/>
      <c r="I8" s="67"/>
      <c r="J8" s="67"/>
      <c r="K8" s="31" t="s">
        <v>65</v>
      </c>
      <c r="L8" s="68">
        <v>13</v>
      </c>
      <c r="M8" s="68"/>
      <c r="N8" s="69"/>
      <c r="O8" s="76" t="s">
        <v>588</v>
      </c>
      <c r="P8" s="78">
        <v>44811.71753472222</v>
      </c>
      <c r="Q8" s="76" t="s">
        <v>594</v>
      </c>
      <c r="R8" s="76"/>
      <c r="S8" s="76"/>
      <c r="T8" s="81" t="s">
        <v>795</v>
      </c>
      <c r="U8" s="76"/>
      <c r="V8" s="79" t="str">
        <f>HYPERLINK("https://pbs.twimg.com/profile_images/1563246885241909248/k2EvfvnG_normal.jpg")</f>
        <v>https://pbs.twimg.com/profile_images/1563246885241909248/k2EvfvnG_normal.jpg</v>
      </c>
      <c r="W8" s="78">
        <v>44811.71753472222</v>
      </c>
      <c r="X8" s="84">
        <v>44811</v>
      </c>
      <c r="Y8" s="81" t="s">
        <v>900</v>
      </c>
      <c r="Z8" s="79" t="str">
        <f>HYPERLINK("https://twitter.com/settequaranta/status/1567561650156310531")</f>
        <v>https://twitter.com/settequaranta/status/1567561650156310531</v>
      </c>
      <c r="AA8" s="76"/>
      <c r="AB8" s="76"/>
      <c r="AC8" s="81" t="s">
        <v>1231</v>
      </c>
      <c r="AD8" s="81" t="s">
        <v>1568</v>
      </c>
      <c r="AE8" s="76" t="b">
        <v>0</v>
      </c>
      <c r="AF8" s="76">
        <v>0</v>
      </c>
      <c r="AG8" s="81" t="s">
        <v>1678</v>
      </c>
      <c r="AH8" s="76" t="b">
        <v>0</v>
      </c>
      <c r="AI8" s="76" t="s">
        <v>1772</v>
      </c>
      <c r="AJ8" s="76"/>
      <c r="AK8" s="81" t="s">
        <v>1674</v>
      </c>
      <c r="AL8" s="76" t="b">
        <v>0</v>
      </c>
      <c r="AM8" s="76">
        <v>0</v>
      </c>
      <c r="AN8" s="81" t="s">
        <v>1674</v>
      </c>
      <c r="AO8" s="81" t="s">
        <v>1809</v>
      </c>
      <c r="AP8" s="76" t="b">
        <v>0</v>
      </c>
      <c r="AQ8" s="81" t="s">
        <v>1568</v>
      </c>
      <c r="AR8" s="76" t="s">
        <v>219</v>
      </c>
      <c r="AS8" s="76">
        <v>0</v>
      </c>
      <c r="AT8" s="76">
        <v>0</v>
      </c>
      <c r="AU8" s="76"/>
      <c r="AV8" s="76"/>
      <c r="AW8" s="76"/>
      <c r="AX8" s="76"/>
      <c r="AY8" s="76"/>
      <c r="AZ8" s="76"/>
      <c r="BA8" s="76"/>
      <c r="BB8" s="76"/>
      <c r="BC8">
        <v>1</v>
      </c>
      <c r="BD8" s="75" t="str">
        <f>REPLACE(INDEX(GroupVertices[Group],MATCH(Edges25[[#This Row],[Vertex 1]],GroupVertices[Vertex],0)),1,1,"")</f>
        <v>6</v>
      </c>
      <c r="BE8" s="75" t="str">
        <f>REPLACE(INDEX(GroupVertices[Group],MATCH(Edges25[[#This Row],[Vertex 2]],GroupVertices[Vertex],0)),1,1,"")</f>
        <v>6</v>
      </c>
      <c r="BF8" s="45"/>
      <c r="BG8" s="46"/>
      <c r="BH8" s="45"/>
      <c r="BI8" s="46"/>
      <c r="BJ8" s="45"/>
      <c r="BK8" s="46"/>
      <c r="BL8" s="45"/>
      <c r="BM8" s="46"/>
      <c r="BN8" s="45"/>
    </row>
    <row r="9" spans="1:66" ht="15">
      <c r="A9" s="61" t="s">
        <v>263</v>
      </c>
      <c r="B9" s="61" t="s">
        <v>448</v>
      </c>
      <c r="C9" s="62"/>
      <c r="D9" s="63"/>
      <c r="E9" s="62"/>
      <c r="F9" s="65"/>
      <c r="G9" s="62"/>
      <c r="H9" s="66"/>
      <c r="I9" s="67"/>
      <c r="J9" s="67"/>
      <c r="K9" s="31" t="s">
        <v>65</v>
      </c>
      <c r="L9" s="68">
        <v>25</v>
      </c>
      <c r="M9" s="68"/>
      <c r="N9" s="69"/>
      <c r="O9" s="76" t="s">
        <v>588</v>
      </c>
      <c r="P9" s="78">
        <v>44811.23488425926</v>
      </c>
      <c r="Q9" s="76" t="s">
        <v>595</v>
      </c>
      <c r="R9" s="76"/>
      <c r="S9" s="76"/>
      <c r="T9" s="81" t="s">
        <v>796</v>
      </c>
      <c r="U9" s="79" t="str">
        <f>HYPERLINK("https://pbs.twimg.com/tweet_video_thumb/FcB57h5aQAA0P_s.jpg")</f>
        <v>https://pbs.twimg.com/tweet_video_thumb/FcB57h5aQAA0P_s.jpg</v>
      </c>
      <c r="V9" s="79" t="str">
        <f>HYPERLINK("https://pbs.twimg.com/tweet_video_thumb/FcB57h5aQAA0P_s.jpg")</f>
        <v>https://pbs.twimg.com/tweet_video_thumb/FcB57h5aQAA0P_s.jpg</v>
      </c>
      <c r="W9" s="78">
        <v>44811.23488425926</v>
      </c>
      <c r="X9" s="84">
        <v>44811</v>
      </c>
      <c r="Y9" s="81" t="s">
        <v>901</v>
      </c>
      <c r="Z9" s="79" t="str">
        <f>HYPERLINK("https://twitter.com/oliverswift65/status/1567386742361300993")</f>
        <v>https://twitter.com/oliverswift65/status/1567386742361300993</v>
      </c>
      <c r="AA9" s="76"/>
      <c r="AB9" s="76"/>
      <c r="AC9" s="81" t="s">
        <v>1232</v>
      </c>
      <c r="AD9" s="81" t="s">
        <v>1569</v>
      </c>
      <c r="AE9" s="76" t="b">
        <v>0</v>
      </c>
      <c r="AF9" s="76">
        <v>0</v>
      </c>
      <c r="AG9" s="81" t="s">
        <v>1679</v>
      </c>
      <c r="AH9" s="76" t="b">
        <v>0</v>
      </c>
      <c r="AI9" s="76" t="s">
        <v>1770</v>
      </c>
      <c r="AJ9" s="76"/>
      <c r="AK9" s="81" t="s">
        <v>1674</v>
      </c>
      <c r="AL9" s="76" t="b">
        <v>0</v>
      </c>
      <c r="AM9" s="76">
        <v>0</v>
      </c>
      <c r="AN9" s="81" t="s">
        <v>1674</v>
      </c>
      <c r="AO9" s="81" t="s">
        <v>1807</v>
      </c>
      <c r="AP9" s="76" t="b">
        <v>0</v>
      </c>
      <c r="AQ9" s="81" t="s">
        <v>1569</v>
      </c>
      <c r="AR9" s="76" t="s">
        <v>219</v>
      </c>
      <c r="AS9" s="76">
        <v>0</v>
      </c>
      <c r="AT9" s="76">
        <v>0</v>
      </c>
      <c r="AU9" s="76"/>
      <c r="AV9" s="76"/>
      <c r="AW9" s="76"/>
      <c r="AX9" s="76"/>
      <c r="AY9" s="76"/>
      <c r="AZ9" s="76"/>
      <c r="BA9" s="76"/>
      <c r="BB9" s="76"/>
      <c r="BC9">
        <v>1</v>
      </c>
      <c r="BD9" s="75" t="str">
        <f>REPLACE(INDEX(GroupVertices[Group],MATCH(Edges25[[#This Row],[Vertex 1]],GroupVertices[Vertex],0)),1,1,"")</f>
        <v>8</v>
      </c>
      <c r="BE9" s="75" t="str">
        <f>REPLACE(INDEX(GroupVertices[Group],MATCH(Edges25[[#This Row],[Vertex 2]],GroupVertices[Vertex],0)),1,1,"")</f>
        <v>8</v>
      </c>
      <c r="BF9" s="45"/>
      <c r="BG9" s="46"/>
      <c r="BH9" s="45"/>
      <c r="BI9" s="46"/>
      <c r="BJ9" s="45"/>
      <c r="BK9" s="46"/>
      <c r="BL9" s="45"/>
      <c r="BM9" s="46"/>
      <c r="BN9" s="45"/>
    </row>
    <row r="10" spans="1:66" ht="15">
      <c r="A10" s="61" t="s">
        <v>263</v>
      </c>
      <c r="B10" s="61" t="s">
        <v>449</v>
      </c>
      <c r="C10" s="62"/>
      <c r="D10" s="63"/>
      <c r="E10" s="62"/>
      <c r="F10" s="65"/>
      <c r="G10" s="62"/>
      <c r="H10" s="66"/>
      <c r="I10" s="67"/>
      <c r="J10" s="67"/>
      <c r="K10" s="31" t="s">
        <v>65</v>
      </c>
      <c r="L10" s="68">
        <v>26</v>
      </c>
      <c r="M10" s="68"/>
      <c r="N10" s="69"/>
      <c r="O10" s="76" t="s">
        <v>588</v>
      </c>
      <c r="P10" s="78">
        <v>44811.23630787037</v>
      </c>
      <c r="Q10" s="76" t="s">
        <v>596</v>
      </c>
      <c r="R10" s="76"/>
      <c r="S10" s="76"/>
      <c r="T10" s="81" t="s">
        <v>796</v>
      </c>
      <c r="U10" s="79" t="str">
        <f>HYPERLINK("https://pbs.twimg.com/media/FcB6ZtZaAAcpaLB.jpg")</f>
        <v>https://pbs.twimg.com/media/FcB6ZtZaAAcpaLB.jpg</v>
      </c>
      <c r="V10" s="79" t="str">
        <f>HYPERLINK("https://pbs.twimg.com/media/FcB6ZtZaAAcpaLB.jpg")</f>
        <v>https://pbs.twimg.com/media/FcB6ZtZaAAcpaLB.jpg</v>
      </c>
      <c r="W10" s="78">
        <v>44811.23630787037</v>
      </c>
      <c r="X10" s="84">
        <v>44811</v>
      </c>
      <c r="Y10" s="81" t="s">
        <v>902</v>
      </c>
      <c r="Z10" s="79" t="str">
        <f>HYPERLINK("https://twitter.com/oliverswift65/status/1567387257774178304")</f>
        <v>https://twitter.com/oliverswift65/status/1567387257774178304</v>
      </c>
      <c r="AA10" s="76"/>
      <c r="AB10" s="76"/>
      <c r="AC10" s="81" t="s">
        <v>1233</v>
      </c>
      <c r="AD10" s="81" t="s">
        <v>1570</v>
      </c>
      <c r="AE10" s="76" t="b">
        <v>0</v>
      </c>
      <c r="AF10" s="76">
        <v>0</v>
      </c>
      <c r="AG10" s="81" t="s">
        <v>1679</v>
      </c>
      <c r="AH10" s="76" t="b">
        <v>0</v>
      </c>
      <c r="AI10" s="76" t="s">
        <v>1770</v>
      </c>
      <c r="AJ10" s="76"/>
      <c r="AK10" s="81" t="s">
        <v>1674</v>
      </c>
      <c r="AL10" s="76" t="b">
        <v>0</v>
      </c>
      <c r="AM10" s="76">
        <v>0</v>
      </c>
      <c r="AN10" s="81" t="s">
        <v>1674</v>
      </c>
      <c r="AO10" s="81" t="s">
        <v>1807</v>
      </c>
      <c r="AP10" s="76" t="b">
        <v>0</v>
      </c>
      <c r="AQ10" s="81" t="s">
        <v>1570</v>
      </c>
      <c r="AR10" s="76" t="s">
        <v>219</v>
      </c>
      <c r="AS10" s="76">
        <v>0</v>
      </c>
      <c r="AT10" s="76">
        <v>0</v>
      </c>
      <c r="AU10" s="76"/>
      <c r="AV10" s="76"/>
      <c r="AW10" s="76"/>
      <c r="AX10" s="76"/>
      <c r="AY10" s="76"/>
      <c r="AZ10" s="76"/>
      <c r="BA10" s="76"/>
      <c r="BB10" s="76"/>
      <c r="BC10">
        <v>1</v>
      </c>
      <c r="BD10" s="75" t="str">
        <f>REPLACE(INDEX(GroupVertices[Group],MATCH(Edges25[[#This Row],[Vertex 1]],GroupVertices[Vertex],0)),1,1,"")</f>
        <v>8</v>
      </c>
      <c r="BE10" s="75" t="str">
        <f>REPLACE(INDEX(GroupVertices[Group],MATCH(Edges25[[#This Row],[Vertex 2]],GroupVertices[Vertex],0)),1,1,"")</f>
        <v>8</v>
      </c>
      <c r="BF10" s="45"/>
      <c r="BG10" s="46"/>
      <c r="BH10" s="45"/>
      <c r="BI10" s="46"/>
      <c r="BJ10" s="45"/>
      <c r="BK10" s="46"/>
      <c r="BL10" s="45"/>
      <c r="BM10" s="46"/>
      <c r="BN10" s="45"/>
    </row>
    <row r="11" spans="1:66" ht="15">
      <c r="A11" s="61" t="s">
        <v>263</v>
      </c>
      <c r="B11" s="61" t="s">
        <v>455</v>
      </c>
      <c r="C11" s="62"/>
      <c r="D11" s="63"/>
      <c r="E11" s="62"/>
      <c r="F11" s="65"/>
      <c r="G11" s="62"/>
      <c r="H11" s="66"/>
      <c r="I11" s="67"/>
      <c r="J11" s="67"/>
      <c r="K11" s="31" t="s">
        <v>65</v>
      </c>
      <c r="L11" s="68">
        <v>33</v>
      </c>
      <c r="M11" s="68"/>
      <c r="N11" s="69"/>
      <c r="O11" s="76" t="s">
        <v>588</v>
      </c>
      <c r="P11" s="78">
        <v>44811.60574074074</v>
      </c>
      <c r="Q11" s="76" t="s">
        <v>597</v>
      </c>
      <c r="R11" s="76"/>
      <c r="S11" s="76"/>
      <c r="T11" s="81" t="s">
        <v>797</v>
      </c>
      <c r="U11" s="79" t="str">
        <f>HYPERLINK("https://pbs.twimg.com/media/FcD0Kg2aMAMuZcv.jpg")</f>
        <v>https://pbs.twimg.com/media/FcD0Kg2aMAMuZcv.jpg</v>
      </c>
      <c r="V11" s="79" t="str">
        <f>HYPERLINK("https://pbs.twimg.com/media/FcD0Kg2aMAMuZcv.jpg")</f>
        <v>https://pbs.twimg.com/media/FcD0Kg2aMAMuZcv.jpg</v>
      </c>
      <c r="W11" s="78">
        <v>44811.60574074074</v>
      </c>
      <c r="X11" s="84">
        <v>44811</v>
      </c>
      <c r="Y11" s="81" t="s">
        <v>903</v>
      </c>
      <c r="Z11" s="79" t="str">
        <f>HYPERLINK("https://twitter.com/oliverswift65/status/1567521134756909057")</f>
        <v>https://twitter.com/oliverswift65/status/1567521134756909057</v>
      </c>
      <c r="AA11" s="76"/>
      <c r="AB11" s="76"/>
      <c r="AC11" s="81" t="s">
        <v>1234</v>
      </c>
      <c r="AD11" s="81" t="s">
        <v>1571</v>
      </c>
      <c r="AE11" s="76" t="b">
        <v>0</v>
      </c>
      <c r="AF11" s="76">
        <v>2</v>
      </c>
      <c r="AG11" s="81" t="s">
        <v>1680</v>
      </c>
      <c r="AH11" s="76" t="b">
        <v>0</v>
      </c>
      <c r="AI11" s="76" t="s">
        <v>1770</v>
      </c>
      <c r="AJ11" s="76"/>
      <c r="AK11" s="81" t="s">
        <v>1674</v>
      </c>
      <c r="AL11" s="76" t="b">
        <v>0</v>
      </c>
      <c r="AM11" s="76">
        <v>0</v>
      </c>
      <c r="AN11" s="81" t="s">
        <v>1674</v>
      </c>
      <c r="AO11" s="81" t="s">
        <v>1807</v>
      </c>
      <c r="AP11" s="76" t="b">
        <v>0</v>
      </c>
      <c r="AQ11" s="81" t="s">
        <v>1571</v>
      </c>
      <c r="AR11" s="76" t="s">
        <v>219</v>
      </c>
      <c r="AS11" s="76">
        <v>0</v>
      </c>
      <c r="AT11" s="76">
        <v>0</v>
      </c>
      <c r="AU11" s="76"/>
      <c r="AV11" s="76"/>
      <c r="AW11" s="76"/>
      <c r="AX11" s="76"/>
      <c r="AY11" s="76"/>
      <c r="AZ11" s="76"/>
      <c r="BA11" s="76"/>
      <c r="BB11" s="76"/>
      <c r="BC11">
        <v>1</v>
      </c>
      <c r="BD11" s="75" t="str">
        <f>REPLACE(INDEX(GroupVertices[Group],MATCH(Edges25[[#This Row],[Vertex 1]],GroupVertices[Vertex],0)),1,1,"")</f>
        <v>8</v>
      </c>
      <c r="BE11" s="75" t="str">
        <f>REPLACE(INDEX(GroupVertices[Group],MATCH(Edges25[[#This Row],[Vertex 2]],GroupVertices[Vertex],0)),1,1,"")</f>
        <v>8</v>
      </c>
      <c r="BF11" s="45"/>
      <c r="BG11" s="46"/>
      <c r="BH11" s="45"/>
      <c r="BI11" s="46"/>
      <c r="BJ11" s="45"/>
      <c r="BK11" s="46"/>
      <c r="BL11" s="45"/>
      <c r="BM11" s="46"/>
      <c r="BN11" s="45"/>
    </row>
    <row r="12" spans="1:66" ht="15">
      <c r="A12" s="61" t="s">
        <v>263</v>
      </c>
      <c r="B12" s="61" t="s">
        <v>263</v>
      </c>
      <c r="C12" s="62"/>
      <c r="D12" s="63"/>
      <c r="E12" s="62"/>
      <c r="F12" s="65"/>
      <c r="G12" s="62"/>
      <c r="H12" s="66"/>
      <c r="I12" s="67"/>
      <c r="J12" s="67"/>
      <c r="K12" s="31" t="s">
        <v>65</v>
      </c>
      <c r="L12" s="68">
        <v>35</v>
      </c>
      <c r="M12" s="68"/>
      <c r="N12" s="69"/>
      <c r="O12" s="76" t="s">
        <v>219</v>
      </c>
      <c r="P12" s="78">
        <v>44812.20361111111</v>
      </c>
      <c r="Q12" s="76" t="s">
        <v>598</v>
      </c>
      <c r="R12" s="76"/>
      <c r="S12" s="76"/>
      <c r="T12" s="81" t="s">
        <v>798</v>
      </c>
      <c r="U12" s="79" t="str">
        <f>HYPERLINK("https://pbs.twimg.com/ext_tw_video_thumb/1567737728930054144/pu/img/011G4iqUc02yblHK.jpg")</f>
        <v>https://pbs.twimg.com/ext_tw_video_thumb/1567737728930054144/pu/img/011G4iqUc02yblHK.jpg</v>
      </c>
      <c r="V12" s="79" t="str">
        <f>HYPERLINK("https://pbs.twimg.com/ext_tw_video_thumb/1567737728930054144/pu/img/011G4iqUc02yblHK.jpg")</f>
        <v>https://pbs.twimg.com/ext_tw_video_thumb/1567737728930054144/pu/img/011G4iqUc02yblHK.jpg</v>
      </c>
      <c r="W12" s="78">
        <v>44812.20361111111</v>
      </c>
      <c r="X12" s="84">
        <v>44812</v>
      </c>
      <c r="Y12" s="81" t="s">
        <v>904</v>
      </c>
      <c r="Z12" s="79" t="str">
        <f>HYPERLINK("https://twitter.com/oliverswift65/status/1567737795397156864")</f>
        <v>https://twitter.com/oliverswift65/status/1567737795397156864</v>
      </c>
      <c r="AA12" s="76"/>
      <c r="AB12" s="76"/>
      <c r="AC12" s="81" t="s">
        <v>1235</v>
      </c>
      <c r="AD12" s="76"/>
      <c r="AE12" s="76" t="b">
        <v>0</v>
      </c>
      <c r="AF12" s="76">
        <v>0</v>
      </c>
      <c r="AG12" s="81" t="s">
        <v>1674</v>
      </c>
      <c r="AH12" s="76" t="b">
        <v>0</v>
      </c>
      <c r="AI12" s="76" t="s">
        <v>1770</v>
      </c>
      <c r="AJ12" s="76"/>
      <c r="AK12" s="81" t="s">
        <v>1674</v>
      </c>
      <c r="AL12" s="76" t="b">
        <v>0</v>
      </c>
      <c r="AM12" s="76">
        <v>0</v>
      </c>
      <c r="AN12" s="81" t="s">
        <v>1674</v>
      </c>
      <c r="AO12" s="81" t="s">
        <v>1807</v>
      </c>
      <c r="AP12" s="76" t="b">
        <v>0</v>
      </c>
      <c r="AQ12" s="81" t="s">
        <v>1235</v>
      </c>
      <c r="AR12" s="76" t="s">
        <v>219</v>
      </c>
      <c r="AS12" s="76">
        <v>0</v>
      </c>
      <c r="AT12" s="76">
        <v>0</v>
      </c>
      <c r="AU12" s="76"/>
      <c r="AV12" s="76"/>
      <c r="AW12" s="76"/>
      <c r="AX12" s="76"/>
      <c r="AY12" s="76"/>
      <c r="AZ12" s="76"/>
      <c r="BA12" s="76"/>
      <c r="BB12" s="76"/>
      <c r="BC12">
        <v>2</v>
      </c>
      <c r="BD12" s="75" t="str">
        <f>REPLACE(INDEX(GroupVertices[Group],MATCH(Edges25[[#This Row],[Vertex 1]],GroupVertices[Vertex],0)),1,1,"")</f>
        <v>8</v>
      </c>
      <c r="BE12" s="75" t="str">
        <f>REPLACE(INDEX(GroupVertices[Group],MATCH(Edges25[[#This Row],[Vertex 2]],GroupVertices[Vertex],0)),1,1,"")</f>
        <v>8</v>
      </c>
      <c r="BF12" s="45">
        <v>0</v>
      </c>
      <c r="BG12" s="46">
        <v>0</v>
      </c>
      <c r="BH12" s="45">
        <v>0</v>
      </c>
      <c r="BI12" s="46">
        <v>0</v>
      </c>
      <c r="BJ12" s="45">
        <v>0</v>
      </c>
      <c r="BK12" s="46">
        <v>0</v>
      </c>
      <c r="BL12" s="45">
        <v>19</v>
      </c>
      <c r="BM12" s="46">
        <v>100</v>
      </c>
      <c r="BN12" s="45">
        <v>19</v>
      </c>
    </row>
    <row r="13" spans="1:66" ht="15">
      <c r="A13" s="61" t="s">
        <v>263</v>
      </c>
      <c r="B13" s="61" t="s">
        <v>263</v>
      </c>
      <c r="C13" s="62"/>
      <c r="D13" s="63"/>
      <c r="E13" s="62"/>
      <c r="F13" s="65"/>
      <c r="G13" s="62"/>
      <c r="H13" s="66"/>
      <c r="I13" s="67"/>
      <c r="J13" s="67"/>
      <c r="K13" s="31" t="s">
        <v>65</v>
      </c>
      <c r="L13" s="68">
        <v>36</v>
      </c>
      <c r="M13" s="68"/>
      <c r="N13" s="69"/>
      <c r="O13" s="76" t="s">
        <v>219</v>
      </c>
      <c r="P13" s="78">
        <v>44812.22046296296</v>
      </c>
      <c r="Q13" s="76" t="s">
        <v>599</v>
      </c>
      <c r="R13" s="76"/>
      <c r="S13" s="76"/>
      <c r="T13" s="81" t="s">
        <v>799</v>
      </c>
      <c r="U13" s="79" t="str">
        <f>HYPERLINK("https://pbs.twimg.com/media/FcG-xYaakAQU3ym.jpg")</f>
        <v>https://pbs.twimg.com/media/FcG-xYaakAQU3ym.jpg</v>
      </c>
      <c r="V13" s="79" t="str">
        <f>HYPERLINK("https://pbs.twimg.com/media/FcG-xYaakAQU3ym.jpg")</f>
        <v>https://pbs.twimg.com/media/FcG-xYaakAQU3ym.jpg</v>
      </c>
      <c r="W13" s="78">
        <v>44812.22046296296</v>
      </c>
      <c r="X13" s="84">
        <v>44812</v>
      </c>
      <c r="Y13" s="81" t="s">
        <v>905</v>
      </c>
      <c r="Z13" s="79" t="str">
        <f>HYPERLINK("https://twitter.com/oliverswift65/status/1567743903914401792")</f>
        <v>https://twitter.com/oliverswift65/status/1567743903914401792</v>
      </c>
      <c r="AA13" s="76"/>
      <c r="AB13" s="76"/>
      <c r="AC13" s="81" t="s">
        <v>1236</v>
      </c>
      <c r="AD13" s="76"/>
      <c r="AE13" s="76" t="b">
        <v>0</v>
      </c>
      <c r="AF13" s="76">
        <v>0</v>
      </c>
      <c r="AG13" s="81" t="s">
        <v>1674</v>
      </c>
      <c r="AH13" s="76" t="b">
        <v>0</v>
      </c>
      <c r="AI13" s="76" t="s">
        <v>1770</v>
      </c>
      <c r="AJ13" s="76"/>
      <c r="AK13" s="81" t="s">
        <v>1674</v>
      </c>
      <c r="AL13" s="76" t="b">
        <v>0</v>
      </c>
      <c r="AM13" s="76">
        <v>0</v>
      </c>
      <c r="AN13" s="81" t="s">
        <v>1674</v>
      </c>
      <c r="AO13" s="81" t="s">
        <v>1807</v>
      </c>
      <c r="AP13" s="76" t="b">
        <v>0</v>
      </c>
      <c r="AQ13" s="81" t="s">
        <v>1236</v>
      </c>
      <c r="AR13" s="76" t="s">
        <v>219</v>
      </c>
      <c r="AS13" s="76">
        <v>0</v>
      </c>
      <c r="AT13" s="76">
        <v>0</v>
      </c>
      <c r="AU13" s="76"/>
      <c r="AV13" s="76"/>
      <c r="AW13" s="76"/>
      <c r="AX13" s="76"/>
      <c r="AY13" s="76"/>
      <c r="AZ13" s="76"/>
      <c r="BA13" s="76"/>
      <c r="BB13" s="76"/>
      <c r="BC13">
        <v>2</v>
      </c>
      <c r="BD13" s="75" t="str">
        <f>REPLACE(INDEX(GroupVertices[Group],MATCH(Edges25[[#This Row],[Vertex 1]],GroupVertices[Vertex],0)),1,1,"")</f>
        <v>8</v>
      </c>
      <c r="BE13" s="75" t="str">
        <f>REPLACE(INDEX(GroupVertices[Group],MATCH(Edges25[[#This Row],[Vertex 2]],GroupVertices[Vertex],0)),1,1,"")</f>
        <v>8</v>
      </c>
      <c r="BF13" s="45">
        <v>1</v>
      </c>
      <c r="BG13" s="46">
        <v>5.555555555555555</v>
      </c>
      <c r="BH13" s="45">
        <v>0</v>
      </c>
      <c r="BI13" s="46">
        <v>0</v>
      </c>
      <c r="BJ13" s="45">
        <v>0</v>
      </c>
      <c r="BK13" s="46">
        <v>0</v>
      </c>
      <c r="BL13" s="45">
        <v>17</v>
      </c>
      <c r="BM13" s="46">
        <v>94.44444444444444</v>
      </c>
      <c r="BN13" s="45">
        <v>18</v>
      </c>
    </row>
    <row r="14" spans="1:66" ht="15">
      <c r="A14" s="61" t="s">
        <v>264</v>
      </c>
      <c r="B14" s="61" t="s">
        <v>264</v>
      </c>
      <c r="C14" s="62"/>
      <c r="D14" s="63"/>
      <c r="E14" s="62"/>
      <c r="F14" s="65"/>
      <c r="G14" s="62"/>
      <c r="H14" s="66"/>
      <c r="I14" s="67"/>
      <c r="J14" s="67"/>
      <c r="K14" s="31" t="s">
        <v>65</v>
      </c>
      <c r="L14" s="68">
        <v>37</v>
      </c>
      <c r="M14" s="68"/>
      <c r="N14" s="69"/>
      <c r="O14" s="76" t="s">
        <v>219</v>
      </c>
      <c r="P14" s="78">
        <v>44812.29819444445</v>
      </c>
      <c r="Q14" s="76" t="s">
        <v>600</v>
      </c>
      <c r="R14" s="79" t="str">
        <f>HYPERLINK("https://twitter.com/mathematic1313/status/1548439504783978499")</f>
        <v>https://twitter.com/mathematic1313/status/1548439504783978499</v>
      </c>
      <c r="S14" s="76" t="s">
        <v>783</v>
      </c>
      <c r="T14" s="81" t="s">
        <v>800</v>
      </c>
      <c r="U14" s="76"/>
      <c r="V14" s="79" t="str">
        <f>HYPERLINK("https://pbs.twimg.com/profile_images/1560136186999586817/4eoADy9B_normal.jpg")</f>
        <v>https://pbs.twimg.com/profile_images/1560136186999586817/4eoADy9B_normal.jpg</v>
      </c>
      <c r="W14" s="78">
        <v>44812.29819444445</v>
      </c>
      <c r="X14" s="84">
        <v>44812</v>
      </c>
      <c r="Y14" s="81" t="s">
        <v>906</v>
      </c>
      <c r="Z14" s="79" t="str">
        <f>HYPERLINK("https://twitter.com/lecureuil33/status/1567772071115063303")</f>
        <v>https://twitter.com/lecureuil33/status/1567772071115063303</v>
      </c>
      <c r="AA14" s="76"/>
      <c r="AB14" s="76"/>
      <c r="AC14" s="81" t="s">
        <v>1237</v>
      </c>
      <c r="AD14" s="76"/>
      <c r="AE14" s="76" t="b">
        <v>0</v>
      </c>
      <c r="AF14" s="76">
        <v>1</v>
      </c>
      <c r="AG14" s="81" t="s">
        <v>1674</v>
      </c>
      <c r="AH14" s="76" t="b">
        <v>1</v>
      </c>
      <c r="AI14" s="76" t="s">
        <v>1773</v>
      </c>
      <c r="AJ14" s="76"/>
      <c r="AK14" s="81" t="s">
        <v>1786</v>
      </c>
      <c r="AL14" s="76" t="b">
        <v>0</v>
      </c>
      <c r="AM14" s="76">
        <v>1</v>
      </c>
      <c r="AN14" s="81" t="s">
        <v>1674</v>
      </c>
      <c r="AO14" s="81" t="s">
        <v>1809</v>
      </c>
      <c r="AP14" s="76" t="b">
        <v>0</v>
      </c>
      <c r="AQ14" s="81" t="s">
        <v>1237</v>
      </c>
      <c r="AR14" s="76" t="s">
        <v>219</v>
      </c>
      <c r="AS14" s="76">
        <v>0</v>
      </c>
      <c r="AT14" s="76">
        <v>0</v>
      </c>
      <c r="AU14" s="76"/>
      <c r="AV14" s="76"/>
      <c r="AW14" s="76"/>
      <c r="AX14" s="76"/>
      <c r="AY14" s="76"/>
      <c r="AZ14" s="76"/>
      <c r="BA14" s="76"/>
      <c r="BB14" s="76"/>
      <c r="BC14">
        <v>1</v>
      </c>
      <c r="BD14" s="75" t="str">
        <f>REPLACE(INDEX(GroupVertices[Group],MATCH(Edges25[[#This Row],[Vertex 1]],GroupVertices[Vertex],0)),1,1,"")</f>
        <v>2</v>
      </c>
      <c r="BE14" s="75" t="str">
        <f>REPLACE(INDEX(GroupVertices[Group],MATCH(Edges25[[#This Row],[Vertex 2]],GroupVertices[Vertex],0)),1,1,"")</f>
        <v>2</v>
      </c>
      <c r="BF14" s="45">
        <v>0</v>
      </c>
      <c r="BG14" s="46">
        <v>0</v>
      </c>
      <c r="BH14" s="45">
        <v>0</v>
      </c>
      <c r="BI14" s="46">
        <v>0</v>
      </c>
      <c r="BJ14" s="45">
        <v>0</v>
      </c>
      <c r="BK14" s="46">
        <v>0</v>
      </c>
      <c r="BL14" s="45">
        <v>3</v>
      </c>
      <c r="BM14" s="46">
        <v>100</v>
      </c>
      <c r="BN14" s="45">
        <v>3</v>
      </c>
    </row>
    <row r="15" spans="1:66" ht="15">
      <c r="A15" s="61" t="s">
        <v>265</v>
      </c>
      <c r="B15" s="61" t="s">
        <v>457</v>
      </c>
      <c r="C15" s="62"/>
      <c r="D15" s="63"/>
      <c r="E15" s="62"/>
      <c r="F15" s="65"/>
      <c r="G15" s="62"/>
      <c r="H15" s="66"/>
      <c r="I15" s="67"/>
      <c r="J15" s="67"/>
      <c r="K15" s="31" t="s">
        <v>65</v>
      </c>
      <c r="L15" s="68">
        <v>38</v>
      </c>
      <c r="M15" s="68"/>
      <c r="N15" s="69"/>
      <c r="O15" s="76" t="s">
        <v>588</v>
      </c>
      <c r="P15" s="78">
        <v>44806.46244212963</v>
      </c>
      <c r="Q15" s="76" t="s">
        <v>601</v>
      </c>
      <c r="R15" s="76"/>
      <c r="S15" s="76"/>
      <c r="T15" s="81" t="s">
        <v>801</v>
      </c>
      <c r="U15" s="79" t="str">
        <f>HYPERLINK("https://pbs.twimg.com/media/FbpU_MOXgAAR7eK.jpg")</f>
        <v>https://pbs.twimg.com/media/FbpU_MOXgAAR7eK.jpg</v>
      </c>
      <c r="V15" s="79" t="str">
        <f>HYPERLINK("https://pbs.twimg.com/media/FbpU_MOXgAAR7eK.jpg")</f>
        <v>https://pbs.twimg.com/media/FbpU_MOXgAAR7eK.jpg</v>
      </c>
      <c r="W15" s="78">
        <v>44806.46244212963</v>
      </c>
      <c r="X15" s="84">
        <v>44806</v>
      </c>
      <c r="Y15" s="81" t="s">
        <v>907</v>
      </c>
      <c r="Z15" s="79" t="str">
        <f>HYPERLINK("https://twitter.com/chakhoyanandrew/status/1565657268326207488")</f>
        <v>https://twitter.com/chakhoyanandrew/status/1565657268326207488</v>
      </c>
      <c r="AA15" s="76"/>
      <c r="AB15" s="76"/>
      <c r="AC15" s="81" t="s">
        <v>1238</v>
      </c>
      <c r="AD15" s="81" t="s">
        <v>1572</v>
      </c>
      <c r="AE15" s="76" t="b">
        <v>0</v>
      </c>
      <c r="AF15" s="76">
        <v>84</v>
      </c>
      <c r="AG15" s="81" t="s">
        <v>1681</v>
      </c>
      <c r="AH15" s="76" t="b">
        <v>0</v>
      </c>
      <c r="AI15" s="76" t="s">
        <v>1772</v>
      </c>
      <c r="AJ15" s="76"/>
      <c r="AK15" s="81" t="s">
        <v>1674</v>
      </c>
      <c r="AL15" s="76" t="b">
        <v>0</v>
      </c>
      <c r="AM15" s="76">
        <v>9</v>
      </c>
      <c r="AN15" s="81" t="s">
        <v>1674</v>
      </c>
      <c r="AO15" s="81" t="s">
        <v>1809</v>
      </c>
      <c r="AP15" s="76" t="b">
        <v>0</v>
      </c>
      <c r="AQ15" s="81" t="s">
        <v>1572</v>
      </c>
      <c r="AR15" s="76" t="s">
        <v>586</v>
      </c>
      <c r="AS15" s="76">
        <v>0</v>
      </c>
      <c r="AT15" s="76">
        <v>0</v>
      </c>
      <c r="AU15" s="76"/>
      <c r="AV15" s="76"/>
      <c r="AW15" s="76"/>
      <c r="AX15" s="76"/>
      <c r="AY15" s="76"/>
      <c r="AZ15" s="76"/>
      <c r="BA15" s="76"/>
      <c r="BB15" s="76"/>
      <c r="BC15">
        <v>1</v>
      </c>
      <c r="BD15" s="75" t="str">
        <f>REPLACE(INDEX(GroupVertices[Group],MATCH(Edges25[[#This Row],[Vertex 1]],GroupVertices[Vertex],0)),1,1,"")</f>
        <v>16</v>
      </c>
      <c r="BE15" s="75" t="str">
        <f>REPLACE(INDEX(GroupVertices[Group],MATCH(Edges25[[#This Row],[Vertex 2]],GroupVertices[Vertex],0)),1,1,"")</f>
        <v>16</v>
      </c>
      <c r="BF15" s="45"/>
      <c r="BG15" s="46"/>
      <c r="BH15" s="45"/>
      <c r="BI15" s="46"/>
      <c r="BJ15" s="45"/>
      <c r="BK15" s="46"/>
      <c r="BL15" s="45"/>
      <c r="BM15" s="46"/>
      <c r="BN15" s="45"/>
    </row>
    <row r="16" spans="1:66" ht="15">
      <c r="A16" s="61" t="s">
        <v>266</v>
      </c>
      <c r="B16" s="61" t="s">
        <v>457</v>
      </c>
      <c r="C16" s="62"/>
      <c r="D16" s="63"/>
      <c r="E16" s="62"/>
      <c r="F16" s="65"/>
      <c r="G16" s="62"/>
      <c r="H16" s="66"/>
      <c r="I16" s="67"/>
      <c r="J16" s="67"/>
      <c r="K16" s="31" t="s">
        <v>65</v>
      </c>
      <c r="L16" s="68">
        <v>39</v>
      </c>
      <c r="M16" s="68"/>
      <c r="N16" s="69"/>
      <c r="O16" s="76" t="s">
        <v>585</v>
      </c>
      <c r="P16" s="78">
        <v>44812.31041666667</v>
      </c>
      <c r="Q16" s="76" t="s">
        <v>601</v>
      </c>
      <c r="R16" s="76"/>
      <c r="S16" s="76"/>
      <c r="T16" s="81" t="s">
        <v>801</v>
      </c>
      <c r="U16" s="79" t="str">
        <f>HYPERLINK("https://pbs.twimg.com/media/FbpU_MOXgAAR7eK.jpg")</f>
        <v>https://pbs.twimg.com/media/FbpU_MOXgAAR7eK.jpg</v>
      </c>
      <c r="V16" s="79" t="str">
        <f>HYPERLINK("https://pbs.twimg.com/media/FbpU_MOXgAAR7eK.jpg")</f>
        <v>https://pbs.twimg.com/media/FbpU_MOXgAAR7eK.jpg</v>
      </c>
      <c r="W16" s="78">
        <v>44812.31041666667</v>
      </c>
      <c r="X16" s="84">
        <v>44812</v>
      </c>
      <c r="Y16" s="81" t="s">
        <v>908</v>
      </c>
      <c r="Z16" s="79" t="str">
        <f>HYPERLINK("https://twitter.com/syanyakernytska/status/1567776502854418432")</f>
        <v>https://twitter.com/syanyakernytska/status/1567776502854418432</v>
      </c>
      <c r="AA16" s="76"/>
      <c r="AB16" s="76"/>
      <c r="AC16" s="81" t="s">
        <v>1239</v>
      </c>
      <c r="AD16" s="76"/>
      <c r="AE16" s="76" t="b">
        <v>0</v>
      </c>
      <c r="AF16" s="76">
        <v>0</v>
      </c>
      <c r="AG16" s="81" t="s">
        <v>1674</v>
      </c>
      <c r="AH16" s="76" t="b">
        <v>0</v>
      </c>
      <c r="AI16" s="76" t="s">
        <v>1772</v>
      </c>
      <c r="AJ16" s="76"/>
      <c r="AK16" s="81" t="s">
        <v>1674</v>
      </c>
      <c r="AL16" s="76" t="b">
        <v>0</v>
      </c>
      <c r="AM16" s="76">
        <v>9</v>
      </c>
      <c r="AN16" s="81" t="s">
        <v>1238</v>
      </c>
      <c r="AO16" s="81" t="s">
        <v>1807</v>
      </c>
      <c r="AP16" s="76" t="b">
        <v>0</v>
      </c>
      <c r="AQ16" s="81" t="s">
        <v>1238</v>
      </c>
      <c r="AR16" s="76" t="s">
        <v>219</v>
      </c>
      <c r="AS16" s="76">
        <v>0</v>
      </c>
      <c r="AT16" s="76">
        <v>0</v>
      </c>
      <c r="AU16" s="76"/>
      <c r="AV16" s="76"/>
      <c r="AW16" s="76"/>
      <c r="AX16" s="76"/>
      <c r="AY16" s="76"/>
      <c r="AZ16" s="76"/>
      <c r="BA16" s="76"/>
      <c r="BB16" s="76"/>
      <c r="BC16">
        <v>1</v>
      </c>
      <c r="BD16" s="75" t="str">
        <f>REPLACE(INDEX(GroupVertices[Group],MATCH(Edges25[[#This Row],[Vertex 1]],GroupVertices[Vertex],0)),1,1,"")</f>
        <v>16</v>
      </c>
      <c r="BE16" s="75" t="str">
        <f>REPLACE(INDEX(GroupVertices[Group],MATCH(Edges25[[#This Row],[Vertex 2]],GroupVertices[Vertex],0)),1,1,"")</f>
        <v>16</v>
      </c>
      <c r="BF16" s="45"/>
      <c r="BG16" s="46"/>
      <c r="BH16" s="45"/>
      <c r="BI16" s="46"/>
      <c r="BJ16" s="45"/>
      <c r="BK16" s="46"/>
      <c r="BL16" s="45"/>
      <c r="BM16" s="46"/>
      <c r="BN16" s="45"/>
    </row>
    <row r="17" spans="1:66" ht="15">
      <c r="A17" s="61" t="s">
        <v>267</v>
      </c>
      <c r="B17" s="61" t="s">
        <v>280</v>
      </c>
      <c r="C17" s="62"/>
      <c r="D17" s="63"/>
      <c r="E17" s="62"/>
      <c r="F17" s="65"/>
      <c r="G17" s="62"/>
      <c r="H17" s="66"/>
      <c r="I17" s="67"/>
      <c r="J17" s="67"/>
      <c r="K17" s="31" t="s">
        <v>65</v>
      </c>
      <c r="L17" s="68">
        <v>45</v>
      </c>
      <c r="M17" s="68"/>
      <c r="N17" s="69"/>
      <c r="O17" s="76" t="s">
        <v>586</v>
      </c>
      <c r="P17" s="78">
        <v>44812.32496527778</v>
      </c>
      <c r="Q17" s="76" t="s">
        <v>602</v>
      </c>
      <c r="R17" s="76"/>
      <c r="S17" s="76"/>
      <c r="T17" s="81" t="s">
        <v>802</v>
      </c>
      <c r="U17" s="79" t="str">
        <f>HYPERLINK("https://pbs.twimg.com/media/FcHevsMXkAEnkIC.jpg")</f>
        <v>https://pbs.twimg.com/media/FcHevsMXkAEnkIC.jpg</v>
      </c>
      <c r="V17" s="79" t="str">
        <f>HYPERLINK("https://pbs.twimg.com/media/FcHevsMXkAEnkIC.jpg")</f>
        <v>https://pbs.twimg.com/media/FcHevsMXkAEnkIC.jpg</v>
      </c>
      <c r="W17" s="78">
        <v>44812.32496527778</v>
      </c>
      <c r="X17" s="84">
        <v>44812</v>
      </c>
      <c r="Y17" s="81" t="s">
        <v>909</v>
      </c>
      <c r="Z17" s="79" t="str">
        <f>HYPERLINK("https://twitter.com/therealrsbonn/status/1567781774821920769")</f>
        <v>https://twitter.com/therealrsbonn/status/1567781774821920769</v>
      </c>
      <c r="AA17" s="76"/>
      <c r="AB17" s="76"/>
      <c r="AC17" s="81" t="s">
        <v>1240</v>
      </c>
      <c r="AD17" s="76"/>
      <c r="AE17" s="76" t="b">
        <v>0</v>
      </c>
      <c r="AF17" s="76">
        <v>0</v>
      </c>
      <c r="AG17" s="81" t="s">
        <v>1674</v>
      </c>
      <c r="AH17" s="76" t="b">
        <v>0</v>
      </c>
      <c r="AI17" s="76" t="s">
        <v>1774</v>
      </c>
      <c r="AJ17" s="76"/>
      <c r="AK17" s="81" t="s">
        <v>1674</v>
      </c>
      <c r="AL17" s="76" t="b">
        <v>0</v>
      </c>
      <c r="AM17" s="76">
        <v>2</v>
      </c>
      <c r="AN17" s="81" t="s">
        <v>1253</v>
      </c>
      <c r="AO17" s="81" t="s">
        <v>1809</v>
      </c>
      <c r="AP17" s="76" t="b">
        <v>0</v>
      </c>
      <c r="AQ17" s="81" t="s">
        <v>1253</v>
      </c>
      <c r="AR17" s="76" t="s">
        <v>219</v>
      </c>
      <c r="AS17" s="76">
        <v>0</v>
      </c>
      <c r="AT17" s="76">
        <v>0</v>
      </c>
      <c r="AU17" s="76"/>
      <c r="AV17" s="76"/>
      <c r="AW17" s="76"/>
      <c r="AX17" s="76"/>
      <c r="AY17" s="76"/>
      <c r="AZ17" s="76"/>
      <c r="BA17" s="76"/>
      <c r="BB17" s="76"/>
      <c r="BC17">
        <v>1</v>
      </c>
      <c r="BD17" s="75" t="str">
        <f>REPLACE(INDEX(GroupVertices[Group],MATCH(Edges25[[#This Row],[Vertex 1]],GroupVertices[Vertex],0)),1,1,"")</f>
        <v>19</v>
      </c>
      <c r="BE17" s="75" t="str">
        <f>REPLACE(INDEX(GroupVertices[Group],MATCH(Edges25[[#This Row],[Vertex 2]],GroupVertices[Vertex],0)),1,1,"")</f>
        <v>19</v>
      </c>
      <c r="BF17" s="45">
        <v>0</v>
      </c>
      <c r="BG17" s="46">
        <v>0</v>
      </c>
      <c r="BH17" s="45">
        <v>2</v>
      </c>
      <c r="BI17" s="46">
        <v>7.407407407407407</v>
      </c>
      <c r="BJ17" s="45">
        <v>0</v>
      </c>
      <c r="BK17" s="46">
        <v>0</v>
      </c>
      <c r="BL17" s="45">
        <v>25</v>
      </c>
      <c r="BM17" s="46">
        <v>92.5925925925926</v>
      </c>
      <c r="BN17" s="45">
        <v>27</v>
      </c>
    </row>
    <row r="18" spans="1:66" ht="15">
      <c r="A18" s="61" t="s">
        <v>268</v>
      </c>
      <c r="B18" s="61" t="s">
        <v>280</v>
      </c>
      <c r="C18" s="62"/>
      <c r="D18" s="63"/>
      <c r="E18" s="62"/>
      <c r="F18" s="65"/>
      <c r="G18" s="62"/>
      <c r="H18" s="66"/>
      <c r="I18" s="67"/>
      <c r="J18" s="67"/>
      <c r="K18" s="31" t="s">
        <v>65</v>
      </c>
      <c r="L18" s="68">
        <v>46</v>
      </c>
      <c r="M18" s="68"/>
      <c r="N18" s="69"/>
      <c r="O18" s="76" t="s">
        <v>586</v>
      </c>
      <c r="P18" s="78">
        <v>44812.32738425926</v>
      </c>
      <c r="Q18" s="76" t="s">
        <v>602</v>
      </c>
      <c r="R18" s="76"/>
      <c r="S18" s="76"/>
      <c r="T18" s="81" t="s">
        <v>802</v>
      </c>
      <c r="U18" s="79" t="str">
        <f>HYPERLINK("https://pbs.twimg.com/media/FcHevsMXkAEnkIC.jpg")</f>
        <v>https://pbs.twimg.com/media/FcHevsMXkAEnkIC.jpg</v>
      </c>
      <c r="V18" s="79" t="str">
        <f>HYPERLINK("https://pbs.twimg.com/media/FcHevsMXkAEnkIC.jpg")</f>
        <v>https://pbs.twimg.com/media/FcHevsMXkAEnkIC.jpg</v>
      </c>
      <c r="W18" s="78">
        <v>44812.32738425926</v>
      </c>
      <c r="X18" s="84">
        <v>44812</v>
      </c>
      <c r="Y18" s="81" t="s">
        <v>910</v>
      </c>
      <c r="Z18" s="79" t="str">
        <f>HYPERLINK("https://twitter.com/1984_is_near/status/1567782650944917506")</f>
        <v>https://twitter.com/1984_is_near/status/1567782650944917506</v>
      </c>
      <c r="AA18" s="76"/>
      <c r="AB18" s="76"/>
      <c r="AC18" s="81" t="s">
        <v>1241</v>
      </c>
      <c r="AD18" s="76"/>
      <c r="AE18" s="76" t="b">
        <v>0</v>
      </c>
      <c r="AF18" s="76">
        <v>0</v>
      </c>
      <c r="AG18" s="81" t="s">
        <v>1674</v>
      </c>
      <c r="AH18" s="76" t="b">
        <v>0</v>
      </c>
      <c r="AI18" s="76" t="s">
        <v>1774</v>
      </c>
      <c r="AJ18" s="76"/>
      <c r="AK18" s="81" t="s">
        <v>1674</v>
      </c>
      <c r="AL18" s="76" t="b">
        <v>0</v>
      </c>
      <c r="AM18" s="76">
        <v>2</v>
      </c>
      <c r="AN18" s="81" t="s">
        <v>1253</v>
      </c>
      <c r="AO18" s="81" t="s">
        <v>1807</v>
      </c>
      <c r="AP18" s="76" t="b">
        <v>0</v>
      </c>
      <c r="AQ18" s="81" t="s">
        <v>1253</v>
      </c>
      <c r="AR18" s="76" t="s">
        <v>219</v>
      </c>
      <c r="AS18" s="76">
        <v>0</v>
      </c>
      <c r="AT18" s="76">
        <v>0</v>
      </c>
      <c r="AU18" s="76"/>
      <c r="AV18" s="76"/>
      <c r="AW18" s="76"/>
      <c r="AX18" s="76"/>
      <c r="AY18" s="76"/>
      <c r="AZ18" s="76"/>
      <c r="BA18" s="76"/>
      <c r="BB18" s="76"/>
      <c r="BC18">
        <v>1</v>
      </c>
      <c r="BD18" s="75" t="str">
        <f>REPLACE(INDEX(GroupVertices[Group],MATCH(Edges25[[#This Row],[Vertex 1]],GroupVertices[Vertex],0)),1,1,"")</f>
        <v>19</v>
      </c>
      <c r="BE18" s="75" t="str">
        <f>REPLACE(INDEX(GroupVertices[Group],MATCH(Edges25[[#This Row],[Vertex 2]],GroupVertices[Vertex],0)),1,1,"")</f>
        <v>19</v>
      </c>
      <c r="BF18" s="45">
        <v>0</v>
      </c>
      <c r="BG18" s="46">
        <v>0</v>
      </c>
      <c r="BH18" s="45">
        <v>2</v>
      </c>
      <c r="BI18" s="46">
        <v>7.407407407407407</v>
      </c>
      <c r="BJ18" s="45">
        <v>0</v>
      </c>
      <c r="BK18" s="46">
        <v>0</v>
      </c>
      <c r="BL18" s="45">
        <v>25</v>
      </c>
      <c r="BM18" s="46">
        <v>92.5925925925926</v>
      </c>
      <c r="BN18" s="45">
        <v>27</v>
      </c>
    </row>
    <row r="19" spans="1:66" ht="15">
      <c r="A19" s="61" t="s">
        <v>269</v>
      </c>
      <c r="B19" s="61" t="s">
        <v>460</v>
      </c>
      <c r="C19" s="62"/>
      <c r="D19" s="63"/>
      <c r="E19" s="62"/>
      <c r="F19" s="65"/>
      <c r="G19" s="62"/>
      <c r="H19" s="66"/>
      <c r="I19" s="67"/>
      <c r="J19" s="67"/>
      <c r="K19" s="31" t="s">
        <v>65</v>
      </c>
      <c r="L19" s="68">
        <v>47</v>
      </c>
      <c r="M19" s="68"/>
      <c r="N19" s="69"/>
      <c r="O19" s="76" t="s">
        <v>585</v>
      </c>
      <c r="P19" s="78">
        <v>44812.35679398148</v>
      </c>
      <c r="Q19" s="76" t="s">
        <v>589</v>
      </c>
      <c r="R19" s="76"/>
      <c r="S19" s="76"/>
      <c r="T19" s="81" t="s">
        <v>792</v>
      </c>
      <c r="U19" s="79" t="str">
        <f>HYPERLINK("https://pbs.twimg.com/media/Fb6ZZsqWYAUww3Q.jpg")</f>
        <v>https://pbs.twimg.com/media/Fb6ZZsqWYAUww3Q.jpg</v>
      </c>
      <c r="V19" s="79" t="str">
        <f>HYPERLINK("https://pbs.twimg.com/media/Fb6ZZsqWYAUww3Q.jpg")</f>
        <v>https://pbs.twimg.com/media/Fb6ZZsqWYAUww3Q.jpg</v>
      </c>
      <c r="W19" s="78">
        <v>44812.35679398148</v>
      </c>
      <c r="X19" s="84">
        <v>44812</v>
      </c>
      <c r="Y19" s="81" t="s">
        <v>911</v>
      </c>
      <c r="Z19" s="79" t="str">
        <f>HYPERLINK("https://twitter.com/phacotte/status/1567793306544869378")</f>
        <v>https://twitter.com/phacotte/status/1567793306544869378</v>
      </c>
      <c r="AA19" s="76"/>
      <c r="AB19" s="76"/>
      <c r="AC19" s="81" t="s">
        <v>1242</v>
      </c>
      <c r="AD19" s="76"/>
      <c r="AE19" s="76" t="b">
        <v>0</v>
      </c>
      <c r="AF19" s="76">
        <v>0</v>
      </c>
      <c r="AG19" s="81" t="s">
        <v>1674</v>
      </c>
      <c r="AH19" s="76" t="b">
        <v>0</v>
      </c>
      <c r="AI19" s="76" t="s">
        <v>1770</v>
      </c>
      <c r="AJ19" s="76"/>
      <c r="AK19" s="81" t="s">
        <v>1674</v>
      </c>
      <c r="AL19" s="76" t="b">
        <v>0</v>
      </c>
      <c r="AM19" s="76">
        <v>35</v>
      </c>
      <c r="AN19" s="81" t="s">
        <v>1303</v>
      </c>
      <c r="AO19" s="81" t="s">
        <v>1808</v>
      </c>
      <c r="AP19" s="76" t="b">
        <v>0</v>
      </c>
      <c r="AQ19" s="81" t="s">
        <v>1303</v>
      </c>
      <c r="AR19" s="76" t="s">
        <v>219</v>
      </c>
      <c r="AS19" s="76">
        <v>0</v>
      </c>
      <c r="AT19" s="76">
        <v>0</v>
      </c>
      <c r="AU19" s="76"/>
      <c r="AV19" s="76"/>
      <c r="AW19" s="76"/>
      <c r="AX19" s="76"/>
      <c r="AY19" s="76"/>
      <c r="AZ19" s="76"/>
      <c r="BA19" s="76"/>
      <c r="BB19" s="76"/>
      <c r="BC19">
        <v>1</v>
      </c>
      <c r="BD19" s="75" t="str">
        <f>REPLACE(INDEX(GroupVertices[Group],MATCH(Edges25[[#This Row],[Vertex 1]],GroupVertices[Vertex],0)),1,1,"")</f>
        <v>10</v>
      </c>
      <c r="BE19" s="75" t="str">
        <f>REPLACE(INDEX(GroupVertices[Group],MATCH(Edges25[[#This Row],[Vertex 2]],GroupVertices[Vertex],0)),1,1,"")</f>
        <v>10</v>
      </c>
      <c r="BF19" s="45"/>
      <c r="BG19" s="46"/>
      <c r="BH19" s="45"/>
      <c r="BI19" s="46"/>
      <c r="BJ19" s="45"/>
      <c r="BK19" s="46"/>
      <c r="BL19" s="45"/>
      <c r="BM19" s="46"/>
      <c r="BN19" s="45"/>
    </row>
    <row r="20" spans="1:66" ht="15">
      <c r="A20" s="61" t="s">
        <v>270</v>
      </c>
      <c r="B20" s="61" t="s">
        <v>461</v>
      </c>
      <c r="C20" s="62"/>
      <c r="D20" s="63"/>
      <c r="E20" s="62"/>
      <c r="F20" s="65"/>
      <c r="G20" s="62"/>
      <c r="H20" s="66"/>
      <c r="I20" s="67"/>
      <c r="J20" s="67"/>
      <c r="K20" s="31" t="s">
        <v>65</v>
      </c>
      <c r="L20" s="68">
        <v>51</v>
      </c>
      <c r="M20" s="68"/>
      <c r="N20" s="69"/>
      <c r="O20" s="76" t="s">
        <v>587</v>
      </c>
      <c r="P20" s="78">
        <v>44685.389814814815</v>
      </c>
      <c r="Q20" s="76" t="s">
        <v>603</v>
      </c>
      <c r="R20" s="76"/>
      <c r="S20" s="76"/>
      <c r="T20" s="81" t="s">
        <v>803</v>
      </c>
      <c r="U20" s="79" t="str">
        <f>HYPERLINK("https://pbs.twimg.com/media/FR50lv2XEAEY2ZT.jpg")</f>
        <v>https://pbs.twimg.com/media/FR50lv2XEAEY2ZT.jpg</v>
      </c>
      <c r="V20" s="79" t="str">
        <f>HYPERLINK("https://pbs.twimg.com/media/FR50lv2XEAEY2ZT.jpg")</f>
        <v>https://pbs.twimg.com/media/FR50lv2XEAEY2ZT.jpg</v>
      </c>
      <c r="W20" s="78">
        <v>44685.389814814815</v>
      </c>
      <c r="X20" s="84">
        <v>44685</v>
      </c>
      <c r="Y20" s="81" t="s">
        <v>912</v>
      </c>
      <c r="Z20" s="79" t="str">
        <f>HYPERLINK("https://twitter.com/markwol64553906/status/1521782016643153921")</f>
        <v>https://twitter.com/markwol64553906/status/1521782016643153921</v>
      </c>
      <c r="AA20" s="76"/>
      <c r="AB20" s="76"/>
      <c r="AC20" s="81" t="s">
        <v>1243</v>
      </c>
      <c r="AD20" s="76"/>
      <c r="AE20" s="76" t="b">
        <v>0</v>
      </c>
      <c r="AF20" s="76">
        <v>4</v>
      </c>
      <c r="AG20" s="81" t="s">
        <v>1682</v>
      </c>
      <c r="AH20" s="76" t="b">
        <v>0</v>
      </c>
      <c r="AI20" s="76" t="s">
        <v>1775</v>
      </c>
      <c r="AJ20" s="76"/>
      <c r="AK20" s="81" t="s">
        <v>1674</v>
      </c>
      <c r="AL20" s="76" t="b">
        <v>0</v>
      </c>
      <c r="AM20" s="76">
        <v>2</v>
      </c>
      <c r="AN20" s="81" t="s">
        <v>1674</v>
      </c>
      <c r="AO20" s="81" t="s">
        <v>1808</v>
      </c>
      <c r="AP20" s="76" t="b">
        <v>0</v>
      </c>
      <c r="AQ20" s="81" t="s">
        <v>1243</v>
      </c>
      <c r="AR20" s="76" t="s">
        <v>586</v>
      </c>
      <c r="AS20" s="76">
        <v>0</v>
      </c>
      <c r="AT20" s="76">
        <v>0</v>
      </c>
      <c r="AU20" s="76"/>
      <c r="AV20" s="76"/>
      <c r="AW20" s="76"/>
      <c r="AX20" s="76"/>
      <c r="AY20" s="76"/>
      <c r="AZ20" s="76"/>
      <c r="BA20" s="76"/>
      <c r="BB20" s="76"/>
      <c r="BC20">
        <v>1</v>
      </c>
      <c r="BD20" s="75" t="str">
        <f>REPLACE(INDEX(GroupVertices[Group],MATCH(Edges25[[#This Row],[Vertex 1]],GroupVertices[Vertex],0)),1,1,"")</f>
        <v>38</v>
      </c>
      <c r="BE20" s="75" t="str">
        <f>REPLACE(INDEX(GroupVertices[Group],MATCH(Edges25[[#This Row],[Vertex 2]],GroupVertices[Vertex],0)),1,1,"")</f>
        <v>38</v>
      </c>
      <c r="BF20" s="45">
        <v>0</v>
      </c>
      <c r="BG20" s="46">
        <v>0</v>
      </c>
      <c r="BH20" s="45">
        <v>0</v>
      </c>
      <c r="BI20" s="46">
        <v>0</v>
      </c>
      <c r="BJ20" s="45">
        <v>0</v>
      </c>
      <c r="BK20" s="46">
        <v>0</v>
      </c>
      <c r="BL20" s="45">
        <v>12</v>
      </c>
      <c r="BM20" s="46">
        <v>100</v>
      </c>
      <c r="BN20" s="45">
        <v>12</v>
      </c>
    </row>
    <row r="21" spans="1:66" ht="15">
      <c r="A21" s="61" t="s">
        <v>271</v>
      </c>
      <c r="B21" s="61" t="s">
        <v>270</v>
      </c>
      <c r="C21" s="62"/>
      <c r="D21" s="63"/>
      <c r="E21" s="62"/>
      <c r="F21" s="65"/>
      <c r="G21" s="62"/>
      <c r="H21" s="66"/>
      <c r="I21" s="67"/>
      <c r="J21" s="67"/>
      <c r="K21" s="31" t="s">
        <v>65</v>
      </c>
      <c r="L21" s="68">
        <v>52</v>
      </c>
      <c r="M21" s="68"/>
      <c r="N21" s="69"/>
      <c r="O21" s="76" t="s">
        <v>586</v>
      </c>
      <c r="P21" s="78">
        <v>44812.38795138889</v>
      </c>
      <c r="Q21" s="76" t="s">
        <v>603</v>
      </c>
      <c r="R21" s="76"/>
      <c r="S21" s="76"/>
      <c r="T21" s="81" t="s">
        <v>803</v>
      </c>
      <c r="U21" s="79" t="str">
        <f>HYPERLINK("https://pbs.twimg.com/media/FR50lv2XEAEY2ZT.jpg")</f>
        <v>https://pbs.twimg.com/media/FR50lv2XEAEY2ZT.jpg</v>
      </c>
      <c r="V21" s="79" t="str">
        <f>HYPERLINK("https://pbs.twimg.com/media/FR50lv2XEAEY2ZT.jpg")</f>
        <v>https://pbs.twimg.com/media/FR50lv2XEAEY2ZT.jpg</v>
      </c>
      <c r="W21" s="78">
        <v>44812.38795138889</v>
      </c>
      <c r="X21" s="84">
        <v>44812</v>
      </c>
      <c r="Y21" s="81" t="s">
        <v>913</v>
      </c>
      <c r="Z21" s="79" t="str">
        <f>HYPERLINK("https://twitter.com/shxtcowboy/status/1567804599079243778")</f>
        <v>https://twitter.com/shxtcowboy/status/1567804599079243778</v>
      </c>
      <c r="AA21" s="76"/>
      <c r="AB21" s="76"/>
      <c r="AC21" s="81" t="s">
        <v>1244</v>
      </c>
      <c r="AD21" s="76"/>
      <c r="AE21" s="76" t="b">
        <v>0</v>
      </c>
      <c r="AF21" s="76">
        <v>0</v>
      </c>
      <c r="AG21" s="81" t="s">
        <v>1674</v>
      </c>
      <c r="AH21" s="76" t="b">
        <v>0</v>
      </c>
      <c r="AI21" s="76" t="s">
        <v>1775</v>
      </c>
      <c r="AJ21" s="76"/>
      <c r="AK21" s="81" t="s">
        <v>1674</v>
      </c>
      <c r="AL21" s="76" t="b">
        <v>0</v>
      </c>
      <c r="AM21" s="76">
        <v>2</v>
      </c>
      <c r="AN21" s="81" t="s">
        <v>1243</v>
      </c>
      <c r="AO21" s="81" t="s">
        <v>1807</v>
      </c>
      <c r="AP21" s="76" t="b">
        <v>0</v>
      </c>
      <c r="AQ21" s="81" t="s">
        <v>1243</v>
      </c>
      <c r="AR21" s="76" t="s">
        <v>219</v>
      </c>
      <c r="AS21" s="76">
        <v>0</v>
      </c>
      <c r="AT21" s="76">
        <v>0</v>
      </c>
      <c r="AU21" s="76"/>
      <c r="AV21" s="76"/>
      <c r="AW21" s="76"/>
      <c r="AX21" s="76"/>
      <c r="AY21" s="76"/>
      <c r="AZ21" s="76"/>
      <c r="BA21" s="76"/>
      <c r="BB21" s="76"/>
      <c r="BC21">
        <v>1</v>
      </c>
      <c r="BD21" s="75" t="str">
        <f>REPLACE(INDEX(GroupVertices[Group],MATCH(Edges25[[#This Row],[Vertex 1]],GroupVertices[Vertex],0)),1,1,"")</f>
        <v>38</v>
      </c>
      <c r="BE21" s="75" t="str">
        <f>REPLACE(INDEX(GroupVertices[Group],MATCH(Edges25[[#This Row],[Vertex 2]],GroupVertices[Vertex],0)),1,1,"")</f>
        <v>38</v>
      </c>
      <c r="BF21" s="45"/>
      <c r="BG21" s="46"/>
      <c r="BH21" s="45"/>
      <c r="BI21" s="46"/>
      <c r="BJ21" s="45"/>
      <c r="BK21" s="46"/>
      <c r="BL21" s="45"/>
      <c r="BM21" s="46"/>
      <c r="BN21" s="45"/>
    </row>
    <row r="22" spans="1:66" ht="15">
      <c r="A22" s="61" t="s">
        <v>272</v>
      </c>
      <c r="B22" s="61" t="s">
        <v>462</v>
      </c>
      <c r="C22" s="62"/>
      <c r="D22" s="63"/>
      <c r="E22" s="62"/>
      <c r="F22" s="65"/>
      <c r="G22" s="62"/>
      <c r="H22" s="66"/>
      <c r="I22" s="67"/>
      <c r="J22" s="67"/>
      <c r="K22" s="31" t="s">
        <v>65</v>
      </c>
      <c r="L22" s="68">
        <v>54</v>
      </c>
      <c r="M22" s="68"/>
      <c r="N22" s="69"/>
      <c r="O22" s="76" t="s">
        <v>587</v>
      </c>
      <c r="P22" s="78">
        <v>44812.44431712963</v>
      </c>
      <c r="Q22" s="76" t="s">
        <v>604</v>
      </c>
      <c r="R22" s="76"/>
      <c r="S22" s="76"/>
      <c r="T22" s="81" t="s">
        <v>804</v>
      </c>
      <c r="U22" s="76"/>
      <c r="V22" s="79" t="str">
        <f>HYPERLINK("https://pbs.twimg.com/profile_images/1466090085032603648/C5YhkJ5q_normal.jpg")</f>
        <v>https://pbs.twimg.com/profile_images/1466090085032603648/C5YhkJ5q_normal.jpg</v>
      </c>
      <c r="W22" s="78">
        <v>44812.44431712963</v>
      </c>
      <c r="X22" s="84">
        <v>44812</v>
      </c>
      <c r="Y22" s="81" t="s">
        <v>914</v>
      </c>
      <c r="Z22" s="79" t="str">
        <f>HYPERLINK("https://twitter.com/benkutowski/status/1567825024781885441")</f>
        <v>https://twitter.com/benkutowski/status/1567825024781885441</v>
      </c>
      <c r="AA22" s="76"/>
      <c r="AB22" s="76"/>
      <c r="AC22" s="81" t="s">
        <v>1245</v>
      </c>
      <c r="AD22" s="81" t="s">
        <v>1573</v>
      </c>
      <c r="AE22" s="76" t="b">
        <v>0</v>
      </c>
      <c r="AF22" s="76">
        <v>0</v>
      </c>
      <c r="AG22" s="81" t="s">
        <v>1683</v>
      </c>
      <c r="AH22" s="76" t="b">
        <v>0</v>
      </c>
      <c r="AI22" s="76" t="s">
        <v>1773</v>
      </c>
      <c r="AJ22" s="76"/>
      <c r="AK22" s="81" t="s">
        <v>1674</v>
      </c>
      <c r="AL22" s="76" t="b">
        <v>0</v>
      </c>
      <c r="AM22" s="76">
        <v>0</v>
      </c>
      <c r="AN22" s="81" t="s">
        <v>1674</v>
      </c>
      <c r="AO22" s="81" t="s">
        <v>1809</v>
      </c>
      <c r="AP22" s="76" t="b">
        <v>0</v>
      </c>
      <c r="AQ22" s="81" t="s">
        <v>1573</v>
      </c>
      <c r="AR22" s="76" t="s">
        <v>219</v>
      </c>
      <c r="AS22" s="76">
        <v>0</v>
      </c>
      <c r="AT22" s="76">
        <v>0</v>
      </c>
      <c r="AU22" s="76"/>
      <c r="AV22" s="76"/>
      <c r="AW22" s="76"/>
      <c r="AX22" s="76"/>
      <c r="AY22" s="76"/>
      <c r="AZ22" s="76"/>
      <c r="BA22" s="76"/>
      <c r="BB22" s="76"/>
      <c r="BC22">
        <v>1</v>
      </c>
      <c r="BD22" s="75" t="str">
        <f>REPLACE(INDEX(GroupVertices[Group],MATCH(Edges25[[#This Row],[Vertex 1]],GroupVertices[Vertex],0)),1,1,"")</f>
        <v>37</v>
      </c>
      <c r="BE22" s="75" t="str">
        <f>REPLACE(INDEX(GroupVertices[Group],MATCH(Edges25[[#This Row],[Vertex 2]],GroupVertices[Vertex],0)),1,1,"")</f>
        <v>37</v>
      </c>
      <c r="BF22" s="45">
        <v>0</v>
      </c>
      <c r="BG22" s="46">
        <v>0</v>
      </c>
      <c r="BH22" s="45">
        <v>0</v>
      </c>
      <c r="BI22" s="46">
        <v>0</v>
      </c>
      <c r="BJ22" s="45">
        <v>0</v>
      </c>
      <c r="BK22" s="46">
        <v>0</v>
      </c>
      <c r="BL22" s="45">
        <v>3</v>
      </c>
      <c r="BM22" s="46">
        <v>100</v>
      </c>
      <c r="BN22" s="45">
        <v>3</v>
      </c>
    </row>
    <row r="23" spans="1:66" ht="15">
      <c r="A23" s="61" t="s">
        <v>273</v>
      </c>
      <c r="B23" s="61" t="s">
        <v>462</v>
      </c>
      <c r="C23" s="62"/>
      <c r="D23" s="63"/>
      <c r="E23" s="62"/>
      <c r="F23" s="65"/>
      <c r="G23" s="62"/>
      <c r="H23" s="66"/>
      <c r="I23" s="67"/>
      <c r="J23" s="67"/>
      <c r="K23" s="31" t="s">
        <v>65</v>
      </c>
      <c r="L23" s="68">
        <v>55</v>
      </c>
      <c r="M23" s="68"/>
      <c r="N23" s="69"/>
      <c r="O23" s="76" t="s">
        <v>587</v>
      </c>
      <c r="P23" s="78">
        <v>44812.58555555555</v>
      </c>
      <c r="Q23" s="76" t="s">
        <v>605</v>
      </c>
      <c r="R23" s="76"/>
      <c r="S23" s="76"/>
      <c r="T23" s="81" t="s">
        <v>795</v>
      </c>
      <c r="U23" s="76"/>
      <c r="V23" s="79" t="str">
        <f>HYPERLINK("https://pbs.twimg.com/profile_images/1308352213249597442/Cpmq1oOm_normal.jpg")</f>
        <v>https://pbs.twimg.com/profile_images/1308352213249597442/Cpmq1oOm_normal.jpg</v>
      </c>
      <c r="W23" s="78">
        <v>44812.58555555555</v>
      </c>
      <c r="X23" s="84">
        <v>44812</v>
      </c>
      <c r="Y23" s="81" t="s">
        <v>915</v>
      </c>
      <c r="Z23" s="79" t="str">
        <f>HYPERLINK("https://twitter.com/nilhrevan/status/1567876208657850368")</f>
        <v>https://twitter.com/nilhrevan/status/1567876208657850368</v>
      </c>
      <c r="AA23" s="76"/>
      <c r="AB23" s="76"/>
      <c r="AC23" s="81" t="s">
        <v>1246</v>
      </c>
      <c r="AD23" s="81" t="s">
        <v>1573</v>
      </c>
      <c r="AE23" s="76" t="b">
        <v>0</v>
      </c>
      <c r="AF23" s="76">
        <v>0</v>
      </c>
      <c r="AG23" s="81" t="s">
        <v>1683</v>
      </c>
      <c r="AH23" s="76" t="b">
        <v>0</v>
      </c>
      <c r="AI23" s="76" t="s">
        <v>1773</v>
      </c>
      <c r="AJ23" s="76"/>
      <c r="AK23" s="81" t="s">
        <v>1674</v>
      </c>
      <c r="AL23" s="76" t="b">
        <v>0</v>
      </c>
      <c r="AM23" s="76">
        <v>0</v>
      </c>
      <c r="AN23" s="81" t="s">
        <v>1674</v>
      </c>
      <c r="AO23" s="81" t="s">
        <v>1809</v>
      </c>
      <c r="AP23" s="76" t="b">
        <v>0</v>
      </c>
      <c r="AQ23" s="81" t="s">
        <v>1573</v>
      </c>
      <c r="AR23" s="76" t="s">
        <v>219</v>
      </c>
      <c r="AS23" s="76">
        <v>0</v>
      </c>
      <c r="AT23" s="76">
        <v>0</v>
      </c>
      <c r="AU23" s="76"/>
      <c r="AV23" s="76"/>
      <c r="AW23" s="76"/>
      <c r="AX23" s="76"/>
      <c r="AY23" s="76"/>
      <c r="AZ23" s="76"/>
      <c r="BA23" s="76"/>
      <c r="BB23" s="76"/>
      <c r="BC23">
        <v>1</v>
      </c>
      <c r="BD23" s="75" t="str">
        <f>REPLACE(INDEX(GroupVertices[Group],MATCH(Edges25[[#This Row],[Vertex 1]],GroupVertices[Vertex],0)),1,1,"")</f>
        <v>37</v>
      </c>
      <c r="BE23" s="75" t="str">
        <f>REPLACE(INDEX(GroupVertices[Group],MATCH(Edges25[[#This Row],[Vertex 2]],GroupVertices[Vertex],0)),1,1,"")</f>
        <v>37</v>
      </c>
      <c r="BF23" s="45">
        <v>0</v>
      </c>
      <c r="BG23" s="46">
        <v>0</v>
      </c>
      <c r="BH23" s="45">
        <v>0</v>
      </c>
      <c r="BI23" s="46">
        <v>0</v>
      </c>
      <c r="BJ23" s="45">
        <v>0</v>
      </c>
      <c r="BK23" s="46">
        <v>0</v>
      </c>
      <c r="BL23" s="45">
        <v>2</v>
      </c>
      <c r="BM23" s="46">
        <v>100</v>
      </c>
      <c r="BN23" s="45">
        <v>2</v>
      </c>
    </row>
    <row r="24" spans="1:66" ht="15">
      <c r="A24" s="61" t="s">
        <v>274</v>
      </c>
      <c r="B24" s="61" t="s">
        <v>274</v>
      </c>
      <c r="C24" s="62"/>
      <c r="D24" s="63"/>
      <c r="E24" s="62"/>
      <c r="F24" s="65"/>
      <c r="G24" s="62"/>
      <c r="H24" s="66"/>
      <c r="I24" s="67"/>
      <c r="J24" s="67"/>
      <c r="K24" s="31" t="s">
        <v>65</v>
      </c>
      <c r="L24" s="68">
        <v>56</v>
      </c>
      <c r="M24" s="68"/>
      <c r="N24" s="69"/>
      <c r="O24" s="76" t="s">
        <v>219</v>
      </c>
      <c r="P24" s="78">
        <v>44812.59005787037</v>
      </c>
      <c r="Q24" s="76" t="s">
        <v>606</v>
      </c>
      <c r="R24" s="79" t="str">
        <f>HYPERLINK("https://twitter.com/ArthurM40330824/status/1567605573222277121")</f>
        <v>https://twitter.com/ArthurM40330824/status/1567605573222277121</v>
      </c>
      <c r="S24" s="76" t="s">
        <v>783</v>
      </c>
      <c r="T24" s="81" t="s">
        <v>795</v>
      </c>
      <c r="U24" s="76"/>
      <c r="V24" s="79" t="str">
        <f>HYPERLINK("https://pbs.twimg.com/profile_images/1566170548262129665/uuqxKJyS_normal.jpg")</f>
        <v>https://pbs.twimg.com/profile_images/1566170548262129665/uuqxKJyS_normal.jpg</v>
      </c>
      <c r="W24" s="78">
        <v>44812.59005787037</v>
      </c>
      <c r="X24" s="84">
        <v>44812</v>
      </c>
      <c r="Y24" s="81" t="s">
        <v>916</v>
      </c>
      <c r="Z24" s="79" t="str">
        <f>HYPERLINK("https://twitter.com/thetruth222222/status/1567877842007883776")</f>
        <v>https://twitter.com/thetruth222222/status/1567877842007883776</v>
      </c>
      <c r="AA24" s="76"/>
      <c r="AB24" s="76"/>
      <c r="AC24" s="81" t="s">
        <v>1247</v>
      </c>
      <c r="AD24" s="76"/>
      <c r="AE24" s="76" t="b">
        <v>0</v>
      </c>
      <c r="AF24" s="76">
        <v>2</v>
      </c>
      <c r="AG24" s="81" t="s">
        <v>1674</v>
      </c>
      <c r="AH24" s="76" t="b">
        <v>1</v>
      </c>
      <c r="AI24" s="76" t="s">
        <v>1772</v>
      </c>
      <c r="AJ24" s="76"/>
      <c r="AK24" s="81" t="s">
        <v>1787</v>
      </c>
      <c r="AL24" s="76" t="b">
        <v>0</v>
      </c>
      <c r="AM24" s="76">
        <v>0</v>
      </c>
      <c r="AN24" s="81" t="s">
        <v>1674</v>
      </c>
      <c r="AO24" s="81" t="s">
        <v>1807</v>
      </c>
      <c r="AP24" s="76" t="b">
        <v>0</v>
      </c>
      <c r="AQ24" s="81" t="s">
        <v>1247</v>
      </c>
      <c r="AR24" s="76" t="s">
        <v>219</v>
      </c>
      <c r="AS24" s="76">
        <v>0</v>
      </c>
      <c r="AT24" s="76">
        <v>0</v>
      </c>
      <c r="AU24" s="76"/>
      <c r="AV24" s="76"/>
      <c r="AW24" s="76"/>
      <c r="AX24" s="76"/>
      <c r="AY24" s="76"/>
      <c r="AZ24" s="76"/>
      <c r="BA24" s="76"/>
      <c r="BB24" s="76"/>
      <c r="BC24">
        <v>1</v>
      </c>
      <c r="BD24" s="75" t="str">
        <f>REPLACE(INDEX(GroupVertices[Group],MATCH(Edges25[[#This Row],[Vertex 1]],GroupVertices[Vertex],0)),1,1,"")</f>
        <v>2</v>
      </c>
      <c r="BE24" s="75" t="str">
        <f>REPLACE(INDEX(GroupVertices[Group],MATCH(Edges25[[#This Row],[Vertex 2]],GroupVertices[Vertex],0)),1,1,"")</f>
        <v>2</v>
      </c>
      <c r="BF24" s="45">
        <v>0</v>
      </c>
      <c r="BG24" s="46">
        <v>0</v>
      </c>
      <c r="BH24" s="45">
        <v>0</v>
      </c>
      <c r="BI24" s="46">
        <v>0</v>
      </c>
      <c r="BJ24" s="45">
        <v>0</v>
      </c>
      <c r="BK24" s="46">
        <v>0</v>
      </c>
      <c r="BL24" s="45">
        <v>3</v>
      </c>
      <c r="BM24" s="46">
        <v>100</v>
      </c>
      <c r="BN24" s="45">
        <v>3</v>
      </c>
    </row>
    <row r="25" spans="1:66" ht="15">
      <c r="A25" s="61" t="s">
        <v>275</v>
      </c>
      <c r="B25" s="61" t="s">
        <v>280</v>
      </c>
      <c r="C25" s="62"/>
      <c r="D25" s="63"/>
      <c r="E25" s="62"/>
      <c r="F25" s="65"/>
      <c r="G25" s="62"/>
      <c r="H25" s="66"/>
      <c r="I25" s="67"/>
      <c r="J25" s="67"/>
      <c r="K25" s="31" t="s">
        <v>65</v>
      </c>
      <c r="L25" s="68">
        <v>57</v>
      </c>
      <c r="M25" s="68"/>
      <c r="N25" s="69"/>
      <c r="O25" s="76" t="s">
        <v>586</v>
      </c>
      <c r="P25" s="78">
        <v>44812.65605324074</v>
      </c>
      <c r="Q25" s="76" t="s">
        <v>607</v>
      </c>
      <c r="R25" s="76"/>
      <c r="S25" s="76"/>
      <c r="T25" s="81" t="s">
        <v>805</v>
      </c>
      <c r="U25" s="79" t="str">
        <f>HYPERLINK("https://pbs.twimg.com/media/FcHk5KpX0AER_Nj.jpg")</f>
        <v>https://pbs.twimg.com/media/FcHk5KpX0AER_Nj.jpg</v>
      </c>
      <c r="V25" s="79" t="str">
        <f>HYPERLINK("https://pbs.twimg.com/media/FcHk5KpX0AER_Nj.jpg")</f>
        <v>https://pbs.twimg.com/media/FcHk5KpX0AER_Nj.jpg</v>
      </c>
      <c r="W25" s="78">
        <v>44812.65605324074</v>
      </c>
      <c r="X25" s="84">
        <v>44812</v>
      </c>
      <c r="Y25" s="81" t="s">
        <v>917</v>
      </c>
      <c r="Z25" s="79" t="str">
        <f>HYPERLINK("https://twitter.com/realfantomas/status/1567901755081654272")</f>
        <v>https://twitter.com/realfantomas/status/1567901755081654272</v>
      </c>
      <c r="AA25" s="76"/>
      <c r="AB25" s="76"/>
      <c r="AC25" s="81" t="s">
        <v>1248</v>
      </c>
      <c r="AD25" s="76"/>
      <c r="AE25" s="76" t="b">
        <v>0</v>
      </c>
      <c r="AF25" s="76">
        <v>0</v>
      </c>
      <c r="AG25" s="81" t="s">
        <v>1674</v>
      </c>
      <c r="AH25" s="76" t="b">
        <v>0</v>
      </c>
      <c r="AI25" s="76" t="s">
        <v>1774</v>
      </c>
      <c r="AJ25" s="76"/>
      <c r="AK25" s="81" t="s">
        <v>1674</v>
      </c>
      <c r="AL25" s="76" t="b">
        <v>0</v>
      </c>
      <c r="AM25" s="76">
        <v>2</v>
      </c>
      <c r="AN25" s="81" t="s">
        <v>1254</v>
      </c>
      <c r="AO25" s="81" t="s">
        <v>1808</v>
      </c>
      <c r="AP25" s="76" t="b">
        <v>0</v>
      </c>
      <c r="AQ25" s="81" t="s">
        <v>1254</v>
      </c>
      <c r="AR25" s="76" t="s">
        <v>219</v>
      </c>
      <c r="AS25" s="76">
        <v>0</v>
      </c>
      <c r="AT25" s="76">
        <v>0</v>
      </c>
      <c r="AU25" s="76"/>
      <c r="AV25" s="76"/>
      <c r="AW25" s="76"/>
      <c r="AX25" s="76"/>
      <c r="AY25" s="76"/>
      <c r="AZ25" s="76"/>
      <c r="BA25" s="76"/>
      <c r="BB25" s="76"/>
      <c r="BC25">
        <v>1</v>
      </c>
      <c r="BD25" s="75" t="str">
        <f>REPLACE(INDEX(GroupVertices[Group],MATCH(Edges25[[#This Row],[Vertex 1]],GroupVertices[Vertex],0)),1,1,"")</f>
        <v>19</v>
      </c>
      <c r="BE25" s="75" t="str">
        <f>REPLACE(INDEX(GroupVertices[Group],MATCH(Edges25[[#This Row],[Vertex 2]],GroupVertices[Vertex],0)),1,1,"")</f>
        <v>19</v>
      </c>
      <c r="BF25" s="45">
        <v>0</v>
      </c>
      <c r="BG25" s="46">
        <v>0</v>
      </c>
      <c r="BH25" s="45">
        <v>0</v>
      </c>
      <c r="BI25" s="46">
        <v>0</v>
      </c>
      <c r="BJ25" s="45">
        <v>0</v>
      </c>
      <c r="BK25" s="46">
        <v>0</v>
      </c>
      <c r="BL25" s="45">
        <v>34</v>
      </c>
      <c r="BM25" s="46">
        <v>100</v>
      </c>
      <c r="BN25" s="45">
        <v>34</v>
      </c>
    </row>
    <row r="26" spans="1:66" ht="15">
      <c r="A26" s="61" t="s">
        <v>276</v>
      </c>
      <c r="B26" s="61" t="s">
        <v>463</v>
      </c>
      <c r="C26" s="62"/>
      <c r="D26" s="63"/>
      <c r="E26" s="62"/>
      <c r="F26" s="65"/>
      <c r="G26" s="62"/>
      <c r="H26" s="66"/>
      <c r="I26" s="67"/>
      <c r="J26" s="67"/>
      <c r="K26" s="31" t="s">
        <v>65</v>
      </c>
      <c r="L26" s="68">
        <v>58</v>
      </c>
      <c r="M26" s="68"/>
      <c r="N26" s="69"/>
      <c r="O26" s="76" t="s">
        <v>587</v>
      </c>
      <c r="P26" s="78">
        <v>44812.664189814815</v>
      </c>
      <c r="Q26" s="76" t="s">
        <v>608</v>
      </c>
      <c r="R26" s="76"/>
      <c r="S26" s="76"/>
      <c r="T26" s="81" t="s">
        <v>806</v>
      </c>
      <c r="U26" s="76"/>
      <c r="V26" s="79" t="str">
        <f>HYPERLINK("https://pbs.twimg.com/profile_images/1507020421836808193/Bv1yFFuF_normal.jpg")</f>
        <v>https://pbs.twimg.com/profile_images/1507020421836808193/Bv1yFFuF_normal.jpg</v>
      </c>
      <c r="W26" s="78">
        <v>44812.664189814815</v>
      </c>
      <c r="X26" s="84">
        <v>44812</v>
      </c>
      <c r="Y26" s="81" t="s">
        <v>918</v>
      </c>
      <c r="Z26" s="79" t="str">
        <f>HYPERLINK("https://twitter.com/miky3881/status/1567904706206515200")</f>
        <v>https://twitter.com/miky3881/status/1567904706206515200</v>
      </c>
      <c r="AA26" s="76"/>
      <c r="AB26" s="76"/>
      <c r="AC26" s="81" t="s">
        <v>1249</v>
      </c>
      <c r="AD26" s="81" t="s">
        <v>1574</v>
      </c>
      <c r="AE26" s="76" t="b">
        <v>0</v>
      </c>
      <c r="AF26" s="76">
        <v>4</v>
      </c>
      <c r="AG26" s="81" t="s">
        <v>1684</v>
      </c>
      <c r="AH26" s="76" t="b">
        <v>0</v>
      </c>
      <c r="AI26" s="76" t="s">
        <v>1776</v>
      </c>
      <c r="AJ26" s="76"/>
      <c r="AK26" s="81" t="s">
        <v>1674</v>
      </c>
      <c r="AL26" s="76" t="b">
        <v>0</v>
      </c>
      <c r="AM26" s="76">
        <v>0</v>
      </c>
      <c r="AN26" s="81" t="s">
        <v>1674</v>
      </c>
      <c r="AO26" s="81" t="s">
        <v>1810</v>
      </c>
      <c r="AP26" s="76" t="b">
        <v>0</v>
      </c>
      <c r="AQ26" s="81" t="s">
        <v>1574</v>
      </c>
      <c r="AR26" s="76" t="s">
        <v>219</v>
      </c>
      <c r="AS26" s="76">
        <v>0</v>
      </c>
      <c r="AT26" s="76">
        <v>0</v>
      </c>
      <c r="AU26" s="76"/>
      <c r="AV26" s="76"/>
      <c r="AW26" s="76"/>
      <c r="AX26" s="76"/>
      <c r="AY26" s="76"/>
      <c r="AZ26" s="76"/>
      <c r="BA26" s="76"/>
      <c r="BB26" s="76"/>
      <c r="BC26">
        <v>1</v>
      </c>
      <c r="BD26" s="75" t="str">
        <f>REPLACE(INDEX(GroupVertices[Group],MATCH(Edges25[[#This Row],[Vertex 1]],GroupVertices[Vertex],0)),1,1,"")</f>
        <v>57</v>
      </c>
      <c r="BE26" s="75" t="str">
        <f>REPLACE(INDEX(GroupVertices[Group],MATCH(Edges25[[#This Row],[Vertex 2]],GroupVertices[Vertex],0)),1,1,"")</f>
        <v>57</v>
      </c>
      <c r="BF26" s="45">
        <v>0</v>
      </c>
      <c r="BG26" s="46">
        <v>0</v>
      </c>
      <c r="BH26" s="45">
        <v>0</v>
      </c>
      <c r="BI26" s="46">
        <v>0</v>
      </c>
      <c r="BJ26" s="45">
        <v>0</v>
      </c>
      <c r="BK26" s="46">
        <v>0</v>
      </c>
      <c r="BL26" s="45">
        <v>33</v>
      </c>
      <c r="BM26" s="46">
        <v>100</v>
      </c>
      <c r="BN26" s="45">
        <v>33</v>
      </c>
    </row>
    <row r="27" spans="1:66" ht="15">
      <c r="A27" s="61" t="s">
        <v>277</v>
      </c>
      <c r="B27" s="61" t="s">
        <v>464</v>
      </c>
      <c r="C27" s="62"/>
      <c r="D27" s="63"/>
      <c r="E27" s="62"/>
      <c r="F27" s="65"/>
      <c r="G27" s="62"/>
      <c r="H27" s="66"/>
      <c r="I27" s="67"/>
      <c r="J27" s="67"/>
      <c r="K27" s="31" t="s">
        <v>65</v>
      </c>
      <c r="L27" s="68">
        <v>59</v>
      </c>
      <c r="M27" s="68"/>
      <c r="N27" s="69"/>
      <c r="O27" s="76" t="s">
        <v>587</v>
      </c>
      <c r="P27" s="78">
        <v>44812.71675925926</v>
      </c>
      <c r="Q27" s="76" t="s">
        <v>609</v>
      </c>
      <c r="R27" s="76"/>
      <c r="S27" s="76"/>
      <c r="T27" s="81" t="s">
        <v>795</v>
      </c>
      <c r="U27" s="76"/>
      <c r="V27" s="79" t="str">
        <f>HYPERLINK("https://pbs.twimg.com/profile_images/1568323910650707968/_BKm3e_r_normal.jpg")</f>
        <v>https://pbs.twimg.com/profile_images/1568323910650707968/_BKm3e_r_normal.jpg</v>
      </c>
      <c r="W27" s="78">
        <v>44812.71675925926</v>
      </c>
      <c r="X27" s="84">
        <v>44812</v>
      </c>
      <c r="Y27" s="81" t="s">
        <v>919</v>
      </c>
      <c r="Z27" s="79" t="str">
        <f>HYPERLINK("https://twitter.com/poseidon325_/status/1567923755959349258")</f>
        <v>https://twitter.com/poseidon325_/status/1567923755959349258</v>
      </c>
      <c r="AA27" s="76"/>
      <c r="AB27" s="76"/>
      <c r="AC27" s="81" t="s">
        <v>1250</v>
      </c>
      <c r="AD27" s="81" t="s">
        <v>1575</v>
      </c>
      <c r="AE27" s="76" t="b">
        <v>0</v>
      </c>
      <c r="AF27" s="76">
        <v>0</v>
      </c>
      <c r="AG27" s="81" t="s">
        <v>1685</v>
      </c>
      <c r="AH27" s="76" t="b">
        <v>0</v>
      </c>
      <c r="AI27" s="76" t="s">
        <v>1773</v>
      </c>
      <c r="AJ27" s="76"/>
      <c r="AK27" s="81" t="s">
        <v>1674</v>
      </c>
      <c r="AL27" s="76" t="b">
        <v>0</v>
      </c>
      <c r="AM27" s="76">
        <v>0</v>
      </c>
      <c r="AN27" s="81" t="s">
        <v>1674</v>
      </c>
      <c r="AO27" s="81" t="s">
        <v>1807</v>
      </c>
      <c r="AP27" s="76" t="b">
        <v>0</v>
      </c>
      <c r="AQ27" s="81" t="s">
        <v>1575</v>
      </c>
      <c r="AR27" s="76" t="s">
        <v>219</v>
      </c>
      <c r="AS27" s="76">
        <v>0</v>
      </c>
      <c r="AT27" s="76">
        <v>0</v>
      </c>
      <c r="AU27" s="76"/>
      <c r="AV27" s="76"/>
      <c r="AW27" s="76"/>
      <c r="AX27" s="76"/>
      <c r="AY27" s="76"/>
      <c r="AZ27" s="76"/>
      <c r="BA27" s="76"/>
      <c r="BB27" s="76"/>
      <c r="BC27">
        <v>1</v>
      </c>
      <c r="BD27" s="75" t="str">
        <f>REPLACE(INDEX(GroupVertices[Group],MATCH(Edges25[[#This Row],[Vertex 1]],GroupVertices[Vertex],0)),1,1,"")</f>
        <v>56</v>
      </c>
      <c r="BE27" s="75" t="str">
        <f>REPLACE(INDEX(GroupVertices[Group],MATCH(Edges25[[#This Row],[Vertex 2]],GroupVertices[Vertex],0)),1,1,"")</f>
        <v>56</v>
      </c>
      <c r="BF27" s="45">
        <v>0</v>
      </c>
      <c r="BG27" s="46">
        <v>0</v>
      </c>
      <c r="BH27" s="45">
        <v>0</v>
      </c>
      <c r="BI27" s="46">
        <v>0</v>
      </c>
      <c r="BJ27" s="45">
        <v>0</v>
      </c>
      <c r="BK27" s="46">
        <v>0</v>
      </c>
      <c r="BL27" s="45">
        <v>2</v>
      </c>
      <c r="BM27" s="46">
        <v>100</v>
      </c>
      <c r="BN27" s="45">
        <v>2</v>
      </c>
    </row>
    <row r="28" spans="1:66" ht="15">
      <c r="A28" s="61" t="s">
        <v>278</v>
      </c>
      <c r="B28" s="61" t="s">
        <v>278</v>
      </c>
      <c r="C28" s="62"/>
      <c r="D28" s="63"/>
      <c r="E28" s="62"/>
      <c r="F28" s="65"/>
      <c r="G28" s="62"/>
      <c r="H28" s="66"/>
      <c r="I28" s="67"/>
      <c r="J28" s="67"/>
      <c r="K28" s="31" t="s">
        <v>65</v>
      </c>
      <c r="L28" s="68">
        <v>60</v>
      </c>
      <c r="M28" s="68"/>
      <c r="N28" s="69"/>
      <c r="O28" s="76" t="s">
        <v>219</v>
      </c>
      <c r="P28" s="78">
        <v>44812.76280092593</v>
      </c>
      <c r="Q28" s="76" t="s">
        <v>610</v>
      </c>
      <c r="R28" s="76"/>
      <c r="S28" s="76"/>
      <c r="T28" s="81" t="s">
        <v>807</v>
      </c>
      <c r="U28" s="79" t="str">
        <f>HYPERLINK("https://pbs.twimg.com/ext_tw_video_thumb/1567940385816576000/pu/img/xIs4ewXCw7Ea4ljE.jpg")</f>
        <v>https://pbs.twimg.com/ext_tw_video_thumb/1567940385816576000/pu/img/xIs4ewXCw7Ea4ljE.jpg</v>
      </c>
      <c r="V28" s="79" t="str">
        <f>HYPERLINK("https://pbs.twimg.com/ext_tw_video_thumb/1567940385816576000/pu/img/xIs4ewXCw7Ea4ljE.jpg")</f>
        <v>https://pbs.twimg.com/ext_tw_video_thumb/1567940385816576000/pu/img/xIs4ewXCw7Ea4ljE.jpg</v>
      </c>
      <c r="W28" s="78">
        <v>44812.76280092593</v>
      </c>
      <c r="X28" s="84">
        <v>44812</v>
      </c>
      <c r="Y28" s="81" t="s">
        <v>920</v>
      </c>
      <c r="Z28" s="79" t="str">
        <f>HYPERLINK("https://twitter.com/saifullahalipti/status/1567940441689190400")</f>
        <v>https://twitter.com/saifullahalipti/status/1567940441689190400</v>
      </c>
      <c r="AA28" s="76"/>
      <c r="AB28" s="76"/>
      <c r="AC28" s="81" t="s">
        <v>1251</v>
      </c>
      <c r="AD28" s="76"/>
      <c r="AE28" s="76" t="b">
        <v>0</v>
      </c>
      <c r="AF28" s="76">
        <v>1</v>
      </c>
      <c r="AG28" s="81" t="s">
        <v>1674</v>
      </c>
      <c r="AH28" s="76" t="b">
        <v>0</v>
      </c>
      <c r="AI28" s="76" t="s">
        <v>1777</v>
      </c>
      <c r="AJ28" s="76"/>
      <c r="AK28" s="81" t="s">
        <v>1674</v>
      </c>
      <c r="AL28" s="76" t="b">
        <v>0</v>
      </c>
      <c r="AM28" s="76">
        <v>1</v>
      </c>
      <c r="AN28" s="81" t="s">
        <v>1674</v>
      </c>
      <c r="AO28" s="81" t="s">
        <v>1807</v>
      </c>
      <c r="AP28" s="76" t="b">
        <v>0</v>
      </c>
      <c r="AQ28" s="81" t="s">
        <v>1251</v>
      </c>
      <c r="AR28" s="76" t="s">
        <v>219</v>
      </c>
      <c r="AS28" s="76">
        <v>0</v>
      </c>
      <c r="AT28" s="76">
        <v>0</v>
      </c>
      <c r="AU28" s="76" t="s">
        <v>1812</v>
      </c>
      <c r="AV28" s="76" t="s">
        <v>1813</v>
      </c>
      <c r="AW28" s="76" t="s">
        <v>1814</v>
      </c>
      <c r="AX28" s="76" t="s">
        <v>1815</v>
      </c>
      <c r="AY28" s="76" t="s">
        <v>1816</v>
      </c>
      <c r="AZ28" s="76" t="s">
        <v>1815</v>
      </c>
      <c r="BA28" s="76" t="s">
        <v>1817</v>
      </c>
      <c r="BB28" s="79" t="str">
        <f>HYPERLINK("https://api.twitter.com/1.1/geo/id/7589e3f2b73287da.json")</f>
        <v>https://api.twitter.com/1.1/geo/id/7589e3f2b73287da.json</v>
      </c>
      <c r="BC28">
        <v>1</v>
      </c>
      <c r="BD28" s="75" t="str">
        <f>REPLACE(INDEX(GroupVertices[Group],MATCH(Edges25[[#This Row],[Vertex 1]],GroupVertices[Vertex],0)),1,1,"")</f>
        <v>55</v>
      </c>
      <c r="BE28" s="75" t="str">
        <f>REPLACE(INDEX(GroupVertices[Group],MATCH(Edges25[[#This Row],[Vertex 2]],GroupVertices[Vertex],0)),1,1,"")</f>
        <v>55</v>
      </c>
      <c r="BF28" s="45">
        <v>0</v>
      </c>
      <c r="BG28" s="46">
        <v>0</v>
      </c>
      <c r="BH28" s="45">
        <v>0</v>
      </c>
      <c r="BI28" s="46">
        <v>0</v>
      </c>
      <c r="BJ28" s="45">
        <v>0</v>
      </c>
      <c r="BK28" s="46">
        <v>0</v>
      </c>
      <c r="BL28" s="45">
        <v>7</v>
      </c>
      <c r="BM28" s="46">
        <v>100</v>
      </c>
      <c r="BN28" s="45">
        <v>7</v>
      </c>
    </row>
    <row r="29" spans="1:66" ht="15">
      <c r="A29" s="61" t="s">
        <v>279</v>
      </c>
      <c r="B29" s="61" t="s">
        <v>278</v>
      </c>
      <c r="C29" s="62"/>
      <c r="D29" s="63"/>
      <c r="E29" s="62"/>
      <c r="F29" s="65"/>
      <c r="G29" s="62"/>
      <c r="H29" s="66"/>
      <c r="I29" s="67"/>
      <c r="J29" s="67"/>
      <c r="K29" s="31" t="s">
        <v>65</v>
      </c>
      <c r="L29" s="68">
        <v>61</v>
      </c>
      <c r="M29" s="68"/>
      <c r="N29" s="69"/>
      <c r="O29" s="76" t="s">
        <v>586</v>
      </c>
      <c r="P29" s="78">
        <v>44812.76349537037</v>
      </c>
      <c r="Q29" s="76" t="s">
        <v>610</v>
      </c>
      <c r="R29" s="76"/>
      <c r="S29" s="76"/>
      <c r="T29" s="81" t="s">
        <v>807</v>
      </c>
      <c r="U29" s="79" t="str">
        <f>HYPERLINK("https://pbs.twimg.com/ext_tw_video_thumb/1567940385816576000/pu/img/xIs4ewXCw7Ea4ljE.jpg")</f>
        <v>https://pbs.twimg.com/ext_tw_video_thumb/1567940385816576000/pu/img/xIs4ewXCw7Ea4ljE.jpg</v>
      </c>
      <c r="V29" s="79" t="str">
        <f>HYPERLINK("https://pbs.twimg.com/ext_tw_video_thumb/1567940385816576000/pu/img/xIs4ewXCw7Ea4ljE.jpg")</f>
        <v>https://pbs.twimg.com/ext_tw_video_thumb/1567940385816576000/pu/img/xIs4ewXCw7Ea4ljE.jpg</v>
      </c>
      <c r="W29" s="78">
        <v>44812.76349537037</v>
      </c>
      <c r="X29" s="84">
        <v>44812</v>
      </c>
      <c r="Y29" s="81" t="s">
        <v>921</v>
      </c>
      <c r="Z29" s="79" t="str">
        <f>HYPERLINK("https://twitter.com/dilkash_1/status/1567940692822949890")</f>
        <v>https://twitter.com/dilkash_1/status/1567940692822949890</v>
      </c>
      <c r="AA29" s="76"/>
      <c r="AB29" s="76"/>
      <c r="AC29" s="81" t="s">
        <v>1252</v>
      </c>
      <c r="AD29" s="76"/>
      <c r="AE29" s="76" t="b">
        <v>0</v>
      </c>
      <c r="AF29" s="76">
        <v>0</v>
      </c>
      <c r="AG29" s="81" t="s">
        <v>1674</v>
      </c>
      <c r="AH29" s="76" t="b">
        <v>0</v>
      </c>
      <c r="AI29" s="76" t="s">
        <v>1777</v>
      </c>
      <c r="AJ29" s="76"/>
      <c r="AK29" s="81" t="s">
        <v>1674</v>
      </c>
      <c r="AL29" s="76" t="b">
        <v>0</v>
      </c>
      <c r="AM29" s="76">
        <v>1</v>
      </c>
      <c r="AN29" s="81" t="s">
        <v>1251</v>
      </c>
      <c r="AO29" s="81" t="s">
        <v>1807</v>
      </c>
      <c r="AP29" s="76" t="b">
        <v>0</v>
      </c>
      <c r="AQ29" s="81" t="s">
        <v>1251</v>
      </c>
      <c r="AR29" s="76" t="s">
        <v>219</v>
      </c>
      <c r="AS29" s="76">
        <v>0</v>
      </c>
      <c r="AT29" s="76">
        <v>0</v>
      </c>
      <c r="AU29" s="76"/>
      <c r="AV29" s="76"/>
      <c r="AW29" s="76"/>
      <c r="AX29" s="76"/>
      <c r="AY29" s="76"/>
      <c r="AZ29" s="76"/>
      <c r="BA29" s="76"/>
      <c r="BB29" s="76"/>
      <c r="BC29">
        <v>1</v>
      </c>
      <c r="BD29" s="75" t="str">
        <f>REPLACE(INDEX(GroupVertices[Group],MATCH(Edges25[[#This Row],[Vertex 1]],GroupVertices[Vertex],0)),1,1,"")</f>
        <v>55</v>
      </c>
      <c r="BE29" s="75" t="str">
        <f>REPLACE(INDEX(GroupVertices[Group],MATCH(Edges25[[#This Row],[Vertex 2]],GroupVertices[Vertex],0)),1,1,"")</f>
        <v>55</v>
      </c>
      <c r="BF29" s="45">
        <v>0</v>
      </c>
      <c r="BG29" s="46">
        <v>0</v>
      </c>
      <c r="BH29" s="45">
        <v>0</v>
      </c>
      <c r="BI29" s="46">
        <v>0</v>
      </c>
      <c r="BJ29" s="45">
        <v>0</v>
      </c>
      <c r="BK29" s="46">
        <v>0</v>
      </c>
      <c r="BL29" s="45">
        <v>7</v>
      </c>
      <c r="BM29" s="46">
        <v>100</v>
      </c>
      <c r="BN29" s="45">
        <v>7</v>
      </c>
    </row>
    <row r="30" spans="1:66" ht="15">
      <c r="A30" s="61" t="s">
        <v>280</v>
      </c>
      <c r="B30" s="61" t="s">
        <v>280</v>
      </c>
      <c r="C30" s="62"/>
      <c r="D30" s="63"/>
      <c r="E30" s="62"/>
      <c r="F30" s="65"/>
      <c r="G30" s="62"/>
      <c r="H30" s="66"/>
      <c r="I30" s="67"/>
      <c r="J30" s="67"/>
      <c r="K30" s="31" t="s">
        <v>65</v>
      </c>
      <c r="L30" s="68">
        <v>62</v>
      </c>
      <c r="M30" s="68"/>
      <c r="N30" s="69"/>
      <c r="O30" s="76" t="s">
        <v>219</v>
      </c>
      <c r="P30" s="78">
        <v>44812.31747685185</v>
      </c>
      <c r="Q30" s="76" t="s">
        <v>602</v>
      </c>
      <c r="R30" s="76"/>
      <c r="S30" s="76"/>
      <c r="T30" s="81" t="s">
        <v>802</v>
      </c>
      <c r="U30" s="79" t="str">
        <f>HYPERLINK("https://pbs.twimg.com/media/FcHevsMXkAEnkIC.jpg")</f>
        <v>https://pbs.twimg.com/media/FcHevsMXkAEnkIC.jpg</v>
      </c>
      <c r="V30" s="79" t="str">
        <f>HYPERLINK("https://pbs.twimg.com/media/FcHevsMXkAEnkIC.jpg")</f>
        <v>https://pbs.twimg.com/media/FcHevsMXkAEnkIC.jpg</v>
      </c>
      <c r="W30" s="78">
        <v>44812.31747685185</v>
      </c>
      <c r="X30" s="84">
        <v>44812</v>
      </c>
      <c r="Y30" s="81" t="s">
        <v>922</v>
      </c>
      <c r="Z30" s="79" t="str">
        <f>HYPERLINK("https://twitter.com/stegnerralle/status/1567779061618843648")</f>
        <v>https://twitter.com/stegnerralle/status/1567779061618843648</v>
      </c>
      <c r="AA30" s="76"/>
      <c r="AB30" s="76"/>
      <c r="AC30" s="81" t="s">
        <v>1253</v>
      </c>
      <c r="AD30" s="76"/>
      <c r="AE30" s="76" t="b">
        <v>0</v>
      </c>
      <c r="AF30" s="76">
        <v>2</v>
      </c>
      <c r="AG30" s="81" t="s">
        <v>1674</v>
      </c>
      <c r="AH30" s="76" t="b">
        <v>0</v>
      </c>
      <c r="AI30" s="76" t="s">
        <v>1774</v>
      </c>
      <c r="AJ30" s="76"/>
      <c r="AK30" s="81" t="s">
        <v>1674</v>
      </c>
      <c r="AL30" s="76" t="b">
        <v>0</v>
      </c>
      <c r="AM30" s="76">
        <v>2</v>
      </c>
      <c r="AN30" s="81" t="s">
        <v>1674</v>
      </c>
      <c r="AO30" s="81" t="s">
        <v>1807</v>
      </c>
      <c r="AP30" s="76" t="b">
        <v>0</v>
      </c>
      <c r="AQ30" s="81" t="s">
        <v>1253</v>
      </c>
      <c r="AR30" s="76" t="s">
        <v>219</v>
      </c>
      <c r="AS30" s="76">
        <v>0</v>
      </c>
      <c r="AT30" s="76">
        <v>0</v>
      </c>
      <c r="AU30" s="76"/>
      <c r="AV30" s="76"/>
      <c r="AW30" s="76"/>
      <c r="AX30" s="76"/>
      <c r="AY30" s="76"/>
      <c r="AZ30" s="76"/>
      <c r="BA30" s="76"/>
      <c r="BB30" s="76"/>
      <c r="BC30">
        <v>2</v>
      </c>
      <c r="BD30" s="75" t="str">
        <f>REPLACE(INDEX(GroupVertices[Group],MATCH(Edges25[[#This Row],[Vertex 1]],GroupVertices[Vertex],0)),1,1,"")</f>
        <v>19</v>
      </c>
      <c r="BE30" s="75" t="str">
        <f>REPLACE(INDEX(GroupVertices[Group],MATCH(Edges25[[#This Row],[Vertex 2]],GroupVertices[Vertex],0)),1,1,"")</f>
        <v>19</v>
      </c>
      <c r="BF30" s="45">
        <v>0</v>
      </c>
      <c r="BG30" s="46">
        <v>0</v>
      </c>
      <c r="BH30" s="45">
        <v>2</v>
      </c>
      <c r="BI30" s="46">
        <v>7.407407407407407</v>
      </c>
      <c r="BJ30" s="45">
        <v>0</v>
      </c>
      <c r="BK30" s="46">
        <v>0</v>
      </c>
      <c r="BL30" s="45">
        <v>25</v>
      </c>
      <c r="BM30" s="46">
        <v>92.5925925925926</v>
      </c>
      <c r="BN30" s="45">
        <v>27</v>
      </c>
    </row>
    <row r="31" spans="1:66" ht="15">
      <c r="A31" s="61" t="s">
        <v>280</v>
      </c>
      <c r="B31" s="61" t="s">
        <v>280</v>
      </c>
      <c r="C31" s="62"/>
      <c r="D31" s="63"/>
      <c r="E31" s="62"/>
      <c r="F31" s="65"/>
      <c r="G31" s="62"/>
      <c r="H31" s="66"/>
      <c r="I31" s="67"/>
      <c r="J31" s="67"/>
      <c r="K31" s="31" t="s">
        <v>65</v>
      </c>
      <c r="L31" s="68">
        <v>63</v>
      </c>
      <c r="M31" s="68"/>
      <c r="N31" s="69"/>
      <c r="O31" s="76" t="s">
        <v>219</v>
      </c>
      <c r="P31" s="78">
        <v>44812.33613425926</v>
      </c>
      <c r="Q31" s="76" t="s">
        <v>607</v>
      </c>
      <c r="R31" s="76"/>
      <c r="S31" s="76"/>
      <c r="T31" s="81" t="s">
        <v>805</v>
      </c>
      <c r="U31" s="79" t="str">
        <f>HYPERLINK("https://pbs.twimg.com/media/FcHk5KpX0AER_Nj.jpg")</f>
        <v>https://pbs.twimg.com/media/FcHk5KpX0AER_Nj.jpg</v>
      </c>
      <c r="V31" s="79" t="str">
        <f>HYPERLINK("https://pbs.twimg.com/media/FcHk5KpX0AER_Nj.jpg")</f>
        <v>https://pbs.twimg.com/media/FcHk5KpX0AER_Nj.jpg</v>
      </c>
      <c r="W31" s="78">
        <v>44812.33613425926</v>
      </c>
      <c r="X31" s="84">
        <v>44812</v>
      </c>
      <c r="Y31" s="81" t="s">
        <v>923</v>
      </c>
      <c r="Z31" s="79" t="str">
        <f>HYPERLINK("https://twitter.com/stegnerralle/status/1567785821926735877")</f>
        <v>https://twitter.com/stegnerralle/status/1567785821926735877</v>
      </c>
      <c r="AA31" s="76"/>
      <c r="AB31" s="76"/>
      <c r="AC31" s="81" t="s">
        <v>1254</v>
      </c>
      <c r="AD31" s="76"/>
      <c r="AE31" s="76" t="b">
        <v>0</v>
      </c>
      <c r="AF31" s="76">
        <v>6</v>
      </c>
      <c r="AG31" s="81" t="s">
        <v>1674</v>
      </c>
      <c r="AH31" s="76" t="b">
        <v>0</v>
      </c>
      <c r="AI31" s="76" t="s">
        <v>1774</v>
      </c>
      <c r="AJ31" s="76"/>
      <c r="AK31" s="81" t="s">
        <v>1674</v>
      </c>
      <c r="AL31" s="76" t="b">
        <v>0</v>
      </c>
      <c r="AM31" s="76">
        <v>2</v>
      </c>
      <c r="AN31" s="81" t="s">
        <v>1674</v>
      </c>
      <c r="AO31" s="81" t="s">
        <v>1807</v>
      </c>
      <c r="AP31" s="76" t="b">
        <v>0</v>
      </c>
      <c r="AQ31" s="81" t="s">
        <v>1254</v>
      </c>
      <c r="AR31" s="76" t="s">
        <v>219</v>
      </c>
      <c r="AS31" s="76">
        <v>0</v>
      </c>
      <c r="AT31" s="76">
        <v>0</v>
      </c>
      <c r="AU31" s="76"/>
      <c r="AV31" s="76"/>
      <c r="AW31" s="76"/>
      <c r="AX31" s="76"/>
      <c r="AY31" s="76"/>
      <c r="AZ31" s="76"/>
      <c r="BA31" s="76"/>
      <c r="BB31" s="76"/>
      <c r="BC31">
        <v>2</v>
      </c>
      <c r="BD31" s="75" t="str">
        <f>REPLACE(INDEX(GroupVertices[Group],MATCH(Edges25[[#This Row],[Vertex 1]],GroupVertices[Vertex],0)),1,1,"")</f>
        <v>19</v>
      </c>
      <c r="BE31" s="75" t="str">
        <f>REPLACE(INDEX(GroupVertices[Group],MATCH(Edges25[[#This Row],[Vertex 2]],GroupVertices[Vertex],0)),1,1,"")</f>
        <v>19</v>
      </c>
      <c r="BF31" s="45">
        <v>0</v>
      </c>
      <c r="BG31" s="46">
        <v>0</v>
      </c>
      <c r="BH31" s="45">
        <v>0</v>
      </c>
      <c r="BI31" s="46">
        <v>0</v>
      </c>
      <c r="BJ31" s="45">
        <v>0</v>
      </c>
      <c r="BK31" s="46">
        <v>0</v>
      </c>
      <c r="BL31" s="45">
        <v>34</v>
      </c>
      <c r="BM31" s="46">
        <v>100</v>
      </c>
      <c r="BN31" s="45">
        <v>34</v>
      </c>
    </row>
    <row r="32" spans="1:66" ht="15">
      <c r="A32" s="61" t="s">
        <v>281</v>
      </c>
      <c r="B32" s="61" t="s">
        <v>280</v>
      </c>
      <c r="C32" s="62"/>
      <c r="D32" s="63"/>
      <c r="E32" s="62"/>
      <c r="F32" s="65"/>
      <c r="G32" s="62"/>
      <c r="H32" s="66"/>
      <c r="I32" s="67"/>
      <c r="J32" s="67"/>
      <c r="K32" s="31" t="s">
        <v>65</v>
      </c>
      <c r="L32" s="68">
        <v>64</v>
      </c>
      <c r="M32" s="68"/>
      <c r="N32" s="69"/>
      <c r="O32" s="76" t="s">
        <v>586</v>
      </c>
      <c r="P32" s="78">
        <v>44812.81762731481</v>
      </c>
      <c r="Q32" s="76" t="s">
        <v>607</v>
      </c>
      <c r="R32" s="76"/>
      <c r="S32" s="76"/>
      <c r="T32" s="81" t="s">
        <v>805</v>
      </c>
      <c r="U32" s="79" t="str">
        <f>HYPERLINK("https://pbs.twimg.com/media/FcHk5KpX0AER_Nj.jpg")</f>
        <v>https://pbs.twimg.com/media/FcHk5KpX0AER_Nj.jpg</v>
      </c>
      <c r="V32" s="79" t="str">
        <f>HYPERLINK("https://pbs.twimg.com/media/FcHk5KpX0AER_Nj.jpg")</f>
        <v>https://pbs.twimg.com/media/FcHk5KpX0AER_Nj.jpg</v>
      </c>
      <c r="W32" s="78">
        <v>44812.81762731481</v>
      </c>
      <c r="X32" s="84">
        <v>44812</v>
      </c>
      <c r="Y32" s="81" t="s">
        <v>924</v>
      </c>
      <c r="Z32" s="79" t="str">
        <f>HYPERLINK("https://twitter.com/achguck/status/1567960310459383810")</f>
        <v>https://twitter.com/achguck/status/1567960310459383810</v>
      </c>
      <c r="AA32" s="76"/>
      <c r="AB32" s="76"/>
      <c r="AC32" s="81" t="s">
        <v>1255</v>
      </c>
      <c r="AD32" s="76"/>
      <c r="AE32" s="76" t="b">
        <v>0</v>
      </c>
      <c r="AF32" s="76">
        <v>0</v>
      </c>
      <c r="AG32" s="81" t="s">
        <v>1674</v>
      </c>
      <c r="AH32" s="76" t="b">
        <v>0</v>
      </c>
      <c r="AI32" s="76" t="s">
        <v>1774</v>
      </c>
      <c r="AJ32" s="76"/>
      <c r="AK32" s="81" t="s">
        <v>1674</v>
      </c>
      <c r="AL32" s="76" t="b">
        <v>0</v>
      </c>
      <c r="AM32" s="76">
        <v>2</v>
      </c>
      <c r="AN32" s="81" t="s">
        <v>1254</v>
      </c>
      <c r="AO32" s="81" t="s">
        <v>1808</v>
      </c>
      <c r="AP32" s="76" t="b">
        <v>0</v>
      </c>
      <c r="AQ32" s="81" t="s">
        <v>1254</v>
      </c>
      <c r="AR32" s="76" t="s">
        <v>219</v>
      </c>
      <c r="AS32" s="76">
        <v>0</v>
      </c>
      <c r="AT32" s="76">
        <v>0</v>
      </c>
      <c r="AU32" s="76"/>
      <c r="AV32" s="76"/>
      <c r="AW32" s="76"/>
      <c r="AX32" s="76"/>
      <c r="AY32" s="76"/>
      <c r="AZ32" s="76"/>
      <c r="BA32" s="76"/>
      <c r="BB32" s="76"/>
      <c r="BC32">
        <v>1</v>
      </c>
      <c r="BD32" s="75" t="str">
        <f>REPLACE(INDEX(GroupVertices[Group],MATCH(Edges25[[#This Row],[Vertex 1]],GroupVertices[Vertex],0)),1,1,"")</f>
        <v>19</v>
      </c>
      <c r="BE32" s="75" t="str">
        <f>REPLACE(INDEX(GroupVertices[Group],MATCH(Edges25[[#This Row],[Vertex 2]],GroupVertices[Vertex],0)),1,1,"")</f>
        <v>19</v>
      </c>
      <c r="BF32" s="45">
        <v>0</v>
      </c>
      <c r="BG32" s="46">
        <v>0</v>
      </c>
      <c r="BH32" s="45">
        <v>0</v>
      </c>
      <c r="BI32" s="46">
        <v>0</v>
      </c>
      <c r="BJ32" s="45">
        <v>0</v>
      </c>
      <c r="BK32" s="46">
        <v>0</v>
      </c>
      <c r="BL32" s="45">
        <v>34</v>
      </c>
      <c r="BM32" s="46">
        <v>100</v>
      </c>
      <c r="BN32" s="45">
        <v>34</v>
      </c>
    </row>
    <row r="33" spans="1:66" ht="15">
      <c r="A33" s="61" t="s">
        <v>282</v>
      </c>
      <c r="B33" s="61" t="s">
        <v>460</v>
      </c>
      <c r="C33" s="62"/>
      <c r="D33" s="63"/>
      <c r="E33" s="62"/>
      <c r="F33" s="65"/>
      <c r="G33" s="62"/>
      <c r="H33" s="66"/>
      <c r="I33" s="67"/>
      <c r="J33" s="67"/>
      <c r="K33" s="31" t="s">
        <v>65</v>
      </c>
      <c r="L33" s="68">
        <v>65</v>
      </c>
      <c r="M33" s="68"/>
      <c r="N33" s="69"/>
      <c r="O33" s="76" t="s">
        <v>585</v>
      </c>
      <c r="P33" s="78">
        <v>44812.91364583333</v>
      </c>
      <c r="Q33" s="76" t="s">
        <v>589</v>
      </c>
      <c r="R33" s="76"/>
      <c r="S33" s="76"/>
      <c r="T33" s="81" t="s">
        <v>792</v>
      </c>
      <c r="U33" s="79" t="str">
        <f>HYPERLINK("https://pbs.twimg.com/media/Fb6ZZsqWYAUww3Q.jpg")</f>
        <v>https://pbs.twimg.com/media/Fb6ZZsqWYAUww3Q.jpg</v>
      </c>
      <c r="V33" s="79" t="str">
        <f>HYPERLINK("https://pbs.twimg.com/media/Fb6ZZsqWYAUww3Q.jpg")</f>
        <v>https://pbs.twimg.com/media/Fb6ZZsqWYAUww3Q.jpg</v>
      </c>
      <c r="W33" s="78">
        <v>44812.91364583333</v>
      </c>
      <c r="X33" s="84">
        <v>44812</v>
      </c>
      <c r="Y33" s="81" t="s">
        <v>925</v>
      </c>
      <c r="Z33" s="79" t="str">
        <f>HYPERLINK("https://twitter.com/myriamjerome/status/1567995103184318464")</f>
        <v>https://twitter.com/myriamjerome/status/1567995103184318464</v>
      </c>
      <c r="AA33" s="76"/>
      <c r="AB33" s="76"/>
      <c r="AC33" s="81" t="s">
        <v>1256</v>
      </c>
      <c r="AD33" s="76"/>
      <c r="AE33" s="76" t="b">
        <v>0</v>
      </c>
      <c r="AF33" s="76">
        <v>0</v>
      </c>
      <c r="AG33" s="81" t="s">
        <v>1674</v>
      </c>
      <c r="AH33" s="76" t="b">
        <v>0</v>
      </c>
      <c r="AI33" s="76" t="s">
        <v>1770</v>
      </c>
      <c r="AJ33" s="76"/>
      <c r="AK33" s="81" t="s">
        <v>1674</v>
      </c>
      <c r="AL33" s="76" t="b">
        <v>0</v>
      </c>
      <c r="AM33" s="76">
        <v>35</v>
      </c>
      <c r="AN33" s="81" t="s">
        <v>1303</v>
      </c>
      <c r="AO33" s="81" t="s">
        <v>1807</v>
      </c>
      <c r="AP33" s="76" t="b">
        <v>0</v>
      </c>
      <c r="AQ33" s="81" t="s">
        <v>1303</v>
      </c>
      <c r="AR33" s="76" t="s">
        <v>219</v>
      </c>
      <c r="AS33" s="76">
        <v>0</v>
      </c>
      <c r="AT33" s="76">
        <v>0</v>
      </c>
      <c r="AU33" s="76"/>
      <c r="AV33" s="76"/>
      <c r="AW33" s="76"/>
      <c r="AX33" s="76"/>
      <c r="AY33" s="76"/>
      <c r="AZ33" s="76"/>
      <c r="BA33" s="76"/>
      <c r="BB33" s="76"/>
      <c r="BC33">
        <v>1</v>
      </c>
      <c r="BD33" s="75" t="str">
        <f>REPLACE(INDEX(GroupVertices[Group],MATCH(Edges25[[#This Row],[Vertex 1]],GroupVertices[Vertex],0)),1,1,"")</f>
        <v>10</v>
      </c>
      <c r="BE33" s="75" t="str">
        <f>REPLACE(INDEX(GroupVertices[Group],MATCH(Edges25[[#This Row],[Vertex 2]],GroupVertices[Vertex],0)),1,1,"")</f>
        <v>10</v>
      </c>
      <c r="BF33" s="45"/>
      <c r="BG33" s="46"/>
      <c r="BH33" s="45"/>
      <c r="BI33" s="46"/>
      <c r="BJ33" s="45"/>
      <c r="BK33" s="46"/>
      <c r="BL33" s="45"/>
      <c r="BM33" s="46"/>
      <c r="BN33" s="45"/>
    </row>
    <row r="34" spans="1:66" ht="15">
      <c r="A34" s="61" t="s">
        <v>283</v>
      </c>
      <c r="B34" s="61" t="s">
        <v>311</v>
      </c>
      <c r="C34" s="62"/>
      <c r="D34" s="63"/>
      <c r="E34" s="62"/>
      <c r="F34" s="65"/>
      <c r="G34" s="62"/>
      <c r="H34" s="66"/>
      <c r="I34" s="67"/>
      <c r="J34" s="67"/>
      <c r="K34" s="31" t="s">
        <v>65</v>
      </c>
      <c r="L34" s="68">
        <v>69</v>
      </c>
      <c r="M34" s="68"/>
      <c r="N34" s="69"/>
      <c r="O34" s="76" t="s">
        <v>586</v>
      </c>
      <c r="P34" s="78">
        <v>44813.47939814815</v>
      </c>
      <c r="Q34" s="76" t="s">
        <v>611</v>
      </c>
      <c r="R34" s="76"/>
      <c r="S34" s="76"/>
      <c r="T34" s="81" t="s">
        <v>808</v>
      </c>
      <c r="U34" s="79" t="str">
        <f>HYPERLINK("https://pbs.twimg.com/ext_tw_video_thumb/1568199549256175617/pu/img/Ysr1rE83e5hn0twR.jpg")</f>
        <v>https://pbs.twimg.com/ext_tw_video_thumb/1568199549256175617/pu/img/Ysr1rE83e5hn0twR.jpg</v>
      </c>
      <c r="V34" s="79" t="str">
        <f>HYPERLINK("https://pbs.twimg.com/ext_tw_video_thumb/1568199549256175617/pu/img/Ysr1rE83e5hn0twR.jpg")</f>
        <v>https://pbs.twimg.com/ext_tw_video_thumb/1568199549256175617/pu/img/Ysr1rE83e5hn0twR.jpg</v>
      </c>
      <c r="W34" s="78">
        <v>44813.47939814815</v>
      </c>
      <c r="X34" s="84">
        <v>44813</v>
      </c>
      <c r="Y34" s="81" t="s">
        <v>926</v>
      </c>
      <c r="Z34" s="79" t="str">
        <f>HYPERLINK("https://twitter.com/betelabassa/status/1568200127340322816")</f>
        <v>https://twitter.com/betelabassa/status/1568200127340322816</v>
      </c>
      <c r="AA34" s="76"/>
      <c r="AB34" s="76"/>
      <c r="AC34" s="81" t="s">
        <v>1257</v>
      </c>
      <c r="AD34" s="76"/>
      <c r="AE34" s="76" t="b">
        <v>0</v>
      </c>
      <c r="AF34" s="76">
        <v>0</v>
      </c>
      <c r="AG34" s="81" t="s">
        <v>1674</v>
      </c>
      <c r="AH34" s="76" t="b">
        <v>0</v>
      </c>
      <c r="AI34" s="76" t="s">
        <v>1772</v>
      </c>
      <c r="AJ34" s="76"/>
      <c r="AK34" s="81" t="s">
        <v>1674</v>
      </c>
      <c r="AL34" s="76" t="b">
        <v>0</v>
      </c>
      <c r="AM34" s="76">
        <v>16</v>
      </c>
      <c r="AN34" s="81" t="s">
        <v>1295</v>
      </c>
      <c r="AO34" s="81" t="s">
        <v>1808</v>
      </c>
      <c r="AP34" s="76" t="b">
        <v>0</v>
      </c>
      <c r="AQ34" s="81" t="s">
        <v>1295</v>
      </c>
      <c r="AR34" s="76" t="s">
        <v>219</v>
      </c>
      <c r="AS34" s="76">
        <v>0</v>
      </c>
      <c r="AT34" s="76">
        <v>0</v>
      </c>
      <c r="AU34" s="76"/>
      <c r="AV34" s="76"/>
      <c r="AW34" s="76"/>
      <c r="AX34" s="76"/>
      <c r="AY34" s="76"/>
      <c r="AZ34" s="76"/>
      <c r="BA34" s="76"/>
      <c r="BB34" s="76"/>
      <c r="BC34">
        <v>1</v>
      </c>
      <c r="BD34" s="75" t="str">
        <f>REPLACE(INDEX(GroupVertices[Group],MATCH(Edges25[[#This Row],[Vertex 1]],GroupVertices[Vertex],0)),1,1,"")</f>
        <v>5</v>
      </c>
      <c r="BE34" s="75" t="str">
        <f>REPLACE(INDEX(GroupVertices[Group],MATCH(Edges25[[#This Row],[Vertex 2]],GroupVertices[Vertex],0)),1,1,"")</f>
        <v>5</v>
      </c>
      <c r="BF34" s="45">
        <v>1</v>
      </c>
      <c r="BG34" s="46">
        <v>2.5641025641025643</v>
      </c>
      <c r="BH34" s="45">
        <v>0</v>
      </c>
      <c r="BI34" s="46">
        <v>0</v>
      </c>
      <c r="BJ34" s="45">
        <v>0</v>
      </c>
      <c r="BK34" s="46">
        <v>0</v>
      </c>
      <c r="BL34" s="45">
        <v>38</v>
      </c>
      <c r="BM34" s="46">
        <v>97.43589743589743</v>
      </c>
      <c r="BN34" s="45">
        <v>39</v>
      </c>
    </row>
    <row r="35" spans="1:66" ht="15">
      <c r="A35" s="61" t="s">
        <v>284</v>
      </c>
      <c r="B35" s="61" t="s">
        <v>311</v>
      </c>
      <c r="C35" s="62"/>
      <c r="D35" s="63"/>
      <c r="E35" s="62"/>
      <c r="F35" s="65"/>
      <c r="G35" s="62"/>
      <c r="H35" s="66"/>
      <c r="I35" s="67"/>
      <c r="J35" s="67"/>
      <c r="K35" s="31" t="s">
        <v>65</v>
      </c>
      <c r="L35" s="68">
        <v>70</v>
      </c>
      <c r="M35" s="68"/>
      <c r="N35" s="69"/>
      <c r="O35" s="76" t="s">
        <v>586</v>
      </c>
      <c r="P35" s="78">
        <v>44813.48391203704</v>
      </c>
      <c r="Q35" s="76" t="s">
        <v>611</v>
      </c>
      <c r="R35" s="76"/>
      <c r="S35" s="76"/>
      <c r="T35" s="81" t="s">
        <v>808</v>
      </c>
      <c r="U35" s="79" t="str">
        <f>HYPERLINK("https://pbs.twimg.com/ext_tw_video_thumb/1568199549256175617/pu/img/Ysr1rE83e5hn0twR.jpg")</f>
        <v>https://pbs.twimg.com/ext_tw_video_thumb/1568199549256175617/pu/img/Ysr1rE83e5hn0twR.jpg</v>
      </c>
      <c r="V35" s="79" t="str">
        <f>HYPERLINK("https://pbs.twimg.com/ext_tw_video_thumb/1568199549256175617/pu/img/Ysr1rE83e5hn0twR.jpg")</f>
        <v>https://pbs.twimg.com/ext_tw_video_thumb/1568199549256175617/pu/img/Ysr1rE83e5hn0twR.jpg</v>
      </c>
      <c r="W35" s="78">
        <v>44813.48391203704</v>
      </c>
      <c r="X35" s="84">
        <v>44813</v>
      </c>
      <c r="Y35" s="81" t="s">
        <v>927</v>
      </c>
      <c r="Z35" s="79" t="str">
        <f>HYPERLINK("https://twitter.com/ruinin_football/status/1568201762321956868")</f>
        <v>https://twitter.com/ruinin_football/status/1568201762321956868</v>
      </c>
      <c r="AA35" s="76"/>
      <c r="AB35" s="76"/>
      <c r="AC35" s="81" t="s">
        <v>1258</v>
      </c>
      <c r="AD35" s="76"/>
      <c r="AE35" s="76" t="b">
        <v>0</v>
      </c>
      <c r="AF35" s="76">
        <v>0</v>
      </c>
      <c r="AG35" s="81" t="s">
        <v>1674</v>
      </c>
      <c r="AH35" s="76" t="b">
        <v>0</v>
      </c>
      <c r="AI35" s="76" t="s">
        <v>1772</v>
      </c>
      <c r="AJ35" s="76"/>
      <c r="AK35" s="81" t="s">
        <v>1674</v>
      </c>
      <c r="AL35" s="76" t="b">
        <v>0</v>
      </c>
      <c r="AM35" s="76">
        <v>16</v>
      </c>
      <c r="AN35" s="81" t="s">
        <v>1295</v>
      </c>
      <c r="AO35" s="81" t="s">
        <v>1807</v>
      </c>
      <c r="AP35" s="76" t="b">
        <v>0</v>
      </c>
      <c r="AQ35" s="81" t="s">
        <v>1295</v>
      </c>
      <c r="AR35" s="76" t="s">
        <v>219</v>
      </c>
      <c r="AS35" s="76">
        <v>0</v>
      </c>
      <c r="AT35" s="76">
        <v>0</v>
      </c>
      <c r="AU35" s="76"/>
      <c r="AV35" s="76"/>
      <c r="AW35" s="76"/>
      <c r="AX35" s="76"/>
      <c r="AY35" s="76"/>
      <c r="AZ35" s="76"/>
      <c r="BA35" s="76"/>
      <c r="BB35" s="76"/>
      <c r="BC35">
        <v>1</v>
      </c>
      <c r="BD35" s="75" t="str">
        <f>REPLACE(INDEX(GroupVertices[Group],MATCH(Edges25[[#This Row],[Vertex 1]],GroupVertices[Vertex],0)),1,1,"")</f>
        <v>5</v>
      </c>
      <c r="BE35" s="75" t="str">
        <f>REPLACE(INDEX(GroupVertices[Group],MATCH(Edges25[[#This Row],[Vertex 2]],GroupVertices[Vertex],0)),1,1,"")</f>
        <v>5</v>
      </c>
      <c r="BF35" s="45">
        <v>1</v>
      </c>
      <c r="BG35" s="46">
        <v>2.5641025641025643</v>
      </c>
      <c r="BH35" s="45">
        <v>0</v>
      </c>
      <c r="BI35" s="46">
        <v>0</v>
      </c>
      <c r="BJ35" s="45">
        <v>0</v>
      </c>
      <c r="BK35" s="46">
        <v>0</v>
      </c>
      <c r="BL35" s="45">
        <v>38</v>
      </c>
      <c r="BM35" s="46">
        <v>97.43589743589743</v>
      </c>
      <c r="BN35" s="45">
        <v>39</v>
      </c>
    </row>
    <row r="36" spans="1:66" ht="15">
      <c r="A36" s="61" t="s">
        <v>285</v>
      </c>
      <c r="B36" s="61" t="s">
        <v>465</v>
      </c>
      <c r="C36" s="62"/>
      <c r="D36" s="63"/>
      <c r="E36" s="62"/>
      <c r="F36" s="65"/>
      <c r="G36" s="62"/>
      <c r="H36" s="66"/>
      <c r="I36" s="67"/>
      <c r="J36" s="67"/>
      <c r="K36" s="31" t="s">
        <v>65</v>
      </c>
      <c r="L36" s="68">
        <v>71</v>
      </c>
      <c r="M36" s="68"/>
      <c r="N36" s="69"/>
      <c r="O36" s="76" t="s">
        <v>588</v>
      </c>
      <c r="P36" s="78">
        <v>44813.486759259256</v>
      </c>
      <c r="Q36" s="76" t="s">
        <v>612</v>
      </c>
      <c r="R36" s="79" t="str">
        <f>HYPERLINK("https://twitter.com/MelnykAndrij/status/1568195866107813888")</f>
        <v>https://twitter.com/MelnykAndrij/status/1568195866107813888</v>
      </c>
      <c r="S36" s="76" t="s">
        <v>783</v>
      </c>
      <c r="T36" s="81" t="s">
        <v>795</v>
      </c>
      <c r="U36" s="76"/>
      <c r="V36" s="79" t="str">
        <f>HYPERLINK("https://pbs.twimg.com/profile_images/1560524767714746368/vz7Iht4b_normal.jpg")</f>
        <v>https://pbs.twimg.com/profile_images/1560524767714746368/vz7Iht4b_normal.jpg</v>
      </c>
      <c r="W36" s="78">
        <v>44813.486759259256</v>
      </c>
      <c r="X36" s="84">
        <v>44813</v>
      </c>
      <c r="Y36" s="81" t="s">
        <v>928</v>
      </c>
      <c r="Z36" s="79" t="str">
        <f>HYPERLINK("https://twitter.com/sujall13/status/1568202791771930627")</f>
        <v>https://twitter.com/sujall13/status/1568202791771930627</v>
      </c>
      <c r="AA36" s="76"/>
      <c r="AB36" s="76"/>
      <c r="AC36" s="81" t="s">
        <v>1259</v>
      </c>
      <c r="AD36" s="76"/>
      <c r="AE36" s="76" t="b">
        <v>0</v>
      </c>
      <c r="AF36" s="76">
        <v>0</v>
      </c>
      <c r="AG36" s="81" t="s">
        <v>1674</v>
      </c>
      <c r="AH36" s="76" t="b">
        <v>1</v>
      </c>
      <c r="AI36" s="76" t="s">
        <v>1774</v>
      </c>
      <c r="AJ36" s="76"/>
      <c r="AK36" s="81" t="s">
        <v>1788</v>
      </c>
      <c r="AL36" s="76" t="b">
        <v>0</v>
      </c>
      <c r="AM36" s="76">
        <v>0</v>
      </c>
      <c r="AN36" s="81" t="s">
        <v>1674</v>
      </c>
      <c r="AO36" s="81" t="s">
        <v>1809</v>
      </c>
      <c r="AP36" s="76" t="b">
        <v>0</v>
      </c>
      <c r="AQ36" s="81" t="s">
        <v>1259</v>
      </c>
      <c r="AR36" s="76" t="s">
        <v>219</v>
      </c>
      <c r="AS36" s="76">
        <v>0</v>
      </c>
      <c r="AT36" s="76">
        <v>0</v>
      </c>
      <c r="AU36" s="76"/>
      <c r="AV36" s="76"/>
      <c r="AW36" s="76"/>
      <c r="AX36" s="76"/>
      <c r="AY36" s="76"/>
      <c r="AZ36" s="76"/>
      <c r="BA36" s="76"/>
      <c r="BB36" s="76"/>
      <c r="BC36">
        <v>1</v>
      </c>
      <c r="BD36" s="75" t="str">
        <f>REPLACE(INDEX(GroupVertices[Group],MATCH(Edges25[[#This Row],[Vertex 1]],GroupVertices[Vertex],0)),1,1,"")</f>
        <v>54</v>
      </c>
      <c r="BE36" s="75" t="str">
        <f>REPLACE(INDEX(GroupVertices[Group],MATCH(Edges25[[#This Row],[Vertex 2]],GroupVertices[Vertex],0)),1,1,"")</f>
        <v>54</v>
      </c>
      <c r="BF36" s="45">
        <v>0</v>
      </c>
      <c r="BG36" s="46">
        <v>0</v>
      </c>
      <c r="BH36" s="45">
        <v>0</v>
      </c>
      <c r="BI36" s="46">
        <v>0</v>
      </c>
      <c r="BJ36" s="45">
        <v>0</v>
      </c>
      <c r="BK36" s="46">
        <v>0</v>
      </c>
      <c r="BL36" s="45">
        <v>3</v>
      </c>
      <c r="BM36" s="46">
        <v>100</v>
      </c>
      <c r="BN36" s="45">
        <v>3</v>
      </c>
    </row>
    <row r="37" spans="1:66" ht="15">
      <c r="A37" s="61" t="s">
        <v>286</v>
      </c>
      <c r="B37" s="61" t="s">
        <v>311</v>
      </c>
      <c r="C37" s="62"/>
      <c r="D37" s="63"/>
      <c r="E37" s="62"/>
      <c r="F37" s="65"/>
      <c r="G37" s="62"/>
      <c r="H37" s="66"/>
      <c r="I37" s="67"/>
      <c r="J37" s="67"/>
      <c r="K37" s="31" t="s">
        <v>65</v>
      </c>
      <c r="L37" s="68">
        <v>72</v>
      </c>
      <c r="M37" s="68"/>
      <c r="N37" s="69"/>
      <c r="O37" s="76" t="s">
        <v>586</v>
      </c>
      <c r="P37" s="78">
        <v>44813.496458333335</v>
      </c>
      <c r="Q37" s="76" t="s">
        <v>611</v>
      </c>
      <c r="R37" s="76"/>
      <c r="S37" s="76"/>
      <c r="T37" s="81" t="s">
        <v>808</v>
      </c>
      <c r="U37" s="79" t="str">
        <f>HYPERLINK("https://pbs.twimg.com/ext_tw_video_thumb/1568199549256175617/pu/img/Ysr1rE83e5hn0twR.jpg")</f>
        <v>https://pbs.twimg.com/ext_tw_video_thumb/1568199549256175617/pu/img/Ysr1rE83e5hn0twR.jpg</v>
      </c>
      <c r="V37" s="79" t="str">
        <f>HYPERLINK("https://pbs.twimg.com/ext_tw_video_thumb/1568199549256175617/pu/img/Ysr1rE83e5hn0twR.jpg")</f>
        <v>https://pbs.twimg.com/ext_tw_video_thumb/1568199549256175617/pu/img/Ysr1rE83e5hn0twR.jpg</v>
      </c>
      <c r="W37" s="78">
        <v>44813.496458333335</v>
      </c>
      <c r="X37" s="84">
        <v>44813</v>
      </c>
      <c r="Y37" s="81" t="s">
        <v>929</v>
      </c>
      <c r="Z37" s="79" t="str">
        <f>HYPERLINK("https://twitter.com/mkebatu/status/1568206307953352706")</f>
        <v>https://twitter.com/mkebatu/status/1568206307953352706</v>
      </c>
      <c r="AA37" s="76"/>
      <c r="AB37" s="76"/>
      <c r="AC37" s="81" t="s">
        <v>1260</v>
      </c>
      <c r="AD37" s="76"/>
      <c r="AE37" s="76" t="b">
        <v>0</v>
      </c>
      <c r="AF37" s="76">
        <v>0</v>
      </c>
      <c r="AG37" s="81" t="s">
        <v>1674</v>
      </c>
      <c r="AH37" s="76" t="b">
        <v>0</v>
      </c>
      <c r="AI37" s="76" t="s">
        <v>1772</v>
      </c>
      <c r="AJ37" s="76"/>
      <c r="AK37" s="81" t="s">
        <v>1674</v>
      </c>
      <c r="AL37" s="76" t="b">
        <v>0</v>
      </c>
      <c r="AM37" s="76">
        <v>16</v>
      </c>
      <c r="AN37" s="81" t="s">
        <v>1295</v>
      </c>
      <c r="AO37" s="81" t="s">
        <v>1807</v>
      </c>
      <c r="AP37" s="76" t="b">
        <v>0</v>
      </c>
      <c r="AQ37" s="81" t="s">
        <v>1295</v>
      </c>
      <c r="AR37" s="76" t="s">
        <v>219</v>
      </c>
      <c r="AS37" s="76">
        <v>0</v>
      </c>
      <c r="AT37" s="76">
        <v>0</v>
      </c>
      <c r="AU37" s="76"/>
      <c r="AV37" s="76"/>
      <c r="AW37" s="76"/>
      <c r="AX37" s="76"/>
      <c r="AY37" s="76"/>
      <c r="AZ37" s="76"/>
      <c r="BA37" s="76"/>
      <c r="BB37" s="76"/>
      <c r="BC37">
        <v>1</v>
      </c>
      <c r="BD37" s="75" t="str">
        <f>REPLACE(INDEX(GroupVertices[Group],MATCH(Edges25[[#This Row],[Vertex 1]],GroupVertices[Vertex],0)),1,1,"")</f>
        <v>5</v>
      </c>
      <c r="BE37" s="75" t="str">
        <f>REPLACE(INDEX(GroupVertices[Group],MATCH(Edges25[[#This Row],[Vertex 2]],GroupVertices[Vertex],0)),1,1,"")</f>
        <v>5</v>
      </c>
      <c r="BF37" s="45">
        <v>1</v>
      </c>
      <c r="BG37" s="46">
        <v>2.5641025641025643</v>
      </c>
      <c r="BH37" s="45">
        <v>0</v>
      </c>
      <c r="BI37" s="46">
        <v>0</v>
      </c>
      <c r="BJ37" s="45">
        <v>0</v>
      </c>
      <c r="BK37" s="46">
        <v>0</v>
      </c>
      <c r="BL37" s="45">
        <v>38</v>
      </c>
      <c r="BM37" s="46">
        <v>97.43589743589743</v>
      </c>
      <c r="BN37" s="45">
        <v>39</v>
      </c>
    </row>
    <row r="38" spans="1:66" ht="15">
      <c r="A38" s="61" t="s">
        <v>287</v>
      </c>
      <c r="B38" s="61" t="s">
        <v>311</v>
      </c>
      <c r="C38" s="62"/>
      <c r="D38" s="63"/>
      <c r="E38" s="62"/>
      <c r="F38" s="65"/>
      <c r="G38" s="62"/>
      <c r="H38" s="66"/>
      <c r="I38" s="67"/>
      <c r="J38" s="67"/>
      <c r="K38" s="31" t="s">
        <v>65</v>
      </c>
      <c r="L38" s="68">
        <v>73</v>
      </c>
      <c r="M38" s="68"/>
      <c r="N38" s="69"/>
      <c r="O38" s="76" t="s">
        <v>586</v>
      </c>
      <c r="P38" s="78">
        <v>44813.497349537036</v>
      </c>
      <c r="Q38" s="76" t="s">
        <v>611</v>
      </c>
      <c r="R38" s="76"/>
      <c r="S38" s="76"/>
      <c r="T38" s="81" t="s">
        <v>808</v>
      </c>
      <c r="U38" s="79" t="str">
        <f>HYPERLINK("https://pbs.twimg.com/ext_tw_video_thumb/1568199549256175617/pu/img/Ysr1rE83e5hn0twR.jpg")</f>
        <v>https://pbs.twimg.com/ext_tw_video_thumb/1568199549256175617/pu/img/Ysr1rE83e5hn0twR.jpg</v>
      </c>
      <c r="V38" s="79" t="str">
        <f>HYPERLINK("https://pbs.twimg.com/ext_tw_video_thumb/1568199549256175617/pu/img/Ysr1rE83e5hn0twR.jpg")</f>
        <v>https://pbs.twimg.com/ext_tw_video_thumb/1568199549256175617/pu/img/Ysr1rE83e5hn0twR.jpg</v>
      </c>
      <c r="W38" s="78">
        <v>44813.497349537036</v>
      </c>
      <c r="X38" s="84">
        <v>44813</v>
      </c>
      <c r="Y38" s="81" t="s">
        <v>930</v>
      </c>
      <c r="Z38" s="79" t="str">
        <f>HYPERLINK("https://twitter.com/messaymohammed/status/1568206630562537472")</f>
        <v>https://twitter.com/messaymohammed/status/1568206630562537472</v>
      </c>
      <c r="AA38" s="76"/>
      <c r="AB38" s="76"/>
      <c r="AC38" s="81" t="s">
        <v>1261</v>
      </c>
      <c r="AD38" s="76"/>
      <c r="AE38" s="76" t="b">
        <v>0</v>
      </c>
      <c r="AF38" s="76">
        <v>0</v>
      </c>
      <c r="AG38" s="81" t="s">
        <v>1674</v>
      </c>
      <c r="AH38" s="76" t="b">
        <v>0</v>
      </c>
      <c r="AI38" s="76" t="s">
        <v>1772</v>
      </c>
      <c r="AJ38" s="76"/>
      <c r="AK38" s="81" t="s">
        <v>1674</v>
      </c>
      <c r="AL38" s="76" t="b">
        <v>0</v>
      </c>
      <c r="AM38" s="76">
        <v>16</v>
      </c>
      <c r="AN38" s="81" t="s">
        <v>1295</v>
      </c>
      <c r="AO38" s="81" t="s">
        <v>1807</v>
      </c>
      <c r="AP38" s="76" t="b">
        <v>0</v>
      </c>
      <c r="AQ38" s="81" t="s">
        <v>1295</v>
      </c>
      <c r="AR38" s="76" t="s">
        <v>219</v>
      </c>
      <c r="AS38" s="76">
        <v>0</v>
      </c>
      <c r="AT38" s="76">
        <v>0</v>
      </c>
      <c r="AU38" s="76"/>
      <c r="AV38" s="76"/>
      <c r="AW38" s="76"/>
      <c r="AX38" s="76"/>
      <c r="AY38" s="76"/>
      <c r="AZ38" s="76"/>
      <c r="BA38" s="76"/>
      <c r="BB38" s="76"/>
      <c r="BC38">
        <v>1</v>
      </c>
      <c r="BD38" s="75" t="str">
        <f>REPLACE(INDEX(GroupVertices[Group],MATCH(Edges25[[#This Row],[Vertex 1]],GroupVertices[Vertex],0)),1,1,"")</f>
        <v>5</v>
      </c>
      <c r="BE38" s="75" t="str">
        <f>REPLACE(INDEX(GroupVertices[Group],MATCH(Edges25[[#This Row],[Vertex 2]],GroupVertices[Vertex],0)),1,1,"")</f>
        <v>5</v>
      </c>
      <c r="BF38" s="45">
        <v>1</v>
      </c>
      <c r="BG38" s="46">
        <v>2.5641025641025643</v>
      </c>
      <c r="BH38" s="45">
        <v>0</v>
      </c>
      <c r="BI38" s="46">
        <v>0</v>
      </c>
      <c r="BJ38" s="45">
        <v>0</v>
      </c>
      <c r="BK38" s="46">
        <v>0</v>
      </c>
      <c r="BL38" s="45">
        <v>38</v>
      </c>
      <c r="BM38" s="46">
        <v>97.43589743589743</v>
      </c>
      <c r="BN38" s="45">
        <v>39</v>
      </c>
    </row>
    <row r="39" spans="1:66" ht="15">
      <c r="A39" s="61" t="s">
        <v>288</v>
      </c>
      <c r="B39" s="61" t="s">
        <v>311</v>
      </c>
      <c r="C39" s="62"/>
      <c r="D39" s="63"/>
      <c r="E39" s="62"/>
      <c r="F39" s="65"/>
      <c r="G39" s="62"/>
      <c r="H39" s="66"/>
      <c r="I39" s="67"/>
      <c r="J39" s="67"/>
      <c r="K39" s="31" t="s">
        <v>65</v>
      </c>
      <c r="L39" s="68">
        <v>74</v>
      </c>
      <c r="M39" s="68"/>
      <c r="N39" s="69"/>
      <c r="O39" s="76" t="s">
        <v>586</v>
      </c>
      <c r="P39" s="78">
        <v>44813.49836805555</v>
      </c>
      <c r="Q39" s="76" t="s">
        <v>611</v>
      </c>
      <c r="R39" s="76"/>
      <c r="S39" s="76"/>
      <c r="T39" s="81" t="s">
        <v>808</v>
      </c>
      <c r="U39" s="79" t="str">
        <f>HYPERLINK("https://pbs.twimg.com/ext_tw_video_thumb/1568199549256175617/pu/img/Ysr1rE83e5hn0twR.jpg")</f>
        <v>https://pbs.twimg.com/ext_tw_video_thumb/1568199549256175617/pu/img/Ysr1rE83e5hn0twR.jpg</v>
      </c>
      <c r="V39" s="79" t="str">
        <f>HYPERLINK("https://pbs.twimg.com/ext_tw_video_thumb/1568199549256175617/pu/img/Ysr1rE83e5hn0twR.jpg")</f>
        <v>https://pbs.twimg.com/ext_tw_video_thumb/1568199549256175617/pu/img/Ysr1rE83e5hn0twR.jpg</v>
      </c>
      <c r="W39" s="78">
        <v>44813.49836805555</v>
      </c>
      <c r="X39" s="84">
        <v>44813</v>
      </c>
      <c r="Y39" s="81" t="s">
        <v>931</v>
      </c>
      <c r="Z39" s="79" t="str">
        <f>HYPERLINK("https://twitter.com/teferradebebe/status/1568207001858998272")</f>
        <v>https://twitter.com/teferradebebe/status/1568207001858998272</v>
      </c>
      <c r="AA39" s="76"/>
      <c r="AB39" s="76"/>
      <c r="AC39" s="81" t="s">
        <v>1262</v>
      </c>
      <c r="AD39" s="76"/>
      <c r="AE39" s="76" t="b">
        <v>0</v>
      </c>
      <c r="AF39" s="76">
        <v>0</v>
      </c>
      <c r="AG39" s="81" t="s">
        <v>1674</v>
      </c>
      <c r="AH39" s="76" t="b">
        <v>0</v>
      </c>
      <c r="AI39" s="76" t="s">
        <v>1772</v>
      </c>
      <c r="AJ39" s="76"/>
      <c r="AK39" s="81" t="s">
        <v>1674</v>
      </c>
      <c r="AL39" s="76" t="b">
        <v>0</v>
      </c>
      <c r="AM39" s="76">
        <v>16</v>
      </c>
      <c r="AN39" s="81" t="s">
        <v>1295</v>
      </c>
      <c r="AO39" s="81" t="s">
        <v>1807</v>
      </c>
      <c r="AP39" s="76" t="b">
        <v>0</v>
      </c>
      <c r="AQ39" s="81" t="s">
        <v>1295</v>
      </c>
      <c r="AR39" s="76" t="s">
        <v>219</v>
      </c>
      <c r="AS39" s="76">
        <v>0</v>
      </c>
      <c r="AT39" s="76">
        <v>0</v>
      </c>
      <c r="AU39" s="76"/>
      <c r="AV39" s="76"/>
      <c r="AW39" s="76"/>
      <c r="AX39" s="76"/>
      <c r="AY39" s="76"/>
      <c r="AZ39" s="76"/>
      <c r="BA39" s="76"/>
      <c r="BB39" s="76"/>
      <c r="BC39">
        <v>1</v>
      </c>
      <c r="BD39" s="75" t="str">
        <f>REPLACE(INDEX(GroupVertices[Group],MATCH(Edges25[[#This Row],[Vertex 1]],GroupVertices[Vertex],0)),1,1,"")</f>
        <v>5</v>
      </c>
      <c r="BE39" s="75" t="str">
        <f>REPLACE(INDEX(GroupVertices[Group],MATCH(Edges25[[#This Row],[Vertex 2]],GroupVertices[Vertex],0)),1,1,"")</f>
        <v>5</v>
      </c>
      <c r="BF39" s="45">
        <v>1</v>
      </c>
      <c r="BG39" s="46">
        <v>2.5641025641025643</v>
      </c>
      <c r="BH39" s="45">
        <v>0</v>
      </c>
      <c r="BI39" s="46">
        <v>0</v>
      </c>
      <c r="BJ39" s="45">
        <v>0</v>
      </c>
      <c r="BK39" s="46">
        <v>0</v>
      </c>
      <c r="BL39" s="45">
        <v>38</v>
      </c>
      <c r="BM39" s="46">
        <v>97.43589743589743</v>
      </c>
      <c r="BN39" s="45">
        <v>39</v>
      </c>
    </row>
    <row r="40" spans="1:66" ht="15">
      <c r="A40" s="61" t="s">
        <v>289</v>
      </c>
      <c r="B40" s="61" t="s">
        <v>311</v>
      </c>
      <c r="C40" s="62"/>
      <c r="D40" s="63"/>
      <c r="E40" s="62"/>
      <c r="F40" s="65"/>
      <c r="G40" s="62"/>
      <c r="H40" s="66"/>
      <c r="I40" s="67"/>
      <c r="J40" s="67"/>
      <c r="K40" s="31" t="s">
        <v>65</v>
      </c>
      <c r="L40" s="68">
        <v>75</v>
      </c>
      <c r="M40" s="68"/>
      <c r="N40" s="69"/>
      <c r="O40" s="76" t="s">
        <v>586</v>
      </c>
      <c r="P40" s="78">
        <v>44813.49912037037</v>
      </c>
      <c r="Q40" s="76" t="s">
        <v>611</v>
      </c>
      <c r="R40" s="76"/>
      <c r="S40" s="76"/>
      <c r="T40" s="81" t="s">
        <v>808</v>
      </c>
      <c r="U40" s="79" t="str">
        <f>HYPERLINK("https://pbs.twimg.com/ext_tw_video_thumb/1568199549256175617/pu/img/Ysr1rE83e5hn0twR.jpg")</f>
        <v>https://pbs.twimg.com/ext_tw_video_thumb/1568199549256175617/pu/img/Ysr1rE83e5hn0twR.jpg</v>
      </c>
      <c r="V40" s="79" t="str">
        <f>HYPERLINK("https://pbs.twimg.com/ext_tw_video_thumb/1568199549256175617/pu/img/Ysr1rE83e5hn0twR.jpg")</f>
        <v>https://pbs.twimg.com/ext_tw_video_thumb/1568199549256175617/pu/img/Ysr1rE83e5hn0twR.jpg</v>
      </c>
      <c r="W40" s="78">
        <v>44813.49912037037</v>
      </c>
      <c r="X40" s="84">
        <v>44813</v>
      </c>
      <c r="Y40" s="81" t="s">
        <v>932</v>
      </c>
      <c r="Z40" s="79" t="str">
        <f>HYPERLINK("https://twitter.com/habibhassen7180/status/1568207273037627392")</f>
        <v>https://twitter.com/habibhassen7180/status/1568207273037627392</v>
      </c>
      <c r="AA40" s="76"/>
      <c r="AB40" s="76"/>
      <c r="AC40" s="81" t="s">
        <v>1263</v>
      </c>
      <c r="AD40" s="76"/>
      <c r="AE40" s="76" t="b">
        <v>0</v>
      </c>
      <c r="AF40" s="76">
        <v>0</v>
      </c>
      <c r="AG40" s="81" t="s">
        <v>1674</v>
      </c>
      <c r="AH40" s="76" t="b">
        <v>0</v>
      </c>
      <c r="AI40" s="76" t="s">
        <v>1772</v>
      </c>
      <c r="AJ40" s="76"/>
      <c r="AK40" s="81" t="s">
        <v>1674</v>
      </c>
      <c r="AL40" s="76" t="b">
        <v>0</v>
      </c>
      <c r="AM40" s="76">
        <v>16</v>
      </c>
      <c r="AN40" s="81" t="s">
        <v>1295</v>
      </c>
      <c r="AO40" s="81" t="s">
        <v>1807</v>
      </c>
      <c r="AP40" s="76" t="b">
        <v>0</v>
      </c>
      <c r="AQ40" s="81" t="s">
        <v>1295</v>
      </c>
      <c r="AR40" s="76" t="s">
        <v>219</v>
      </c>
      <c r="AS40" s="76">
        <v>0</v>
      </c>
      <c r="AT40" s="76">
        <v>0</v>
      </c>
      <c r="AU40" s="76"/>
      <c r="AV40" s="76"/>
      <c r="AW40" s="76"/>
      <c r="AX40" s="76"/>
      <c r="AY40" s="76"/>
      <c r="AZ40" s="76"/>
      <c r="BA40" s="76"/>
      <c r="BB40" s="76"/>
      <c r="BC40">
        <v>1</v>
      </c>
      <c r="BD40" s="75" t="str">
        <f>REPLACE(INDEX(GroupVertices[Group],MATCH(Edges25[[#This Row],[Vertex 1]],GroupVertices[Vertex],0)),1,1,"")</f>
        <v>5</v>
      </c>
      <c r="BE40" s="75" t="str">
        <f>REPLACE(INDEX(GroupVertices[Group],MATCH(Edges25[[#This Row],[Vertex 2]],GroupVertices[Vertex],0)),1,1,"")</f>
        <v>5</v>
      </c>
      <c r="BF40" s="45">
        <v>1</v>
      </c>
      <c r="BG40" s="46">
        <v>2.5641025641025643</v>
      </c>
      <c r="BH40" s="45">
        <v>0</v>
      </c>
      <c r="BI40" s="46">
        <v>0</v>
      </c>
      <c r="BJ40" s="45">
        <v>0</v>
      </c>
      <c r="BK40" s="46">
        <v>0</v>
      </c>
      <c r="BL40" s="45">
        <v>38</v>
      </c>
      <c r="BM40" s="46">
        <v>97.43589743589743</v>
      </c>
      <c r="BN40" s="45">
        <v>39</v>
      </c>
    </row>
    <row r="41" spans="1:66" ht="15">
      <c r="A41" s="61" t="s">
        <v>290</v>
      </c>
      <c r="B41" s="61" t="s">
        <v>311</v>
      </c>
      <c r="C41" s="62"/>
      <c r="D41" s="63"/>
      <c r="E41" s="62"/>
      <c r="F41" s="65"/>
      <c r="G41" s="62"/>
      <c r="H41" s="66"/>
      <c r="I41" s="67"/>
      <c r="J41" s="67"/>
      <c r="K41" s="31" t="s">
        <v>65</v>
      </c>
      <c r="L41" s="68">
        <v>76</v>
      </c>
      <c r="M41" s="68"/>
      <c r="N41" s="69"/>
      <c r="O41" s="76" t="s">
        <v>586</v>
      </c>
      <c r="P41" s="78">
        <v>44813.501851851855</v>
      </c>
      <c r="Q41" s="76" t="s">
        <v>611</v>
      </c>
      <c r="R41" s="76"/>
      <c r="S41" s="76"/>
      <c r="T41" s="81" t="s">
        <v>808</v>
      </c>
      <c r="U41" s="79" t="str">
        <f>HYPERLINK("https://pbs.twimg.com/ext_tw_video_thumb/1568199549256175617/pu/img/Ysr1rE83e5hn0twR.jpg")</f>
        <v>https://pbs.twimg.com/ext_tw_video_thumb/1568199549256175617/pu/img/Ysr1rE83e5hn0twR.jpg</v>
      </c>
      <c r="V41" s="79" t="str">
        <f>HYPERLINK("https://pbs.twimg.com/ext_tw_video_thumb/1568199549256175617/pu/img/Ysr1rE83e5hn0twR.jpg")</f>
        <v>https://pbs.twimg.com/ext_tw_video_thumb/1568199549256175617/pu/img/Ysr1rE83e5hn0twR.jpg</v>
      </c>
      <c r="W41" s="78">
        <v>44813.501851851855</v>
      </c>
      <c r="X41" s="84">
        <v>44813</v>
      </c>
      <c r="Y41" s="81" t="s">
        <v>933</v>
      </c>
      <c r="Z41" s="79" t="str">
        <f>HYPERLINK("https://twitter.com/wonde2014/status/1568208263149240325")</f>
        <v>https://twitter.com/wonde2014/status/1568208263149240325</v>
      </c>
      <c r="AA41" s="76"/>
      <c r="AB41" s="76"/>
      <c r="AC41" s="81" t="s">
        <v>1264</v>
      </c>
      <c r="AD41" s="76"/>
      <c r="AE41" s="76" t="b">
        <v>0</v>
      </c>
      <c r="AF41" s="76">
        <v>0</v>
      </c>
      <c r="AG41" s="81" t="s">
        <v>1674</v>
      </c>
      <c r="AH41" s="76" t="b">
        <v>0</v>
      </c>
      <c r="AI41" s="76" t="s">
        <v>1772</v>
      </c>
      <c r="AJ41" s="76"/>
      <c r="AK41" s="81" t="s">
        <v>1674</v>
      </c>
      <c r="AL41" s="76" t="b">
        <v>0</v>
      </c>
      <c r="AM41" s="76">
        <v>16</v>
      </c>
      <c r="AN41" s="81" t="s">
        <v>1295</v>
      </c>
      <c r="AO41" s="81" t="s">
        <v>1807</v>
      </c>
      <c r="AP41" s="76" t="b">
        <v>0</v>
      </c>
      <c r="AQ41" s="81" t="s">
        <v>1295</v>
      </c>
      <c r="AR41" s="76" t="s">
        <v>219</v>
      </c>
      <c r="AS41" s="76">
        <v>0</v>
      </c>
      <c r="AT41" s="76">
        <v>0</v>
      </c>
      <c r="AU41" s="76"/>
      <c r="AV41" s="76"/>
      <c r="AW41" s="76"/>
      <c r="AX41" s="76"/>
      <c r="AY41" s="76"/>
      <c r="AZ41" s="76"/>
      <c r="BA41" s="76"/>
      <c r="BB41" s="76"/>
      <c r="BC41">
        <v>1</v>
      </c>
      <c r="BD41" s="75" t="str">
        <f>REPLACE(INDEX(GroupVertices[Group],MATCH(Edges25[[#This Row],[Vertex 1]],GroupVertices[Vertex],0)),1,1,"")</f>
        <v>5</v>
      </c>
      <c r="BE41" s="75" t="str">
        <f>REPLACE(INDEX(GroupVertices[Group],MATCH(Edges25[[#This Row],[Vertex 2]],GroupVertices[Vertex],0)),1,1,"")</f>
        <v>5</v>
      </c>
      <c r="BF41" s="45">
        <v>1</v>
      </c>
      <c r="BG41" s="46">
        <v>2.5641025641025643</v>
      </c>
      <c r="BH41" s="45">
        <v>0</v>
      </c>
      <c r="BI41" s="46">
        <v>0</v>
      </c>
      <c r="BJ41" s="45">
        <v>0</v>
      </c>
      <c r="BK41" s="46">
        <v>0</v>
      </c>
      <c r="BL41" s="45">
        <v>38</v>
      </c>
      <c r="BM41" s="46">
        <v>97.43589743589743</v>
      </c>
      <c r="BN41" s="45">
        <v>39</v>
      </c>
    </row>
    <row r="42" spans="1:66" ht="15">
      <c r="A42" s="61" t="s">
        <v>291</v>
      </c>
      <c r="B42" s="61" t="s">
        <v>311</v>
      </c>
      <c r="C42" s="62"/>
      <c r="D42" s="63"/>
      <c r="E42" s="62"/>
      <c r="F42" s="65"/>
      <c r="G42" s="62"/>
      <c r="H42" s="66"/>
      <c r="I42" s="67"/>
      <c r="J42" s="67"/>
      <c r="K42" s="31" t="s">
        <v>65</v>
      </c>
      <c r="L42" s="68">
        <v>77</v>
      </c>
      <c r="M42" s="68"/>
      <c r="N42" s="69"/>
      <c r="O42" s="76" t="s">
        <v>586</v>
      </c>
      <c r="P42" s="78">
        <v>44813.503599537034</v>
      </c>
      <c r="Q42" s="76" t="s">
        <v>611</v>
      </c>
      <c r="R42" s="76"/>
      <c r="S42" s="76"/>
      <c r="T42" s="81" t="s">
        <v>808</v>
      </c>
      <c r="U42" s="79" t="str">
        <f>HYPERLINK("https://pbs.twimg.com/ext_tw_video_thumb/1568199549256175617/pu/img/Ysr1rE83e5hn0twR.jpg")</f>
        <v>https://pbs.twimg.com/ext_tw_video_thumb/1568199549256175617/pu/img/Ysr1rE83e5hn0twR.jpg</v>
      </c>
      <c r="V42" s="79" t="str">
        <f>HYPERLINK("https://pbs.twimg.com/ext_tw_video_thumb/1568199549256175617/pu/img/Ysr1rE83e5hn0twR.jpg")</f>
        <v>https://pbs.twimg.com/ext_tw_video_thumb/1568199549256175617/pu/img/Ysr1rE83e5hn0twR.jpg</v>
      </c>
      <c r="W42" s="78">
        <v>44813.503599537034</v>
      </c>
      <c r="X42" s="84">
        <v>44813</v>
      </c>
      <c r="Y42" s="81" t="s">
        <v>934</v>
      </c>
      <c r="Z42" s="79" t="str">
        <f>HYPERLINK("https://twitter.com/ghedays/status/1568208894635266049")</f>
        <v>https://twitter.com/ghedays/status/1568208894635266049</v>
      </c>
      <c r="AA42" s="76"/>
      <c r="AB42" s="76"/>
      <c r="AC42" s="81" t="s">
        <v>1265</v>
      </c>
      <c r="AD42" s="76"/>
      <c r="AE42" s="76" t="b">
        <v>0</v>
      </c>
      <c r="AF42" s="76">
        <v>0</v>
      </c>
      <c r="AG42" s="81" t="s">
        <v>1674</v>
      </c>
      <c r="AH42" s="76" t="b">
        <v>0</v>
      </c>
      <c r="AI42" s="76" t="s">
        <v>1772</v>
      </c>
      <c r="AJ42" s="76"/>
      <c r="AK42" s="81" t="s">
        <v>1674</v>
      </c>
      <c r="AL42" s="76" t="b">
        <v>0</v>
      </c>
      <c r="AM42" s="76">
        <v>16</v>
      </c>
      <c r="AN42" s="81" t="s">
        <v>1295</v>
      </c>
      <c r="AO42" s="81" t="s">
        <v>1807</v>
      </c>
      <c r="AP42" s="76" t="b">
        <v>0</v>
      </c>
      <c r="AQ42" s="81" t="s">
        <v>1295</v>
      </c>
      <c r="AR42" s="76" t="s">
        <v>219</v>
      </c>
      <c r="AS42" s="76">
        <v>0</v>
      </c>
      <c r="AT42" s="76">
        <v>0</v>
      </c>
      <c r="AU42" s="76"/>
      <c r="AV42" s="76"/>
      <c r="AW42" s="76"/>
      <c r="AX42" s="76"/>
      <c r="AY42" s="76"/>
      <c r="AZ42" s="76"/>
      <c r="BA42" s="76"/>
      <c r="BB42" s="76"/>
      <c r="BC42">
        <v>1</v>
      </c>
      <c r="BD42" s="75" t="str">
        <f>REPLACE(INDEX(GroupVertices[Group],MATCH(Edges25[[#This Row],[Vertex 1]],GroupVertices[Vertex],0)),1,1,"")</f>
        <v>5</v>
      </c>
      <c r="BE42" s="75" t="str">
        <f>REPLACE(INDEX(GroupVertices[Group],MATCH(Edges25[[#This Row],[Vertex 2]],GroupVertices[Vertex],0)),1,1,"")</f>
        <v>5</v>
      </c>
      <c r="BF42" s="45">
        <v>1</v>
      </c>
      <c r="BG42" s="46">
        <v>2.5641025641025643</v>
      </c>
      <c r="BH42" s="45">
        <v>0</v>
      </c>
      <c r="BI42" s="46">
        <v>0</v>
      </c>
      <c r="BJ42" s="45">
        <v>0</v>
      </c>
      <c r="BK42" s="46">
        <v>0</v>
      </c>
      <c r="BL42" s="45">
        <v>38</v>
      </c>
      <c r="BM42" s="46">
        <v>97.43589743589743</v>
      </c>
      <c r="BN42" s="45">
        <v>39</v>
      </c>
    </row>
    <row r="43" spans="1:66" ht="15">
      <c r="A43" s="61" t="s">
        <v>292</v>
      </c>
      <c r="B43" s="61" t="s">
        <v>311</v>
      </c>
      <c r="C43" s="62"/>
      <c r="D43" s="63"/>
      <c r="E43" s="62"/>
      <c r="F43" s="65"/>
      <c r="G43" s="62"/>
      <c r="H43" s="66"/>
      <c r="I43" s="67"/>
      <c r="J43" s="67"/>
      <c r="K43" s="31" t="s">
        <v>65</v>
      </c>
      <c r="L43" s="68">
        <v>78</v>
      </c>
      <c r="M43" s="68"/>
      <c r="N43" s="69"/>
      <c r="O43" s="76" t="s">
        <v>586</v>
      </c>
      <c r="P43" s="78">
        <v>44813.50400462963</v>
      </c>
      <c r="Q43" s="76" t="s">
        <v>611</v>
      </c>
      <c r="R43" s="76"/>
      <c r="S43" s="76"/>
      <c r="T43" s="81" t="s">
        <v>808</v>
      </c>
      <c r="U43" s="79" t="str">
        <f>HYPERLINK("https://pbs.twimg.com/ext_tw_video_thumb/1568199549256175617/pu/img/Ysr1rE83e5hn0twR.jpg")</f>
        <v>https://pbs.twimg.com/ext_tw_video_thumb/1568199549256175617/pu/img/Ysr1rE83e5hn0twR.jpg</v>
      </c>
      <c r="V43" s="79" t="str">
        <f>HYPERLINK("https://pbs.twimg.com/ext_tw_video_thumb/1568199549256175617/pu/img/Ysr1rE83e5hn0twR.jpg")</f>
        <v>https://pbs.twimg.com/ext_tw_video_thumb/1568199549256175617/pu/img/Ysr1rE83e5hn0twR.jpg</v>
      </c>
      <c r="W43" s="78">
        <v>44813.50400462963</v>
      </c>
      <c r="X43" s="84">
        <v>44813</v>
      </c>
      <c r="Y43" s="81" t="s">
        <v>935</v>
      </c>
      <c r="Z43" s="79" t="str">
        <f>HYPERLINK("https://twitter.com/addiseshetu/status/1568209042937417730")</f>
        <v>https://twitter.com/addiseshetu/status/1568209042937417730</v>
      </c>
      <c r="AA43" s="76"/>
      <c r="AB43" s="76"/>
      <c r="AC43" s="81" t="s">
        <v>1266</v>
      </c>
      <c r="AD43" s="76"/>
      <c r="AE43" s="76" t="b">
        <v>0</v>
      </c>
      <c r="AF43" s="76">
        <v>0</v>
      </c>
      <c r="AG43" s="81" t="s">
        <v>1674</v>
      </c>
      <c r="AH43" s="76" t="b">
        <v>0</v>
      </c>
      <c r="AI43" s="76" t="s">
        <v>1772</v>
      </c>
      <c r="AJ43" s="76"/>
      <c r="AK43" s="81" t="s">
        <v>1674</v>
      </c>
      <c r="AL43" s="76" t="b">
        <v>0</v>
      </c>
      <c r="AM43" s="76">
        <v>16</v>
      </c>
      <c r="AN43" s="81" t="s">
        <v>1295</v>
      </c>
      <c r="AO43" s="81" t="s">
        <v>1809</v>
      </c>
      <c r="AP43" s="76" t="b">
        <v>0</v>
      </c>
      <c r="AQ43" s="81" t="s">
        <v>1295</v>
      </c>
      <c r="AR43" s="76" t="s">
        <v>219</v>
      </c>
      <c r="AS43" s="76">
        <v>0</v>
      </c>
      <c r="AT43" s="76">
        <v>0</v>
      </c>
      <c r="AU43" s="76"/>
      <c r="AV43" s="76"/>
      <c r="AW43" s="76"/>
      <c r="AX43" s="76"/>
      <c r="AY43" s="76"/>
      <c r="AZ43" s="76"/>
      <c r="BA43" s="76"/>
      <c r="BB43" s="76"/>
      <c r="BC43">
        <v>1</v>
      </c>
      <c r="BD43" s="75" t="str">
        <f>REPLACE(INDEX(GroupVertices[Group],MATCH(Edges25[[#This Row],[Vertex 1]],GroupVertices[Vertex],0)),1,1,"")</f>
        <v>5</v>
      </c>
      <c r="BE43" s="75" t="str">
        <f>REPLACE(INDEX(GroupVertices[Group],MATCH(Edges25[[#This Row],[Vertex 2]],GroupVertices[Vertex],0)),1,1,"")</f>
        <v>5</v>
      </c>
      <c r="BF43" s="45">
        <v>1</v>
      </c>
      <c r="BG43" s="46">
        <v>2.5641025641025643</v>
      </c>
      <c r="BH43" s="45">
        <v>0</v>
      </c>
      <c r="BI43" s="46">
        <v>0</v>
      </c>
      <c r="BJ43" s="45">
        <v>0</v>
      </c>
      <c r="BK43" s="46">
        <v>0</v>
      </c>
      <c r="BL43" s="45">
        <v>38</v>
      </c>
      <c r="BM43" s="46">
        <v>97.43589743589743</v>
      </c>
      <c r="BN43" s="45">
        <v>39</v>
      </c>
    </row>
    <row r="44" spans="1:66" ht="15">
      <c r="A44" s="61" t="s">
        <v>293</v>
      </c>
      <c r="B44" s="61" t="s">
        <v>311</v>
      </c>
      <c r="C44" s="62"/>
      <c r="D44" s="63"/>
      <c r="E44" s="62"/>
      <c r="F44" s="65"/>
      <c r="G44" s="62"/>
      <c r="H44" s="66"/>
      <c r="I44" s="67"/>
      <c r="J44" s="67"/>
      <c r="K44" s="31" t="s">
        <v>65</v>
      </c>
      <c r="L44" s="68">
        <v>79</v>
      </c>
      <c r="M44" s="68"/>
      <c r="N44" s="69"/>
      <c r="O44" s="76" t="s">
        <v>586</v>
      </c>
      <c r="P44" s="78">
        <v>44813.51770833333</v>
      </c>
      <c r="Q44" s="76" t="s">
        <v>611</v>
      </c>
      <c r="R44" s="76"/>
      <c r="S44" s="76"/>
      <c r="T44" s="81" t="s">
        <v>808</v>
      </c>
      <c r="U44" s="79" t="str">
        <f>HYPERLINK("https://pbs.twimg.com/ext_tw_video_thumb/1568199549256175617/pu/img/Ysr1rE83e5hn0twR.jpg")</f>
        <v>https://pbs.twimg.com/ext_tw_video_thumb/1568199549256175617/pu/img/Ysr1rE83e5hn0twR.jpg</v>
      </c>
      <c r="V44" s="79" t="str">
        <f>HYPERLINK("https://pbs.twimg.com/ext_tw_video_thumb/1568199549256175617/pu/img/Ysr1rE83e5hn0twR.jpg")</f>
        <v>https://pbs.twimg.com/ext_tw_video_thumb/1568199549256175617/pu/img/Ysr1rE83e5hn0twR.jpg</v>
      </c>
      <c r="W44" s="78">
        <v>44813.51770833333</v>
      </c>
      <c r="X44" s="84">
        <v>44813</v>
      </c>
      <c r="Y44" s="81" t="s">
        <v>936</v>
      </c>
      <c r="Z44" s="79" t="str">
        <f>HYPERLINK("https://twitter.com/teferig58652633/status/1568214009286955008")</f>
        <v>https://twitter.com/teferig58652633/status/1568214009286955008</v>
      </c>
      <c r="AA44" s="76"/>
      <c r="AB44" s="76"/>
      <c r="AC44" s="81" t="s">
        <v>1267</v>
      </c>
      <c r="AD44" s="76"/>
      <c r="AE44" s="76" t="b">
        <v>0</v>
      </c>
      <c r="AF44" s="76">
        <v>0</v>
      </c>
      <c r="AG44" s="81" t="s">
        <v>1674</v>
      </c>
      <c r="AH44" s="76" t="b">
        <v>0</v>
      </c>
      <c r="AI44" s="76" t="s">
        <v>1772</v>
      </c>
      <c r="AJ44" s="76"/>
      <c r="AK44" s="81" t="s">
        <v>1674</v>
      </c>
      <c r="AL44" s="76" t="b">
        <v>0</v>
      </c>
      <c r="AM44" s="76">
        <v>16</v>
      </c>
      <c r="AN44" s="81" t="s">
        <v>1295</v>
      </c>
      <c r="AO44" s="81" t="s">
        <v>1807</v>
      </c>
      <c r="AP44" s="76" t="b">
        <v>0</v>
      </c>
      <c r="AQ44" s="81" t="s">
        <v>1295</v>
      </c>
      <c r="AR44" s="76" t="s">
        <v>219</v>
      </c>
      <c r="AS44" s="76">
        <v>0</v>
      </c>
      <c r="AT44" s="76">
        <v>0</v>
      </c>
      <c r="AU44" s="76"/>
      <c r="AV44" s="76"/>
      <c r="AW44" s="76"/>
      <c r="AX44" s="76"/>
      <c r="AY44" s="76"/>
      <c r="AZ44" s="76"/>
      <c r="BA44" s="76"/>
      <c r="BB44" s="76"/>
      <c r="BC44">
        <v>1</v>
      </c>
      <c r="BD44" s="75" t="str">
        <f>REPLACE(INDEX(GroupVertices[Group],MATCH(Edges25[[#This Row],[Vertex 1]],GroupVertices[Vertex],0)),1,1,"")</f>
        <v>5</v>
      </c>
      <c r="BE44" s="75" t="str">
        <f>REPLACE(INDEX(GroupVertices[Group],MATCH(Edges25[[#This Row],[Vertex 2]],GroupVertices[Vertex],0)),1,1,"")</f>
        <v>5</v>
      </c>
      <c r="BF44" s="45">
        <v>1</v>
      </c>
      <c r="BG44" s="46">
        <v>2.5641025641025643</v>
      </c>
      <c r="BH44" s="45">
        <v>0</v>
      </c>
      <c r="BI44" s="46">
        <v>0</v>
      </c>
      <c r="BJ44" s="45">
        <v>0</v>
      </c>
      <c r="BK44" s="46">
        <v>0</v>
      </c>
      <c r="BL44" s="45">
        <v>38</v>
      </c>
      <c r="BM44" s="46">
        <v>97.43589743589743</v>
      </c>
      <c r="BN44" s="45">
        <v>39</v>
      </c>
    </row>
    <row r="45" spans="1:66" ht="15">
      <c r="A45" s="61" t="s">
        <v>294</v>
      </c>
      <c r="B45" s="61" t="s">
        <v>311</v>
      </c>
      <c r="C45" s="62"/>
      <c r="D45" s="63"/>
      <c r="E45" s="62"/>
      <c r="F45" s="65"/>
      <c r="G45" s="62"/>
      <c r="H45" s="66"/>
      <c r="I45" s="67"/>
      <c r="J45" s="67"/>
      <c r="K45" s="31" t="s">
        <v>65</v>
      </c>
      <c r="L45" s="68">
        <v>80</v>
      </c>
      <c r="M45" s="68"/>
      <c r="N45" s="69"/>
      <c r="O45" s="76" t="s">
        <v>586</v>
      </c>
      <c r="P45" s="78">
        <v>44813.52216435185</v>
      </c>
      <c r="Q45" s="76" t="s">
        <v>611</v>
      </c>
      <c r="R45" s="76"/>
      <c r="S45" s="76"/>
      <c r="T45" s="81" t="s">
        <v>808</v>
      </c>
      <c r="U45" s="79" t="str">
        <f>HYPERLINK("https://pbs.twimg.com/ext_tw_video_thumb/1568199549256175617/pu/img/Ysr1rE83e5hn0twR.jpg")</f>
        <v>https://pbs.twimg.com/ext_tw_video_thumb/1568199549256175617/pu/img/Ysr1rE83e5hn0twR.jpg</v>
      </c>
      <c r="V45" s="79" t="str">
        <f>HYPERLINK("https://pbs.twimg.com/ext_tw_video_thumb/1568199549256175617/pu/img/Ysr1rE83e5hn0twR.jpg")</f>
        <v>https://pbs.twimg.com/ext_tw_video_thumb/1568199549256175617/pu/img/Ysr1rE83e5hn0twR.jpg</v>
      </c>
      <c r="W45" s="78">
        <v>44813.52216435185</v>
      </c>
      <c r="X45" s="84">
        <v>44813</v>
      </c>
      <c r="Y45" s="81" t="s">
        <v>937</v>
      </c>
      <c r="Z45" s="79" t="str">
        <f>HYPERLINK("https://twitter.com/alemayehuc/status/1568215625314566145")</f>
        <v>https://twitter.com/alemayehuc/status/1568215625314566145</v>
      </c>
      <c r="AA45" s="76"/>
      <c r="AB45" s="76"/>
      <c r="AC45" s="81" t="s">
        <v>1268</v>
      </c>
      <c r="AD45" s="76"/>
      <c r="AE45" s="76" t="b">
        <v>0</v>
      </c>
      <c r="AF45" s="76">
        <v>0</v>
      </c>
      <c r="AG45" s="81" t="s">
        <v>1674</v>
      </c>
      <c r="AH45" s="76" t="b">
        <v>0</v>
      </c>
      <c r="AI45" s="76" t="s">
        <v>1772</v>
      </c>
      <c r="AJ45" s="76"/>
      <c r="AK45" s="81" t="s">
        <v>1674</v>
      </c>
      <c r="AL45" s="76" t="b">
        <v>0</v>
      </c>
      <c r="AM45" s="76">
        <v>16</v>
      </c>
      <c r="AN45" s="81" t="s">
        <v>1295</v>
      </c>
      <c r="AO45" s="81" t="s">
        <v>1807</v>
      </c>
      <c r="AP45" s="76" t="b">
        <v>0</v>
      </c>
      <c r="AQ45" s="81" t="s">
        <v>1295</v>
      </c>
      <c r="AR45" s="76" t="s">
        <v>219</v>
      </c>
      <c r="AS45" s="76">
        <v>0</v>
      </c>
      <c r="AT45" s="76">
        <v>0</v>
      </c>
      <c r="AU45" s="76"/>
      <c r="AV45" s="76"/>
      <c r="AW45" s="76"/>
      <c r="AX45" s="76"/>
      <c r="AY45" s="76"/>
      <c r="AZ45" s="76"/>
      <c r="BA45" s="76"/>
      <c r="BB45" s="76"/>
      <c r="BC45">
        <v>1</v>
      </c>
      <c r="BD45" s="75" t="str">
        <f>REPLACE(INDEX(GroupVertices[Group],MATCH(Edges25[[#This Row],[Vertex 1]],GroupVertices[Vertex],0)),1,1,"")</f>
        <v>5</v>
      </c>
      <c r="BE45" s="75" t="str">
        <f>REPLACE(INDEX(GroupVertices[Group],MATCH(Edges25[[#This Row],[Vertex 2]],GroupVertices[Vertex],0)),1,1,"")</f>
        <v>5</v>
      </c>
      <c r="BF45" s="45">
        <v>1</v>
      </c>
      <c r="BG45" s="46">
        <v>2.5641025641025643</v>
      </c>
      <c r="BH45" s="45">
        <v>0</v>
      </c>
      <c r="BI45" s="46">
        <v>0</v>
      </c>
      <c r="BJ45" s="45">
        <v>0</v>
      </c>
      <c r="BK45" s="46">
        <v>0</v>
      </c>
      <c r="BL45" s="45">
        <v>38</v>
      </c>
      <c r="BM45" s="46">
        <v>97.43589743589743</v>
      </c>
      <c r="BN45" s="45">
        <v>39</v>
      </c>
    </row>
    <row r="46" spans="1:66" ht="15">
      <c r="A46" s="61" t="s">
        <v>295</v>
      </c>
      <c r="B46" s="61" t="s">
        <v>311</v>
      </c>
      <c r="C46" s="62"/>
      <c r="D46" s="63"/>
      <c r="E46" s="62"/>
      <c r="F46" s="65"/>
      <c r="G46" s="62"/>
      <c r="H46" s="66"/>
      <c r="I46" s="67"/>
      <c r="J46" s="67"/>
      <c r="K46" s="31" t="s">
        <v>65</v>
      </c>
      <c r="L46" s="68">
        <v>81</v>
      </c>
      <c r="M46" s="68"/>
      <c r="N46" s="69"/>
      <c r="O46" s="76" t="s">
        <v>586</v>
      </c>
      <c r="P46" s="78">
        <v>44813.61712962963</v>
      </c>
      <c r="Q46" s="76" t="s">
        <v>611</v>
      </c>
      <c r="R46" s="76"/>
      <c r="S46" s="76"/>
      <c r="T46" s="81" t="s">
        <v>808</v>
      </c>
      <c r="U46" s="79" t="str">
        <f>HYPERLINK("https://pbs.twimg.com/ext_tw_video_thumb/1568199549256175617/pu/img/Ysr1rE83e5hn0twR.jpg")</f>
        <v>https://pbs.twimg.com/ext_tw_video_thumb/1568199549256175617/pu/img/Ysr1rE83e5hn0twR.jpg</v>
      </c>
      <c r="V46" s="79" t="str">
        <f>HYPERLINK("https://pbs.twimg.com/ext_tw_video_thumb/1568199549256175617/pu/img/Ysr1rE83e5hn0twR.jpg")</f>
        <v>https://pbs.twimg.com/ext_tw_video_thumb/1568199549256175617/pu/img/Ysr1rE83e5hn0twR.jpg</v>
      </c>
      <c r="W46" s="78">
        <v>44813.61712962963</v>
      </c>
      <c r="X46" s="84">
        <v>44813</v>
      </c>
      <c r="Y46" s="81" t="s">
        <v>938</v>
      </c>
      <c r="Z46" s="79" t="str">
        <f>HYPERLINK("https://twitter.com/adiss07705421/status/1568250039683743744")</f>
        <v>https://twitter.com/adiss07705421/status/1568250039683743744</v>
      </c>
      <c r="AA46" s="76"/>
      <c r="AB46" s="76"/>
      <c r="AC46" s="81" t="s">
        <v>1269</v>
      </c>
      <c r="AD46" s="76"/>
      <c r="AE46" s="76" t="b">
        <v>0</v>
      </c>
      <c r="AF46" s="76">
        <v>0</v>
      </c>
      <c r="AG46" s="81" t="s">
        <v>1674</v>
      </c>
      <c r="AH46" s="76" t="b">
        <v>0</v>
      </c>
      <c r="AI46" s="76" t="s">
        <v>1772</v>
      </c>
      <c r="AJ46" s="76"/>
      <c r="AK46" s="81" t="s">
        <v>1674</v>
      </c>
      <c r="AL46" s="76" t="b">
        <v>0</v>
      </c>
      <c r="AM46" s="76">
        <v>16</v>
      </c>
      <c r="AN46" s="81" t="s">
        <v>1295</v>
      </c>
      <c r="AO46" s="81" t="s">
        <v>1807</v>
      </c>
      <c r="AP46" s="76" t="b">
        <v>0</v>
      </c>
      <c r="AQ46" s="81" t="s">
        <v>1295</v>
      </c>
      <c r="AR46" s="76" t="s">
        <v>219</v>
      </c>
      <c r="AS46" s="76">
        <v>0</v>
      </c>
      <c r="AT46" s="76">
        <v>0</v>
      </c>
      <c r="AU46" s="76"/>
      <c r="AV46" s="76"/>
      <c r="AW46" s="76"/>
      <c r="AX46" s="76"/>
      <c r="AY46" s="76"/>
      <c r="AZ46" s="76"/>
      <c r="BA46" s="76"/>
      <c r="BB46" s="76"/>
      <c r="BC46">
        <v>1</v>
      </c>
      <c r="BD46" s="75" t="str">
        <f>REPLACE(INDEX(GroupVertices[Group],MATCH(Edges25[[#This Row],[Vertex 1]],GroupVertices[Vertex],0)),1,1,"")</f>
        <v>5</v>
      </c>
      <c r="BE46" s="75" t="str">
        <f>REPLACE(INDEX(GroupVertices[Group],MATCH(Edges25[[#This Row],[Vertex 2]],GroupVertices[Vertex],0)),1,1,"")</f>
        <v>5</v>
      </c>
      <c r="BF46" s="45">
        <v>1</v>
      </c>
      <c r="BG46" s="46">
        <v>2.5641025641025643</v>
      </c>
      <c r="BH46" s="45">
        <v>0</v>
      </c>
      <c r="BI46" s="46">
        <v>0</v>
      </c>
      <c r="BJ46" s="45">
        <v>0</v>
      </c>
      <c r="BK46" s="46">
        <v>0</v>
      </c>
      <c r="BL46" s="45">
        <v>38</v>
      </c>
      <c r="BM46" s="46">
        <v>97.43589743589743</v>
      </c>
      <c r="BN46" s="45">
        <v>39</v>
      </c>
    </row>
    <row r="47" spans="1:66" ht="15">
      <c r="A47" s="61" t="s">
        <v>296</v>
      </c>
      <c r="B47" s="61" t="s">
        <v>311</v>
      </c>
      <c r="C47" s="62"/>
      <c r="D47" s="63"/>
      <c r="E47" s="62"/>
      <c r="F47" s="65"/>
      <c r="G47" s="62"/>
      <c r="H47" s="66"/>
      <c r="I47" s="67"/>
      <c r="J47" s="67"/>
      <c r="K47" s="31" t="s">
        <v>65</v>
      </c>
      <c r="L47" s="68">
        <v>82</v>
      </c>
      <c r="M47" s="68"/>
      <c r="N47" s="69"/>
      <c r="O47" s="76" t="s">
        <v>586</v>
      </c>
      <c r="P47" s="78">
        <v>44813.64480324074</v>
      </c>
      <c r="Q47" s="76" t="s">
        <v>611</v>
      </c>
      <c r="R47" s="76"/>
      <c r="S47" s="76"/>
      <c r="T47" s="81" t="s">
        <v>808</v>
      </c>
      <c r="U47" s="79" t="str">
        <f>HYPERLINK("https://pbs.twimg.com/ext_tw_video_thumb/1568199549256175617/pu/img/Ysr1rE83e5hn0twR.jpg")</f>
        <v>https://pbs.twimg.com/ext_tw_video_thumb/1568199549256175617/pu/img/Ysr1rE83e5hn0twR.jpg</v>
      </c>
      <c r="V47" s="79" t="str">
        <f>HYPERLINK("https://pbs.twimg.com/ext_tw_video_thumb/1568199549256175617/pu/img/Ysr1rE83e5hn0twR.jpg")</f>
        <v>https://pbs.twimg.com/ext_tw_video_thumb/1568199549256175617/pu/img/Ysr1rE83e5hn0twR.jpg</v>
      </c>
      <c r="W47" s="78">
        <v>44813.64480324074</v>
      </c>
      <c r="X47" s="84">
        <v>44813</v>
      </c>
      <c r="Y47" s="81" t="s">
        <v>939</v>
      </c>
      <c r="Z47" s="79" t="str">
        <f>HYPERLINK("https://twitter.com/berhanumekonne6/status/1568260066838708225")</f>
        <v>https://twitter.com/berhanumekonne6/status/1568260066838708225</v>
      </c>
      <c r="AA47" s="76"/>
      <c r="AB47" s="76"/>
      <c r="AC47" s="81" t="s">
        <v>1270</v>
      </c>
      <c r="AD47" s="76"/>
      <c r="AE47" s="76" t="b">
        <v>0</v>
      </c>
      <c r="AF47" s="76">
        <v>0</v>
      </c>
      <c r="AG47" s="81" t="s">
        <v>1674</v>
      </c>
      <c r="AH47" s="76" t="b">
        <v>0</v>
      </c>
      <c r="AI47" s="76" t="s">
        <v>1772</v>
      </c>
      <c r="AJ47" s="76"/>
      <c r="AK47" s="81" t="s">
        <v>1674</v>
      </c>
      <c r="AL47" s="76" t="b">
        <v>0</v>
      </c>
      <c r="AM47" s="76">
        <v>16</v>
      </c>
      <c r="AN47" s="81" t="s">
        <v>1295</v>
      </c>
      <c r="AO47" s="81" t="s">
        <v>1809</v>
      </c>
      <c r="AP47" s="76" t="b">
        <v>0</v>
      </c>
      <c r="AQ47" s="81" t="s">
        <v>1295</v>
      </c>
      <c r="AR47" s="76" t="s">
        <v>219</v>
      </c>
      <c r="AS47" s="76">
        <v>0</v>
      </c>
      <c r="AT47" s="76">
        <v>0</v>
      </c>
      <c r="AU47" s="76"/>
      <c r="AV47" s="76"/>
      <c r="AW47" s="76"/>
      <c r="AX47" s="76"/>
      <c r="AY47" s="76"/>
      <c r="AZ47" s="76"/>
      <c r="BA47" s="76"/>
      <c r="BB47" s="76"/>
      <c r="BC47">
        <v>1</v>
      </c>
      <c r="BD47" s="75" t="str">
        <f>REPLACE(INDEX(GroupVertices[Group],MATCH(Edges25[[#This Row],[Vertex 1]],GroupVertices[Vertex],0)),1,1,"")</f>
        <v>5</v>
      </c>
      <c r="BE47" s="75" t="str">
        <f>REPLACE(INDEX(GroupVertices[Group],MATCH(Edges25[[#This Row],[Vertex 2]],GroupVertices[Vertex],0)),1,1,"")</f>
        <v>5</v>
      </c>
      <c r="BF47" s="45">
        <v>1</v>
      </c>
      <c r="BG47" s="46">
        <v>2.5641025641025643</v>
      </c>
      <c r="BH47" s="45">
        <v>0</v>
      </c>
      <c r="BI47" s="46">
        <v>0</v>
      </c>
      <c r="BJ47" s="45">
        <v>0</v>
      </c>
      <c r="BK47" s="46">
        <v>0</v>
      </c>
      <c r="BL47" s="45">
        <v>38</v>
      </c>
      <c r="BM47" s="46">
        <v>97.43589743589743</v>
      </c>
      <c r="BN47" s="45">
        <v>39</v>
      </c>
    </row>
    <row r="48" spans="1:66" ht="15">
      <c r="A48" s="61" t="s">
        <v>297</v>
      </c>
      <c r="B48" s="61" t="s">
        <v>311</v>
      </c>
      <c r="C48" s="62"/>
      <c r="D48" s="63"/>
      <c r="E48" s="62"/>
      <c r="F48" s="65"/>
      <c r="G48" s="62"/>
      <c r="H48" s="66"/>
      <c r="I48" s="67"/>
      <c r="J48" s="67"/>
      <c r="K48" s="31" t="s">
        <v>65</v>
      </c>
      <c r="L48" s="68">
        <v>83</v>
      </c>
      <c r="M48" s="68"/>
      <c r="N48" s="69"/>
      <c r="O48" s="76" t="s">
        <v>586</v>
      </c>
      <c r="P48" s="78">
        <v>44813.669803240744</v>
      </c>
      <c r="Q48" s="76" t="s">
        <v>611</v>
      </c>
      <c r="R48" s="76"/>
      <c r="S48" s="76"/>
      <c r="T48" s="81" t="s">
        <v>808</v>
      </c>
      <c r="U48" s="79" t="str">
        <f>HYPERLINK("https://pbs.twimg.com/ext_tw_video_thumb/1568199549256175617/pu/img/Ysr1rE83e5hn0twR.jpg")</f>
        <v>https://pbs.twimg.com/ext_tw_video_thumb/1568199549256175617/pu/img/Ysr1rE83e5hn0twR.jpg</v>
      </c>
      <c r="V48" s="79" t="str">
        <f>HYPERLINK("https://pbs.twimg.com/ext_tw_video_thumb/1568199549256175617/pu/img/Ysr1rE83e5hn0twR.jpg")</f>
        <v>https://pbs.twimg.com/ext_tw_video_thumb/1568199549256175617/pu/img/Ysr1rE83e5hn0twR.jpg</v>
      </c>
      <c r="W48" s="78">
        <v>44813.669803240744</v>
      </c>
      <c r="X48" s="84">
        <v>44813</v>
      </c>
      <c r="Y48" s="81" t="s">
        <v>940</v>
      </c>
      <c r="Z48" s="79" t="str">
        <f>HYPERLINK("https://twitter.com/yidalem/status/1568269125960757248")</f>
        <v>https://twitter.com/yidalem/status/1568269125960757248</v>
      </c>
      <c r="AA48" s="76"/>
      <c r="AB48" s="76"/>
      <c r="AC48" s="81" t="s">
        <v>1271</v>
      </c>
      <c r="AD48" s="76"/>
      <c r="AE48" s="76" t="b">
        <v>0</v>
      </c>
      <c r="AF48" s="76">
        <v>0</v>
      </c>
      <c r="AG48" s="81" t="s">
        <v>1674</v>
      </c>
      <c r="AH48" s="76" t="b">
        <v>0</v>
      </c>
      <c r="AI48" s="76" t="s">
        <v>1772</v>
      </c>
      <c r="AJ48" s="76"/>
      <c r="AK48" s="81" t="s">
        <v>1674</v>
      </c>
      <c r="AL48" s="76" t="b">
        <v>0</v>
      </c>
      <c r="AM48" s="76">
        <v>16</v>
      </c>
      <c r="AN48" s="81" t="s">
        <v>1295</v>
      </c>
      <c r="AO48" s="81" t="s">
        <v>1808</v>
      </c>
      <c r="AP48" s="76" t="b">
        <v>0</v>
      </c>
      <c r="AQ48" s="81" t="s">
        <v>1295</v>
      </c>
      <c r="AR48" s="76" t="s">
        <v>219</v>
      </c>
      <c r="AS48" s="76">
        <v>0</v>
      </c>
      <c r="AT48" s="76">
        <v>0</v>
      </c>
      <c r="AU48" s="76"/>
      <c r="AV48" s="76"/>
      <c r="AW48" s="76"/>
      <c r="AX48" s="76"/>
      <c r="AY48" s="76"/>
      <c r="AZ48" s="76"/>
      <c r="BA48" s="76"/>
      <c r="BB48" s="76"/>
      <c r="BC48">
        <v>1</v>
      </c>
      <c r="BD48" s="75" t="str">
        <f>REPLACE(INDEX(GroupVertices[Group],MATCH(Edges25[[#This Row],[Vertex 1]],GroupVertices[Vertex],0)),1,1,"")</f>
        <v>5</v>
      </c>
      <c r="BE48" s="75" t="str">
        <f>REPLACE(INDEX(GroupVertices[Group],MATCH(Edges25[[#This Row],[Vertex 2]],GroupVertices[Vertex],0)),1,1,"")</f>
        <v>5</v>
      </c>
      <c r="BF48" s="45">
        <v>1</v>
      </c>
      <c r="BG48" s="46">
        <v>2.5641025641025643</v>
      </c>
      <c r="BH48" s="45">
        <v>0</v>
      </c>
      <c r="BI48" s="46">
        <v>0</v>
      </c>
      <c r="BJ48" s="45">
        <v>0</v>
      </c>
      <c r="BK48" s="46">
        <v>0</v>
      </c>
      <c r="BL48" s="45">
        <v>38</v>
      </c>
      <c r="BM48" s="46">
        <v>97.43589743589743</v>
      </c>
      <c r="BN48" s="45">
        <v>39</v>
      </c>
    </row>
    <row r="49" spans="1:66" ht="15">
      <c r="A49" s="61" t="s">
        <v>298</v>
      </c>
      <c r="B49" s="61" t="s">
        <v>298</v>
      </c>
      <c r="C49" s="62"/>
      <c r="D49" s="63"/>
      <c r="E49" s="62"/>
      <c r="F49" s="65"/>
      <c r="G49" s="62"/>
      <c r="H49" s="66"/>
      <c r="I49" s="67"/>
      <c r="J49" s="67"/>
      <c r="K49" s="31" t="s">
        <v>65</v>
      </c>
      <c r="L49" s="68">
        <v>84</v>
      </c>
      <c r="M49" s="68"/>
      <c r="N49" s="69"/>
      <c r="O49" s="76" t="s">
        <v>219</v>
      </c>
      <c r="P49" s="78">
        <v>44813.690717592595</v>
      </c>
      <c r="Q49" s="76" t="s">
        <v>613</v>
      </c>
      <c r="R49" s="79" t="str">
        <f>HYPERLINK("https://twitter.com/mdfzeh/status/1568260918512951296")</f>
        <v>https://twitter.com/mdfzeh/status/1568260918512951296</v>
      </c>
      <c r="S49" s="76" t="s">
        <v>783</v>
      </c>
      <c r="T49" s="81" t="s">
        <v>809</v>
      </c>
      <c r="U49" s="76"/>
      <c r="V49" s="79" t="str">
        <f>HYPERLINK("https://pbs.twimg.com/profile_images/1388597517416271875/mlaJIl-4_normal.jpg")</f>
        <v>https://pbs.twimg.com/profile_images/1388597517416271875/mlaJIl-4_normal.jpg</v>
      </c>
      <c r="W49" s="78">
        <v>44813.690717592595</v>
      </c>
      <c r="X49" s="84">
        <v>44813</v>
      </c>
      <c r="Y49" s="81" t="s">
        <v>941</v>
      </c>
      <c r="Z49" s="79" t="str">
        <f>HYPERLINK("https://twitter.com/bitcoin_raf/status/1568276704250187776")</f>
        <v>https://twitter.com/bitcoin_raf/status/1568276704250187776</v>
      </c>
      <c r="AA49" s="76"/>
      <c r="AB49" s="76"/>
      <c r="AC49" s="81" t="s">
        <v>1272</v>
      </c>
      <c r="AD49" s="76"/>
      <c r="AE49" s="76" t="b">
        <v>0</v>
      </c>
      <c r="AF49" s="76">
        <v>1</v>
      </c>
      <c r="AG49" s="81" t="s">
        <v>1674</v>
      </c>
      <c r="AH49" s="76" t="b">
        <v>1</v>
      </c>
      <c r="AI49" s="76" t="s">
        <v>1772</v>
      </c>
      <c r="AJ49" s="76"/>
      <c r="AK49" s="81" t="s">
        <v>1789</v>
      </c>
      <c r="AL49" s="76" t="b">
        <v>0</v>
      </c>
      <c r="AM49" s="76">
        <v>0</v>
      </c>
      <c r="AN49" s="81" t="s">
        <v>1674</v>
      </c>
      <c r="AO49" s="81" t="s">
        <v>1807</v>
      </c>
      <c r="AP49" s="76" t="b">
        <v>0</v>
      </c>
      <c r="AQ49" s="81" t="s">
        <v>1272</v>
      </c>
      <c r="AR49" s="76" t="s">
        <v>219</v>
      </c>
      <c r="AS49" s="76">
        <v>0</v>
      </c>
      <c r="AT49" s="76">
        <v>0</v>
      </c>
      <c r="AU49" s="76"/>
      <c r="AV49" s="76"/>
      <c r="AW49" s="76"/>
      <c r="AX49" s="76"/>
      <c r="AY49" s="76"/>
      <c r="AZ49" s="76"/>
      <c r="BA49" s="76"/>
      <c r="BB49" s="76"/>
      <c r="BC49">
        <v>1</v>
      </c>
      <c r="BD49" s="75" t="str">
        <f>REPLACE(INDEX(GroupVertices[Group],MATCH(Edges25[[#This Row],[Vertex 1]],GroupVertices[Vertex],0)),1,1,"")</f>
        <v>2</v>
      </c>
      <c r="BE49" s="75" t="str">
        <f>REPLACE(INDEX(GroupVertices[Group],MATCH(Edges25[[#This Row],[Vertex 2]],GroupVertices[Vertex],0)),1,1,"")</f>
        <v>2</v>
      </c>
      <c r="BF49" s="45">
        <v>2</v>
      </c>
      <c r="BG49" s="46">
        <v>15.384615384615385</v>
      </c>
      <c r="BH49" s="45">
        <v>2</v>
      </c>
      <c r="BI49" s="46">
        <v>15.384615384615385</v>
      </c>
      <c r="BJ49" s="45">
        <v>0</v>
      </c>
      <c r="BK49" s="46">
        <v>0</v>
      </c>
      <c r="BL49" s="45">
        <v>9</v>
      </c>
      <c r="BM49" s="46">
        <v>69.23076923076923</v>
      </c>
      <c r="BN49" s="45">
        <v>13</v>
      </c>
    </row>
    <row r="50" spans="1:66" ht="15">
      <c r="A50" s="61" t="s">
        <v>299</v>
      </c>
      <c r="B50" s="61" t="s">
        <v>300</v>
      </c>
      <c r="C50" s="62"/>
      <c r="D50" s="63"/>
      <c r="E50" s="62"/>
      <c r="F50" s="65"/>
      <c r="G50" s="62"/>
      <c r="H50" s="66"/>
      <c r="I50" s="67"/>
      <c r="J50" s="67"/>
      <c r="K50" s="31" t="s">
        <v>65</v>
      </c>
      <c r="L50" s="68">
        <v>85</v>
      </c>
      <c r="M50" s="68"/>
      <c r="N50" s="69"/>
      <c r="O50" s="76" t="s">
        <v>586</v>
      </c>
      <c r="P50" s="78">
        <v>44813.820625</v>
      </c>
      <c r="Q50" s="76" t="s">
        <v>614</v>
      </c>
      <c r="R50" s="79" t="str">
        <f>HYPERLINK("https://arxiv.org/pdf/2208.07038.pdf")</f>
        <v>https://arxiv.org/pdf/2208.07038.pdf</v>
      </c>
      <c r="S50" s="76" t="s">
        <v>784</v>
      </c>
      <c r="T50" s="81" t="s">
        <v>810</v>
      </c>
      <c r="U50" s="76"/>
      <c r="V50" s="79" t="str">
        <f>HYPERLINK("https://pbs.twimg.com/profile_images/3370185008/37b1880bbcb0c61d273b16f8090a39ec_normal.jpeg")</f>
        <v>https://pbs.twimg.com/profile_images/3370185008/37b1880bbcb0c61d273b16f8090a39ec_normal.jpeg</v>
      </c>
      <c r="W50" s="78">
        <v>44813.820625</v>
      </c>
      <c r="X50" s="84">
        <v>44813</v>
      </c>
      <c r="Y50" s="81" t="s">
        <v>942</v>
      </c>
      <c r="Z50" s="79" t="str">
        <f>HYPERLINK("https://twitter.com/riocard911/status/1568323781869072384")</f>
        <v>https://twitter.com/riocard911/status/1568323781869072384</v>
      </c>
      <c r="AA50" s="76"/>
      <c r="AB50" s="76"/>
      <c r="AC50" s="81" t="s">
        <v>1273</v>
      </c>
      <c r="AD50" s="76"/>
      <c r="AE50" s="76" t="b">
        <v>0</v>
      </c>
      <c r="AF50" s="76">
        <v>0</v>
      </c>
      <c r="AG50" s="81" t="s">
        <v>1674</v>
      </c>
      <c r="AH50" s="76" t="b">
        <v>0</v>
      </c>
      <c r="AI50" s="76" t="s">
        <v>1772</v>
      </c>
      <c r="AJ50" s="76"/>
      <c r="AK50" s="81" t="s">
        <v>1674</v>
      </c>
      <c r="AL50" s="76" t="b">
        <v>0</v>
      </c>
      <c r="AM50" s="76">
        <v>3</v>
      </c>
      <c r="AN50" s="81" t="s">
        <v>1274</v>
      </c>
      <c r="AO50" s="81" t="s">
        <v>1807</v>
      </c>
      <c r="AP50" s="76" t="b">
        <v>0</v>
      </c>
      <c r="AQ50" s="81" t="s">
        <v>1274</v>
      </c>
      <c r="AR50" s="76" t="s">
        <v>219</v>
      </c>
      <c r="AS50" s="76">
        <v>0</v>
      </c>
      <c r="AT50" s="76">
        <v>0</v>
      </c>
      <c r="AU50" s="76"/>
      <c r="AV50" s="76"/>
      <c r="AW50" s="76"/>
      <c r="AX50" s="76"/>
      <c r="AY50" s="76"/>
      <c r="AZ50" s="76"/>
      <c r="BA50" s="76"/>
      <c r="BB50" s="76"/>
      <c r="BC50">
        <v>1</v>
      </c>
      <c r="BD50" s="75" t="str">
        <f>REPLACE(INDEX(GroupVertices[Group],MATCH(Edges25[[#This Row],[Vertex 1]],GroupVertices[Vertex],0)),1,1,"")</f>
        <v>11</v>
      </c>
      <c r="BE50" s="75" t="str">
        <f>REPLACE(INDEX(GroupVertices[Group],MATCH(Edges25[[#This Row],[Vertex 2]],GroupVertices[Vertex],0)),1,1,"")</f>
        <v>11</v>
      </c>
      <c r="BF50" s="45">
        <v>0</v>
      </c>
      <c r="BG50" s="46">
        <v>0</v>
      </c>
      <c r="BH50" s="45">
        <v>0</v>
      </c>
      <c r="BI50" s="46">
        <v>0</v>
      </c>
      <c r="BJ50" s="45">
        <v>0</v>
      </c>
      <c r="BK50" s="46">
        <v>0</v>
      </c>
      <c r="BL50" s="45">
        <v>36</v>
      </c>
      <c r="BM50" s="46">
        <v>100</v>
      </c>
      <c r="BN50" s="45">
        <v>36</v>
      </c>
    </row>
    <row r="51" spans="1:66" ht="15">
      <c r="A51" s="61" t="s">
        <v>300</v>
      </c>
      <c r="B51" s="61" t="s">
        <v>300</v>
      </c>
      <c r="C51" s="62"/>
      <c r="D51" s="63"/>
      <c r="E51" s="62"/>
      <c r="F51" s="65"/>
      <c r="G51" s="62"/>
      <c r="H51" s="66"/>
      <c r="I51" s="67"/>
      <c r="J51" s="67"/>
      <c r="K51" s="31" t="s">
        <v>65</v>
      </c>
      <c r="L51" s="68">
        <v>86</v>
      </c>
      <c r="M51" s="68"/>
      <c r="N51" s="69"/>
      <c r="O51" s="76" t="s">
        <v>219</v>
      </c>
      <c r="P51" s="78">
        <v>44809.77199074074</v>
      </c>
      <c r="Q51" s="76" t="s">
        <v>614</v>
      </c>
      <c r="R51" s="79" t="str">
        <f>HYPERLINK("https://arxiv.org/pdf/2208.07038.pdf")</f>
        <v>https://arxiv.org/pdf/2208.07038.pdf</v>
      </c>
      <c r="S51" s="76" t="s">
        <v>784</v>
      </c>
      <c r="T51" s="81" t="s">
        <v>810</v>
      </c>
      <c r="U51" s="76"/>
      <c r="V51" s="79" t="str">
        <f>HYPERLINK("https://pbs.twimg.com/profile_images/971840564365807616/Y9P5VYMh_normal.jpg")</f>
        <v>https://pbs.twimg.com/profile_images/971840564365807616/Y9P5VYMh_normal.jpg</v>
      </c>
      <c r="W51" s="78">
        <v>44809.77199074074</v>
      </c>
      <c r="X51" s="84">
        <v>44809</v>
      </c>
      <c r="Y51" s="81" t="s">
        <v>943</v>
      </c>
      <c r="Z51" s="79" t="str">
        <f>HYPERLINK("https://twitter.com/jamesfoley57/status/1566856608331833351")</f>
        <v>https://twitter.com/jamesfoley57/status/1566856608331833351</v>
      </c>
      <c r="AA51" s="76"/>
      <c r="AB51" s="76"/>
      <c r="AC51" s="81" t="s">
        <v>1274</v>
      </c>
      <c r="AD51" s="76"/>
      <c r="AE51" s="76" t="b">
        <v>0</v>
      </c>
      <c r="AF51" s="76">
        <v>9</v>
      </c>
      <c r="AG51" s="81" t="s">
        <v>1674</v>
      </c>
      <c r="AH51" s="76" t="b">
        <v>0</v>
      </c>
      <c r="AI51" s="76" t="s">
        <v>1772</v>
      </c>
      <c r="AJ51" s="76"/>
      <c r="AK51" s="81" t="s">
        <v>1674</v>
      </c>
      <c r="AL51" s="76" t="b">
        <v>0</v>
      </c>
      <c r="AM51" s="76">
        <v>3</v>
      </c>
      <c r="AN51" s="81" t="s">
        <v>1674</v>
      </c>
      <c r="AO51" s="81" t="s">
        <v>1808</v>
      </c>
      <c r="AP51" s="76" t="b">
        <v>0</v>
      </c>
      <c r="AQ51" s="81" t="s">
        <v>1274</v>
      </c>
      <c r="AR51" s="76" t="s">
        <v>586</v>
      </c>
      <c r="AS51" s="76">
        <v>0</v>
      </c>
      <c r="AT51" s="76">
        <v>0</v>
      </c>
      <c r="AU51" s="76"/>
      <c r="AV51" s="76"/>
      <c r="AW51" s="76"/>
      <c r="AX51" s="76"/>
      <c r="AY51" s="76"/>
      <c r="AZ51" s="76"/>
      <c r="BA51" s="76"/>
      <c r="BB51" s="76"/>
      <c r="BC51">
        <v>1</v>
      </c>
      <c r="BD51" s="75" t="str">
        <f>REPLACE(INDEX(GroupVertices[Group],MATCH(Edges25[[#This Row],[Vertex 1]],GroupVertices[Vertex],0)),1,1,"")</f>
        <v>11</v>
      </c>
      <c r="BE51" s="75" t="str">
        <f>REPLACE(INDEX(GroupVertices[Group],MATCH(Edges25[[#This Row],[Vertex 2]],GroupVertices[Vertex],0)),1,1,"")</f>
        <v>11</v>
      </c>
      <c r="BF51" s="45">
        <v>0</v>
      </c>
      <c r="BG51" s="46">
        <v>0</v>
      </c>
      <c r="BH51" s="45">
        <v>0</v>
      </c>
      <c r="BI51" s="46">
        <v>0</v>
      </c>
      <c r="BJ51" s="45">
        <v>0</v>
      </c>
      <c r="BK51" s="46">
        <v>0</v>
      </c>
      <c r="BL51" s="45">
        <v>36</v>
      </c>
      <c r="BM51" s="46">
        <v>100</v>
      </c>
      <c r="BN51" s="45">
        <v>36</v>
      </c>
    </row>
    <row r="52" spans="1:66" ht="15">
      <c r="A52" s="61" t="s">
        <v>301</v>
      </c>
      <c r="B52" s="61" t="s">
        <v>300</v>
      </c>
      <c r="C52" s="62"/>
      <c r="D52" s="63"/>
      <c r="E52" s="62"/>
      <c r="F52" s="65"/>
      <c r="G52" s="62"/>
      <c r="H52" s="66"/>
      <c r="I52" s="67"/>
      <c r="J52" s="67"/>
      <c r="K52" s="31" t="s">
        <v>65</v>
      </c>
      <c r="L52" s="68">
        <v>87</v>
      </c>
      <c r="M52" s="68"/>
      <c r="N52" s="69"/>
      <c r="O52" s="76" t="s">
        <v>586</v>
      </c>
      <c r="P52" s="78">
        <v>44813.773888888885</v>
      </c>
      <c r="Q52" s="76" t="s">
        <v>614</v>
      </c>
      <c r="R52" s="79" t="str">
        <f>HYPERLINK("https://arxiv.org/pdf/2208.07038.pdf")</f>
        <v>https://arxiv.org/pdf/2208.07038.pdf</v>
      </c>
      <c r="S52" s="76" t="s">
        <v>784</v>
      </c>
      <c r="T52" s="81" t="s">
        <v>810</v>
      </c>
      <c r="U52" s="76"/>
      <c r="V52" s="79" t="str">
        <f>HYPERLINK("https://pbs.twimg.com/profile_images/1509557834366787590/gNDMKO3O_normal.jpg")</f>
        <v>https://pbs.twimg.com/profile_images/1509557834366787590/gNDMKO3O_normal.jpg</v>
      </c>
      <c r="W52" s="78">
        <v>44813.773888888885</v>
      </c>
      <c r="X52" s="84">
        <v>44813</v>
      </c>
      <c r="Y52" s="81" t="s">
        <v>944</v>
      </c>
      <c r="Z52" s="79" t="str">
        <f>HYPERLINK("https://twitter.com/lucygatsby/status/1568306845684572160")</f>
        <v>https://twitter.com/lucygatsby/status/1568306845684572160</v>
      </c>
      <c r="AA52" s="76"/>
      <c r="AB52" s="76"/>
      <c r="AC52" s="81" t="s">
        <v>1275</v>
      </c>
      <c r="AD52" s="76"/>
      <c r="AE52" s="76" t="b">
        <v>0</v>
      </c>
      <c r="AF52" s="76">
        <v>0</v>
      </c>
      <c r="AG52" s="81" t="s">
        <v>1674</v>
      </c>
      <c r="AH52" s="76" t="b">
        <v>0</v>
      </c>
      <c r="AI52" s="76" t="s">
        <v>1772</v>
      </c>
      <c r="AJ52" s="76"/>
      <c r="AK52" s="81" t="s">
        <v>1674</v>
      </c>
      <c r="AL52" s="76" t="b">
        <v>0</v>
      </c>
      <c r="AM52" s="76">
        <v>3</v>
      </c>
      <c r="AN52" s="81" t="s">
        <v>1274</v>
      </c>
      <c r="AO52" s="81" t="s">
        <v>1807</v>
      </c>
      <c r="AP52" s="76" t="b">
        <v>0</v>
      </c>
      <c r="AQ52" s="81" t="s">
        <v>1274</v>
      </c>
      <c r="AR52" s="76" t="s">
        <v>219</v>
      </c>
      <c r="AS52" s="76">
        <v>0</v>
      </c>
      <c r="AT52" s="76">
        <v>0</v>
      </c>
      <c r="AU52" s="76"/>
      <c r="AV52" s="76"/>
      <c r="AW52" s="76"/>
      <c r="AX52" s="76"/>
      <c r="AY52" s="76"/>
      <c r="AZ52" s="76"/>
      <c r="BA52" s="76"/>
      <c r="BB52" s="76"/>
      <c r="BC52">
        <v>1</v>
      </c>
      <c r="BD52" s="75" t="str">
        <f>REPLACE(INDEX(GroupVertices[Group],MATCH(Edges25[[#This Row],[Vertex 1]],GroupVertices[Vertex],0)),1,1,"")</f>
        <v>11</v>
      </c>
      <c r="BE52" s="75" t="str">
        <f>REPLACE(INDEX(GroupVertices[Group],MATCH(Edges25[[#This Row],[Vertex 2]],GroupVertices[Vertex],0)),1,1,"")</f>
        <v>11</v>
      </c>
      <c r="BF52" s="45">
        <v>0</v>
      </c>
      <c r="BG52" s="46">
        <v>0</v>
      </c>
      <c r="BH52" s="45">
        <v>0</v>
      </c>
      <c r="BI52" s="46">
        <v>0</v>
      </c>
      <c r="BJ52" s="45">
        <v>0</v>
      </c>
      <c r="BK52" s="46">
        <v>0</v>
      </c>
      <c r="BL52" s="45">
        <v>36</v>
      </c>
      <c r="BM52" s="46">
        <v>100</v>
      </c>
      <c r="BN52" s="45">
        <v>36</v>
      </c>
    </row>
    <row r="53" spans="1:66" ht="15">
      <c r="A53" s="61" t="s">
        <v>302</v>
      </c>
      <c r="B53" s="61" t="s">
        <v>300</v>
      </c>
      <c r="C53" s="62"/>
      <c r="D53" s="63"/>
      <c r="E53" s="62"/>
      <c r="F53" s="65"/>
      <c r="G53" s="62"/>
      <c r="H53" s="66"/>
      <c r="I53" s="67"/>
      <c r="J53" s="67"/>
      <c r="K53" s="31" t="s">
        <v>65</v>
      </c>
      <c r="L53" s="68">
        <v>88</v>
      </c>
      <c r="M53" s="68"/>
      <c r="N53" s="69"/>
      <c r="O53" s="76" t="s">
        <v>586</v>
      </c>
      <c r="P53" s="78">
        <v>44813.83420138889</v>
      </c>
      <c r="Q53" s="76" t="s">
        <v>614</v>
      </c>
      <c r="R53" s="79" t="str">
        <f>HYPERLINK("https://arxiv.org/pdf/2208.07038.pdf")</f>
        <v>https://arxiv.org/pdf/2208.07038.pdf</v>
      </c>
      <c r="S53" s="76" t="s">
        <v>784</v>
      </c>
      <c r="T53" s="81" t="s">
        <v>810</v>
      </c>
      <c r="U53" s="76"/>
      <c r="V53" s="79" t="str">
        <f>HYPERLINK("https://pbs.twimg.com/profile_images/1520130069146050560/-sIvMe0C_normal.jpg")</f>
        <v>https://pbs.twimg.com/profile_images/1520130069146050560/-sIvMe0C_normal.jpg</v>
      </c>
      <c r="W53" s="78">
        <v>44813.83420138889</v>
      </c>
      <c r="X53" s="84">
        <v>44813</v>
      </c>
      <c r="Y53" s="81" t="s">
        <v>945</v>
      </c>
      <c r="Z53" s="79" t="str">
        <f>HYPERLINK("https://twitter.com/100anb/status/1568328702869606403")</f>
        <v>https://twitter.com/100anb/status/1568328702869606403</v>
      </c>
      <c r="AA53" s="76"/>
      <c r="AB53" s="76"/>
      <c r="AC53" s="81" t="s">
        <v>1276</v>
      </c>
      <c r="AD53" s="76"/>
      <c r="AE53" s="76" t="b">
        <v>0</v>
      </c>
      <c r="AF53" s="76">
        <v>0</v>
      </c>
      <c r="AG53" s="81" t="s">
        <v>1674</v>
      </c>
      <c r="AH53" s="76" t="b">
        <v>0</v>
      </c>
      <c r="AI53" s="76" t="s">
        <v>1772</v>
      </c>
      <c r="AJ53" s="76"/>
      <c r="AK53" s="81" t="s">
        <v>1674</v>
      </c>
      <c r="AL53" s="76" t="b">
        <v>0</v>
      </c>
      <c r="AM53" s="76">
        <v>3</v>
      </c>
      <c r="AN53" s="81" t="s">
        <v>1274</v>
      </c>
      <c r="AO53" s="81" t="s">
        <v>1807</v>
      </c>
      <c r="AP53" s="76" t="b">
        <v>0</v>
      </c>
      <c r="AQ53" s="81" t="s">
        <v>1274</v>
      </c>
      <c r="AR53" s="76" t="s">
        <v>219</v>
      </c>
      <c r="AS53" s="76">
        <v>0</v>
      </c>
      <c r="AT53" s="76">
        <v>0</v>
      </c>
      <c r="AU53" s="76"/>
      <c r="AV53" s="76"/>
      <c r="AW53" s="76"/>
      <c r="AX53" s="76"/>
      <c r="AY53" s="76"/>
      <c r="AZ53" s="76"/>
      <c r="BA53" s="76"/>
      <c r="BB53" s="76"/>
      <c r="BC53">
        <v>1</v>
      </c>
      <c r="BD53" s="75" t="str">
        <f>REPLACE(INDEX(GroupVertices[Group],MATCH(Edges25[[#This Row],[Vertex 1]],GroupVertices[Vertex],0)),1,1,"")</f>
        <v>11</v>
      </c>
      <c r="BE53" s="75" t="str">
        <f>REPLACE(INDEX(GroupVertices[Group],MATCH(Edges25[[#This Row],[Vertex 2]],GroupVertices[Vertex],0)),1,1,"")</f>
        <v>11</v>
      </c>
      <c r="BF53" s="45">
        <v>0</v>
      </c>
      <c r="BG53" s="46">
        <v>0</v>
      </c>
      <c r="BH53" s="45">
        <v>0</v>
      </c>
      <c r="BI53" s="46">
        <v>0</v>
      </c>
      <c r="BJ53" s="45">
        <v>0</v>
      </c>
      <c r="BK53" s="46">
        <v>0</v>
      </c>
      <c r="BL53" s="45">
        <v>36</v>
      </c>
      <c r="BM53" s="46">
        <v>100</v>
      </c>
      <c r="BN53" s="45">
        <v>36</v>
      </c>
    </row>
    <row r="54" spans="1:66" ht="15">
      <c r="A54" s="61" t="s">
        <v>303</v>
      </c>
      <c r="B54" s="61" t="s">
        <v>303</v>
      </c>
      <c r="C54" s="62"/>
      <c r="D54" s="63"/>
      <c r="E54" s="62"/>
      <c r="F54" s="65"/>
      <c r="G54" s="62"/>
      <c r="H54" s="66"/>
      <c r="I54" s="67"/>
      <c r="J54" s="67"/>
      <c r="K54" s="31" t="s">
        <v>65</v>
      </c>
      <c r="L54" s="68">
        <v>89</v>
      </c>
      <c r="M54" s="68"/>
      <c r="N54" s="69"/>
      <c r="O54" s="76" t="s">
        <v>219</v>
      </c>
      <c r="P54" s="78">
        <v>44813.83537037037</v>
      </c>
      <c r="Q54" s="76" t="s">
        <v>615</v>
      </c>
      <c r="R54" s="76"/>
      <c r="S54" s="76"/>
      <c r="T54" s="76"/>
      <c r="U54" s="76"/>
      <c r="V54" s="79" t="str">
        <f>HYPERLINK("https://pbs.twimg.com/profile_images/1567776969344913408/0nD1ET8I_normal.jpg")</f>
        <v>https://pbs.twimg.com/profile_images/1567776969344913408/0nD1ET8I_normal.jpg</v>
      </c>
      <c r="W54" s="78">
        <v>44813.83537037037</v>
      </c>
      <c r="X54" s="84">
        <v>44813</v>
      </c>
      <c r="Y54" s="81" t="s">
        <v>946</v>
      </c>
      <c r="Z54" s="79" t="str">
        <f>HYPERLINK("https://twitter.com/uutis_huone/status/1568329125357850625")</f>
        <v>https://twitter.com/uutis_huone/status/1568329125357850625</v>
      </c>
      <c r="AA54" s="76"/>
      <c r="AB54" s="76"/>
      <c r="AC54" s="81" t="s">
        <v>1277</v>
      </c>
      <c r="AD54" s="81" t="s">
        <v>1576</v>
      </c>
      <c r="AE54" s="76" t="b">
        <v>0</v>
      </c>
      <c r="AF54" s="76">
        <v>1</v>
      </c>
      <c r="AG54" s="81" t="s">
        <v>1686</v>
      </c>
      <c r="AH54" s="76" t="b">
        <v>0</v>
      </c>
      <c r="AI54" s="76" t="s">
        <v>1778</v>
      </c>
      <c r="AJ54" s="76"/>
      <c r="AK54" s="81" t="s">
        <v>1674</v>
      </c>
      <c r="AL54" s="76" t="b">
        <v>0</v>
      </c>
      <c r="AM54" s="76">
        <v>0</v>
      </c>
      <c r="AN54" s="81" t="s">
        <v>1674</v>
      </c>
      <c r="AO54" s="81" t="s">
        <v>1807</v>
      </c>
      <c r="AP54" s="76" t="b">
        <v>0</v>
      </c>
      <c r="AQ54" s="81" t="s">
        <v>1576</v>
      </c>
      <c r="AR54" s="76" t="s">
        <v>219</v>
      </c>
      <c r="AS54" s="76">
        <v>0</v>
      </c>
      <c r="AT54" s="76">
        <v>0</v>
      </c>
      <c r="AU54" s="76"/>
      <c r="AV54" s="76"/>
      <c r="AW54" s="76"/>
      <c r="AX54" s="76"/>
      <c r="AY54" s="76"/>
      <c r="AZ54" s="76"/>
      <c r="BA54" s="76"/>
      <c r="BB54" s="76"/>
      <c r="BC54">
        <v>1</v>
      </c>
      <c r="BD54" s="75" t="str">
        <f>REPLACE(INDEX(GroupVertices[Group],MATCH(Edges25[[#This Row],[Vertex 1]],GroupVertices[Vertex],0)),1,1,"")</f>
        <v>2</v>
      </c>
      <c r="BE54" s="75" t="str">
        <f>REPLACE(INDEX(GroupVertices[Group],MATCH(Edges25[[#This Row],[Vertex 2]],GroupVertices[Vertex],0)),1,1,"")</f>
        <v>2</v>
      </c>
      <c r="BF54" s="45">
        <v>0</v>
      </c>
      <c r="BG54" s="46">
        <v>0</v>
      </c>
      <c r="BH54" s="45">
        <v>0</v>
      </c>
      <c r="BI54" s="46">
        <v>0</v>
      </c>
      <c r="BJ54" s="45">
        <v>0</v>
      </c>
      <c r="BK54" s="46">
        <v>0</v>
      </c>
      <c r="BL54" s="45">
        <v>28</v>
      </c>
      <c r="BM54" s="46">
        <v>100</v>
      </c>
      <c r="BN54" s="45">
        <v>28</v>
      </c>
    </row>
    <row r="55" spans="1:66" ht="15">
      <c r="A55" s="61" t="s">
        <v>304</v>
      </c>
      <c r="B55" s="61" t="s">
        <v>304</v>
      </c>
      <c r="C55" s="62"/>
      <c r="D55" s="63"/>
      <c r="E55" s="62"/>
      <c r="F55" s="65"/>
      <c r="G55" s="62"/>
      <c r="H55" s="66"/>
      <c r="I55" s="67"/>
      <c r="J55" s="67"/>
      <c r="K55" s="31" t="s">
        <v>65</v>
      </c>
      <c r="L55" s="68">
        <v>90</v>
      </c>
      <c r="M55" s="68"/>
      <c r="N55" s="69"/>
      <c r="O55" s="76" t="s">
        <v>219</v>
      </c>
      <c r="P55" s="78">
        <v>44811.54657407408</v>
      </c>
      <c r="Q55" s="76" t="s">
        <v>616</v>
      </c>
      <c r="R55" s="76"/>
      <c r="S55" s="76"/>
      <c r="T55" s="81" t="s">
        <v>811</v>
      </c>
      <c r="U55" s="76"/>
      <c r="V55" s="79" t="str">
        <f>HYPERLINK("https://pbs.twimg.com/profile_images/1503799462816362496/bFBp6Bca_normal.jpg")</f>
        <v>https://pbs.twimg.com/profile_images/1503799462816362496/bFBp6Bca_normal.jpg</v>
      </c>
      <c r="W55" s="78">
        <v>44811.54657407408</v>
      </c>
      <c r="X55" s="84">
        <v>44811</v>
      </c>
      <c r="Y55" s="81" t="s">
        <v>947</v>
      </c>
      <c r="Z55" s="79" t="str">
        <f>HYPERLINK("https://twitter.com/ipurdley/status/1567499696213561344")</f>
        <v>https://twitter.com/ipurdley/status/1567499696213561344</v>
      </c>
      <c r="AA55" s="76"/>
      <c r="AB55" s="76"/>
      <c r="AC55" s="81" t="s">
        <v>1278</v>
      </c>
      <c r="AD55" s="76"/>
      <c r="AE55" s="76" t="b">
        <v>0</v>
      </c>
      <c r="AF55" s="76">
        <v>2</v>
      </c>
      <c r="AG55" s="81" t="s">
        <v>1674</v>
      </c>
      <c r="AH55" s="76" t="b">
        <v>0</v>
      </c>
      <c r="AI55" s="76" t="s">
        <v>1772</v>
      </c>
      <c r="AJ55" s="76"/>
      <c r="AK55" s="81" t="s">
        <v>1674</v>
      </c>
      <c r="AL55" s="76" t="b">
        <v>0</v>
      </c>
      <c r="AM55" s="76">
        <v>0</v>
      </c>
      <c r="AN55" s="81" t="s">
        <v>1674</v>
      </c>
      <c r="AO55" s="81" t="s">
        <v>1808</v>
      </c>
      <c r="AP55" s="76" t="b">
        <v>0</v>
      </c>
      <c r="AQ55" s="81" t="s">
        <v>1278</v>
      </c>
      <c r="AR55" s="76" t="s">
        <v>219</v>
      </c>
      <c r="AS55" s="76">
        <v>0</v>
      </c>
      <c r="AT55" s="76">
        <v>0</v>
      </c>
      <c r="AU55" s="76"/>
      <c r="AV55" s="76"/>
      <c r="AW55" s="76"/>
      <c r="AX55" s="76"/>
      <c r="AY55" s="76"/>
      <c r="AZ55" s="76"/>
      <c r="BA55" s="76"/>
      <c r="BB55" s="76"/>
      <c r="BC55">
        <v>8</v>
      </c>
      <c r="BD55" s="75" t="str">
        <f>REPLACE(INDEX(GroupVertices[Group],MATCH(Edges25[[#This Row],[Vertex 1]],GroupVertices[Vertex],0)),1,1,"")</f>
        <v>59</v>
      </c>
      <c r="BE55" s="75" t="str">
        <f>REPLACE(INDEX(GroupVertices[Group],MATCH(Edges25[[#This Row],[Vertex 2]],GroupVertices[Vertex],0)),1,1,"")</f>
        <v>59</v>
      </c>
      <c r="BF55" s="45">
        <v>0</v>
      </c>
      <c r="BG55" s="46">
        <v>0</v>
      </c>
      <c r="BH55" s="45">
        <v>3</v>
      </c>
      <c r="BI55" s="46">
        <v>8.571428571428571</v>
      </c>
      <c r="BJ55" s="45">
        <v>0</v>
      </c>
      <c r="BK55" s="46">
        <v>0</v>
      </c>
      <c r="BL55" s="45">
        <v>32</v>
      </c>
      <c r="BM55" s="46">
        <v>91.42857142857143</v>
      </c>
      <c r="BN55" s="45">
        <v>35</v>
      </c>
    </row>
    <row r="56" spans="1:66" ht="15">
      <c r="A56" s="61" t="s">
        <v>304</v>
      </c>
      <c r="B56" s="61" t="s">
        <v>304</v>
      </c>
      <c r="C56" s="62"/>
      <c r="D56" s="63"/>
      <c r="E56" s="62"/>
      <c r="F56" s="65"/>
      <c r="G56" s="62"/>
      <c r="H56" s="66"/>
      <c r="I56" s="67"/>
      <c r="J56" s="67"/>
      <c r="K56" s="31" t="s">
        <v>65</v>
      </c>
      <c r="L56" s="68">
        <v>91</v>
      </c>
      <c r="M56" s="68"/>
      <c r="N56" s="69"/>
      <c r="O56" s="76" t="s">
        <v>219</v>
      </c>
      <c r="P56" s="78">
        <v>44811.74252314815</v>
      </c>
      <c r="Q56" s="76" t="s">
        <v>617</v>
      </c>
      <c r="R56" s="79" t="str">
        <f>HYPERLINK("https://twitter.com/Sloe_Rida/status/1566178662969638912")</f>
        <v>https://twitter.com/Sloe_Rida/status/1566178662969638912</v>
      </c>
      <c r="S56" s="76" t="s">
        <v>783</v>
      </c>
      <c r="T56" s="81" t="s">
        <v>812</v>
      </c>
      <c r="U56" s="76"/>
      <c r="V56" s="79" t="str">
        <f>HYPERLINK("https://pbs.twimg.com/profile_images/1503799462816362496/bFBp6Bca_normal.jpg")</f>
        <v>https://pbs.twimg.com/profile_images/1503799462816362496/bFBp6Bca_normal.jpg</v>
      </c>
      <c r="W56" s="78">
        <v>44811.74252314815</v>
      </c>
      <c r="X56" s="84">
        <v>44811</v>
      </c>
      <c r="Y56" s="81" t="s">
        <v>948</v>
      </c>
      <c r="Z56" s="79" t="str">
        <f>HYPERLINK("https://twitter.com/ipurdley/status/1567570701804048390")</f>
        <v>https://twitter.com/ipurdley/status/1567570701804048390</v>
      </c>
      <c r="AA56" s="76"/>
      <c r="AB56" s="76"/>
      <c r="AC56" s="81" t="s">
        <v>1279</v>
      </c>
      <c r="AD56" s="76"/>
      <c r="AE56" s="76" t="b">
        <v>0</v>
      </c>
      <c r="AF56" s="76">
        <v>2</v>
      </c>
      <c r="AG56" s="81" t="s">
        <v>1674</v>
      </c>
      <c r="AH56" s="76" t="b">
        <v>1</v>
      </c>
      <c r="AI56" s="76" t="s">
        <v>1772</v>
      </c>
      <c r="AJ56" s="76"/>
      <c r="AK56" s="81" t="s">
        <v>1790</v>
      </c>
      <c r="AL56" s="76" t="b">
        <v>0</v>
      </c>
      <c r="AM56" s="76">
        <v>1</v>
      </c>
      <c r="AN56" s="81" t="s">
        <v>1674</v>
      </c>
      <c r="AO56" s="81" t="s">
        <v>1808</v>
      </c>
      <c r="AP56" s="76" t="b">
        <v>0</v>
      </c>
      <c r="AQ56" s="81" t="s">
        <v>1279</v>
      </c>
      <c r="AR56" s="76" t="s">
        <v>219</v>
      </c>
      <c r="AS56" s="76">
        <v>0</v>
      </c>
      <c r="AT56" s="76">
        <v>0</v>
      </c>
      <c r="AU56" s="76"/>
      <c r="AV56" s="76"/>
      <c r="AW56" s="76"/>
      <c r="AX56" s="76"/>
      <c r="AY56" s="76"/>
      <c r="AZ56" s="76"/>
      <c r="BA56" s="76"/>
      <c r="BB56" s="76"/>
      <c r="BC56">
        <v>8</v>
      </c>
      <c r="BD56" s="75" t="str">
        <f>REPLACE(INDEX(GroupVertices[Group],MATCH(Edges25[[#This Row],[Vertex 1]],GroupVertices[Vertex],0)),1,1,"")</f>
        <v>59</v>
      </c>
      <c r="BE56" s="75" t="str">
        <f>REPLACE(INDEX(GroupVertices[Group],MATCH(Edges25[[#This Row],[Vertex 2]],GroupVertices[Vertex],0)),1,1,"")</f>
        <v>59</v>
      </c>
      <c r="BF56" s="45">
        <v>1</v>
      </c>
      <c r="BG56" s="46">
        <v>2.2222222222222223</v>
      </c>
      <c r="BH56" s="45">
        <v>5</v>
      </c>
      <c r="BI56" s="46">
        <v>11.11111111111111</v>
      </c>
      <c r="BJ56" s="45">
        <v>0</v>
      </c>
      <c r="BK56" s="46">
        <v>0</v>
      </c>
      <c r="BL56" s="45">
        <v>39</v>
      </c>
      <c r="BM56" s="46">
        <v>86.66666666666667</v>
      </c>
      <c r="BN56" s="45">
        <v>45</v>
      </c>
    </row>
    <row r="57" spans="1:66" ht="15">
      <c r="A57" s="61" t="s">
        <v>304</v>
      </c>
      <c r="B57" s="61" t="s">
        <v>304</v>
      </c>
      <c r="C57" s="62"/>
      <c r="D57" s="63"/>
      <c r="E57" s="62"/>
      <c r="F57" s="65"/>
      <c r="G57" s="62"/>
      <c r="H57" s="66"/>
      <c r="I57" s="67"/>
      <c r="J57" s="67"/>
      <c r="K57" s="31" t="s">
        <v>65</v>
      </c>
      <c r="L57" s="68">
        <v>92</v>
      </c>
      <c r="M57" s="68"/>
      <c r="N57" s="69"/>
      <c r="O57" s="76" t="s">
        <v>219</v>
      </c>
      <c r="P57" s="78">
        <v>44811.74599537037</v>
      </c>
      <c r="Q57" s="76" t="s">
        <v>618</v>
      </c>
      <c r="R57" s="76"/>
      <c r="S57" s="76"/>
      <c r="T57" s="81" t="s">
        <v>795</v>
      </c>
      <c r="U57" s="79" t="str">
        <f>HYPERLINK("https://pbs.twimg.com/media/FcEiRakX0AEnveA.png")</f>
        <v>https://pbs.twimg.com/media/FcEiRakX0AEnveA.png</v>
      </c>
      <c r="V57" s="79" t="str">
        <f>HYPERLINK("https://pbs.twimg.com/media/FcEiRakX0AEnveA.png")</f>
        <v>https://pbs.twimg.com/media/FcEiRakX0AEnveA.png</v>
      </c>
      <c r="W57" s="78">
        <v>44811.74599537037</v>
      </c>
      <c r="X57" s="84">
        <v>44811</v>
      </c>
      <c r="Y57" s="81" t="s">
        <v>949</v>
      </c>
      <c r="Z57" s="79" t="str">
        <f>HYPERLINK("https://twitter.com/ipurdley/status/1567571962943111169")</f>
        <v>https://twitter.com/ipurdley/status/1567571962943111169</v>
      </c>
      <c r="AA57" s="76"/>
      <c r="AB57" s="76"/>
      <c r="AC57" s="81" t="s">
        <v>1280</v>
      </c>
      <c r="AD57" s="76"/>
      <c r="AE57" s="76" t="b">
        <v>0</v>
      </c>
      <c r="AF57" s="76">
        <v>0</v>
      </c>
      <c r="AG57" s="81" t="s">
        <v>1674</v>
      </c>
      <c r="AH57" s="76" t="b">
        <v>0</v>
      </c>
      <c r="AI57" s="76" t="s">
        <v>1772</v>
      </c>
      <c r="AJ57" s="76"/>
      <c r="AK57" s="81" t="s">
        <v>1674</v>
      </c>
      <c r="AL57" s="76" t="b">
        <v>0</v>
      </c>
      <c r="AM57" s="76">
        <v>0</v>
      </c>
      <c r="AN57" s="81" t="s">
        <v>1674</v>
      </c>
      <c r="AO57" s="81" t="s">
        <v>1808</v>
      </c>
      <c r="AP57" s="76" t="b">
        <v>0</v>
      </c>
      <c r="AQ57" s="81" t="s">
        <v>1280</v>
      </c>
      <c r="AR57" s="76" t="s">
        <v>219</v>
      </c>
      <c r="AS57" s="76">
        <v>0</v>
      </c>
      <c r="AT57" s="76">
        <v>0</v>
      </c>
      <c r="AU57" s="76"/>
      <c r="AV57" s="76"/>
      <c r="AW57" s="76"/>
      <c r="AX57" s="76"/>
      <c r="AY57" s="76"/>
      <c r="AZ57" s="76"/>
      <c r="BA57" s="76"/>
      <c r="BB57" s="76"/>
      <c r="BC57">
        <v>8</v>
      </c>
      <c r="BD57" s="75" t="str">
        <f>REPLACE(INDEX(GroupVertices[Group],MATCH(Edges25[[#This Row],[Vertex 1]],GroupVertices[Vertex],0)),1,1,"")</f>
        <v>59</v>
      </c>
      <c r="BE57" s="75" t="str">
        <f>REPLACE(INDEX(GroupVertices[Group],MATCH(Edges25[[#This Row],[Vertex 2]],GroupVertices[Vertex],0)),1,1,"")</f>
        <v>59</v>
      </c>
      <c r="BF57" s="45">
        <v>1</v>
      </c>
      <c r="BG57" s="46">
        <v>4</v>
      </c>
      <c r="BH57" s="45">
        <v>3</v>
      </c>
      <c r="BI57" s="46">
        <v>12</v>
      </c>
      <c r="BJ57" s="45">
        <v>0</v>
      </c>
      <c r="BK57" s="46">
        <v>0</v>
      </c>
      <c r="BL57" s="45">
        <v>21</v>
      </c>
      <c r="BM57" s="46">
        <v>84</v>
      </c>
      <c r="BN57" s="45">
        <v>25</v>
      </c>
    </row>
    <row r="58" spans="1:66" ht="15">
      <c r="A58" s="61" t="s">
        <v>304</v>
      </c>
      <c r="B58" s="61" t="s">
        <v>304</v>
      </c>
      <c r="C58" s="62"/>
      <c r="D58" s="63"/>
      <c r="E58" s="62"/>
      <c r="F58" s="65"/>
      <c r="G58" s="62"/>
      <c r="H58" s="66"/>
      <c r="I58" s="67"/>
      <c r="J58" s="67"/>
      <c r="K58" s="31" t="s">
        <v>65</v>
      </c>
      <c r="L58" s="68">
        <v>93</v>
      </c>
      <c r="M58" s="68"/>
      <c r="N58" s="69"/>
      <c r="O58" s="76" t="s">
        <v>219</v>
      </c>
      <c r="P58" s="78">
        <v>44811.74880787037</v>
      </c>
      <c r="Q58" s="76" t="s">
        <v>619</v>
      </c>
      <c r="R58" s="76"/>
      <c r="S58" s="76"/>
      <c r="T58" s="81" t="s">
        <v>795</v>
      </c>
      <c r="U58" s="79" t="str">
        <f>HYPERLINK("https://pbs.twimg.com/media/FcEjTd0WYAEgVCM.jpg")</f>
        <v>https://pbs.twimg.com/media/FcEjTd0WYAEgVCM.jpg</v>
      </c>
      <c r="V58" s="79" t="str">
        <f>HYPERLINK("https://pbs.twimg.com/media/FcEjTd0WYAEgVCM.jpg")</f>
        <v>https://pbs.twimg.com/media/FcEjTd0WYAEgVCM.jpg</v>
      </c>
      <c r="W58" s="78">
        <v>44811.74880787037</v>
      </c>
      <c r="X58" s="84">
        <v>44811</v>
      </c>
      <c r="Y58" s="81" t="s">
        <v>950</v>
      </c>
      <c r="Z58" s="79" t="str">
        <f>HYPERLINK("https://twitter.com/ipurdley/status/1567572979466256388")</f>
        <v>https://twitter.com/ipurdley/status/1567572979466256388</v>
      </c>
      <c r="AA58" s="76"/>
      <c r="AB58" s="76"/>
      <c r="AC58" s="81" t="s">
        <v>1281</v>
      </c>
      <c r="AD58" s="76"/>
      <c r="AE58" s="76" t="b">
        <v>0</v>
      </c>
      <c r="AF58" s="76">
        <v>1</v>
      </c>
      <c r="AG58" s="81" t="s">
        <v>1674</v>
      </c>
      <c r="AH58" s="76" t="b">
        <v>0</v>
      </c>
      <c r="AI58" s="76" t="s">
        <v>1772</v>
      </c>
      <c r="AJ58" s="76"/>
      <c r="AK58" s="81" t="s">
        <v>1674</v>
      </c>
      <c r="AL58" s="76" t="b">
        <v>0</v>
      </c>
      <c r="AM58" s="76">
        <v>0</v>
      </c>
      <c r="AN58" s="81" t="s">
        <v>1674</v>
      </c>
      <c r="AO58" s="81" t="s">
        <v>1808</v>
      </c>
      <c r="AP58" s="76" t="b">
        <v>0</v>
      </c>
      <c r="AQ58" s="81" t="s">
        <v>1281</v>
      </c>
      <c r="AR58" s="76" t="s">
        <v>219</v>
      </c>
      <c r="AS58" s="76">
        <v>0</v>
      </c>
      <c r="AT58" s="76">
        <v>0</v>
      </c>
      <c r="AU58" s="76"/>
      <c r="AV58" s="76"/>
      <c r="AW58" s="76"/>
      <c r="AX58" s="76"/>
      <c r="AY58" s="76"/>
      <c r="AZ58" s="76"/>
      <c r="BA58" s="76"/>
      <c r="BB58" s="76"/>
      <c r="BC58">
        <v>8</v>
      </c>
      <c r="BD58" s="75" t="str">
        <f>REPLACE(INDEX(GroupVertices[Group],MATCH(Edges25[[#This Row],[Vertex 1]],GroupVertices[Vertex],0)),1,1,"")</f>
        <v>59</v>
      </c>
      <c r="BE58" s="75" t="str">
        <f>REPLACE(INDEX(GroupVertices[Group],MATCH(Edges25[[#This Row],[Vertex 2]],GroupVertices[Vertex],0)),1,1,"")</f>
        <v>59</v>
      </c>
      <c r="BF58" s="45">
        <v>1</v>
      </c>
      <c r="BG58" s="46">
        <v>4.166666666666667</v>
      </c>
      <c r="BH58" s="45">
        <v>2</v>
      </c>
      <c r="BI58" s="46">
        <v>8.333333333333334</v>
      </c>
      <c r="BJ58" s="45">
        <v>0</v>
      </c>
      <c r="BK58" s="46">
        <v>0</v>
      </c>
      <c r="BL58" s="45">
        <v>21</v>
      </c>
      <c r="BM58" s="46">
        <v>87.5</v>
      </c>
      <c r="BN58" s="45">
        <v>24</v>
      </c>
    </row>
    <row r="59" spans="1:66" ht="15">
      <c r="A59" s="61" t="s">
        <v>304</v>
      </c>
      <c r="B59" s="61" t="s">
        <v>304</v>
      </c>
      <c r="C59" s="62"/>
      <c r="D59" s="63"/>
      <c r="E59" s="62"/>
      <c r="F59" s="65"/>
      <c r="G59" s="62"/>
      <c r="H59" s="66"/>
      <c r="I59" s="67"/>
      <c r="J59" s="67"/>
      <c r="K59" s="31" t="s">
        <v>65</v>
      </c>
      <c r="L59" s="68">
        <v>94</v>
      </c>
      <c r="M59" s="68"/>
      <c r="N59" s="69"/>
      <c r="O59" s="76" t="s">
        <v>219</v>
      </c>
      <c r="P59" s="78">
        <v>44811.76733796296</v>
      </c>
      <c r="Q59" s="76" t="s">
        <v>620</v>
      </c>
      <c r="R59" s="76"/>
      <c r="S59" s="76"/>
      <c r="T59" s="81" t="s">
        <v>813</v>
      </c>
      <c r="U59" s="76"/>
      <c r="V59" s="79" t="str">
        <f>HYPERLINK("https://pbs.twimg.com/profile_images/1503799462816362496/bFBp6Bca_normal.jpg")</f>
        <v>https://pbs.twimg.com/profile_images/1503799462816362496/bFBp6Bca_normal.jpg</v>
      </c>
      <c r="W59" s="78">
        <v>44811.76733796296</v>
      </c>
      <c r="X59" s="84">
        <v>44811</v>
      </c>
      <c r="Y59" s="81" t="s">
        <v>951</v>
      </c>
      <c r="Z59" s="79" t="str">
        <f>HYPERLINK("https://twitter.com/ipurdley/status/1567579696090562560")</f>
        <v>https://twitter.com/ipurdley/status/1567579696090562560</v>
      </c>
      <c r="AA59" s="76"/>
      <c r="AB59" s="76"/>
      <c r="AC59" s="81" t="s">
        <v>1282</v>
      </c>
      <c r="AD59" s="76"/>
      <c r="AE59" s="76" t="b">
        <v>0</v>
      </c>
      <c r="AF59" s="76">
        <v>2</v>
      </c>
      <c r="AG59" s="81" t="s">
        <v>1674</v>
      </c>
      <c r="AH59" s="76" t="b">
        <v>0</v>
      </c>
      <c r="AI59" s="76" t="s">
        <v>1772</v>
      </c>
      <c r="AJ59" s="76"/>
      <c r="AK59" s="81" t="s">
        <v>1674</v>
      </c>
      <c r="AL59" s="76" t="b">
        <v>0</v>
      </c>
      <c r="AM59" s="76">
        <v>1</v>
      </c>
      <c r="AN59" s="81" t="s">
        <v>1674</v>
      </c>
      <c r="AO59" s="81" t="s">
        <v>1808</v>
      </c>
      <c r="AP59" s="76" t="b">
        <v>0</v>
      </c>
      <c r="AQ59" s="81" t="s">
        <v>1282</v>
      </c>
      <c r="AR59" s="76" t="s">
        <v>219</v>
      </c>
      <c r="AS59" s="76">
        <v>0</v>
      </c>
      <c r="AT59" s="76">
        <v>0</v>
      </c>
      <c r="AU59" s="76"/>
      <c r="AV59" s="76"/>
      <c r="AW59" s="76"/>
      <c r="AX59" s="76"/>
      <c r="AY59" s="76"/>
      <c r="AZ59" s="76"/>
      <c r="BA59" s="76"/>
      <c r="BB59" s="76"/>
      <c r="BC59">
        <v>8</v>
      </c>
      <c r="BD59" s="75" t="str">
        <f>REPLACE(INDEX(GroupVertices[Group],MATCH(Edges25[[#This Row],[Vertex 1]],GroupVertices[Vertex],0)),1,1,"")</f>
        <v>59</v>
      </c>
      <c r="BE59" s="75" t="str">
        <f>REPLACE(INDEX(GroupVertices[Group],MATCH(Edges25[[#This Row],[Vertex 2]],GroupVertices[Vertex],0)),1,1,"")</f>
        <v>59</v>
      </c>
      <c r="BF59" s="45">
        <v>0</v>
      </c>
      <c r="BG59" s="46">
        <v>0</v>
      </c>
      <c r="BH59" s="45">
        <v>3</v>
      </c>
      <c r="BI59" s="46">
        <v>6.382978723404255</v>
      </c>
      <c r="BJ59" s="45">
        <v>0</v>
      </c>
      <c r="BK59" s="46">
        <v>0</v>
      </c>
      <c r="BL59" s="45">
        <v>44</v>
      </c>
      <c r="BM59" s="46">
        <v>93.61702127659575</v>
      </c>
      <c r="BN59" s="45">
        <v>47</v>
      </c>
    </row>
    <row r="60" spans="1:66" ht="15">
      <c r="A60" s="61" t="s">
        <v>304</v>
      </c>
      <c r="B60" s="61" t="s">
        <v>304</v>
      </c>
      <c r="C60" s="62"/>
      <c r="D60" s="63"/>
      <c r="E60" s="62"/>
      <c r="F60" s="65"/>
      <c r="G60" s="62"/>
      <c r="H60" s="66"/>
      <c r="I60" s="67"/>
      <c r="J60" s="67"/>
      <c r="K60" s="31" t="s">
        <v>65</v>
      </c>
      <c r="L60" s="68">
        <v>95</v>
      </c>
      <c r="M60" s="68"/>
      <c r="N60" s="69"/>
      <c r="O60" s="76" t="s">
        <v>219</v>
      </c>
      <c r="P60" s="78">
        <v>44811.8881712963</v>
      </c>
      <c r="Q60" s="76" t="s">
        <v>621</v>
      </c>
      <c r="R60" s="79" t="str">
        <f>HYPERLINK("https://twitter.com/AniaKoniec/status/1567616706171764737")</f>
        <v>https://twitter.com/AniaKoniec/status/1567616706171764737</v>
      </c>
      <c r="S60" s="76" t="s">
        <v>783</v>
      </c>
      <c r="T60" s="81" t="s">
        <v>795</v>
      </c>
      <c r="U60" s="76"/>
      <c r="V60" s="79" t="str">
        <f>HYPERLINK("https://pbs.twimg.com/profile_images/1503799462816362496/bFBp6Bca_normal.jpg")</f>
        <v>https://pbs.twimg.com/profile_images/1503799462816362496/bFBp6Bca_normal.jpg</v>
      </c>
      <c r="W60" s="78">
        <v>44811.8881712963</v>
      </c>
      <c r="X60" s="84">
        <v>44811</v>
      </c>
      <c r="Y60" s="81" t="s">
        <v>952</v>
      </c>
      <c r="Z60" s="79" t="str">
        <f>HYPERLINK("https://twitter.com/ipurdley/status/1567623485891002368")</f>
        <v>https://twitter.com/ipurdley/status/1567623485891002368</v>
      </c>
      <c r="AA60" s="76"/>
      <c r="AB60" s="76"/>
      <c r="AC60" s="81" t="s">
        <v>1283</v>
      </c>
      <c r="AD60" s="76"/>
      <c r="AE60" s="76" t="b">
        <v>0</v>
      </c>
      <c r="AF60" s="76">
        <v>1</v>
      </c>
      <c r="AG60" s="81" t="s">
        <v>1674</v>
      </c>
      <c r="AH60" s="76" t="b">
        <v>1</v>
      </c>
      <c r="AI60" s="76" t="s">
        <v>1772</v>
      </c>
      <c r="AJ60" s="76"/>
      <c r="AK60" s="81" t="s">
        <v>1791</v>
      </c>
      <c r="AL60" s="76" t="b">
        <v>0</v>
      </c>
      <c r="AM60" s="76">
        <v>0</v>
      </c>
      <c r="AN60" s="81" t="s">
        <v>1674</v>
      </c>
      <c r="AO60" s="81" t="s">
        <v>1808</v>
      </c>
      <c r="AP60" s="76" t="b">
        <v>0</v>
      </c>
      <c r="AQ60" s="81" t="s">
        <v>1283</v>
      </c>
      <c r="AR60" s="76" t="s">
        <v>219</v>
      </c>
      <c r="AS60" s="76">
        <v>0</v>
      </c>
      <c r="AT60" s="76">
        <v>0</v>
      </c>
      <c r="AU60" s="76"/>
      <c r="AV60" s="76"/>
      <c r="AW60" s="76"/>
      <c r="AX60" s="76"/>
      <c r="AY60" s="76"/>
      <c r="AZ60" s="76"/>
      <c r="BA60" s="76"/>
      <c r="BB60" s="76"/>
      <c r="BC60">
        <v>8</v>
      </c>
      <c r="BD60" s="75" t="str">
        <f>REPLACE(INDEX(GroupVertices[Group],MATCH(Edges25[[#This Row],[Vertex 1]],GroupVertices[Vertex],0)),1,1,"")</f>
        <v>59</v>
      </c>
      <c r="BE60" s="75" t="str">
        <f>REPLACE(INDEX(GroupVertices[Group],MATCH(Edges25[[#This Row],[Vertex 2]],GroupVertices[Vertex],0)),1,1,"")</f>
        <v>59</v>
      </c>
      <c r="BF60" s="45">
        <v>1</v>
      </c>
      <c r="BG60" s="46">
        <v>5.2631578947368425</v>
      </c>
      <c r="BH60" s="45">
        <v>0</v>
      </c>
      <c r="BI60" s="46">
        <v>0</v>
      </c>
      <c r="BJ60" s="45">
        <v>0</v>
      </c>
      <c r="BK60" s="46">
        <v>0</v>
      </c>
      <c r="BL60" s="45">
        <v>18</v>
      </c>
      <c r="BM60" s="46">
        <v>94.73684210526316</v>
      </c>
      <c r="BN60" s="45">
        <v>19</v>
      </c>
    </row>
    <row r="61" spans="1:66" ht="15">
      <c r="A61" s="61" t="s">
        <v>304</v>
      </c>
      <c r="B61" s="61" t="s">
        <v>304</v>
      </c>
      <c r="C61" s="62"/>
      <c r="D61" s="63"/>
      <c r="E61" s="62"/>
      <c r="F61" s="65"/>
      <c r="G61" s="62"/>
      <c r="H61" s="66"/>
      <c r="I61" s="67"/>
      <c r="J61" s="67"/>
      <c r="K61" s="31" t="s">
        <v>65</v>
      </c>
      <c r="L61" s="68">
        <v>96</v>
      </c>
      <c r="M61" s="68"/>
      <c r="N61" s="69"/>
      <c r="O61" s="76" t="s">
        <v>219</v>
      </c>
      <c r="P61" s="78">
        <v>44813.86153935185</v>
      </c>
      <c r="Q61" s="76" t="s">
        <v>622</v>
      </c>
      <c r="R61" s="79" t="str">
        <f>HYPERLINK("https://twitter.com/LanguageIearner/status/1568012944285507584")</f>
        <v>https://twitter.com/LanguageIearner/status/1568012944285507584</v>
      </c>
      <c r="S61" s="76" t="s">
        <v>783</v>
      </c>
      <c r="T61" s="81" t="s">
        <v>814</v>
      </c>
      <c r="U61" s="76"/>
      <c r="V61" s="79" t="str">
        <f>HYPERLINK("https://pbs.twimg.com/profile_images/1503799462816362496/bFBp6Bca_normal.jpg")</f>
        <v>https://pbs.twimg.com/profile_images/1503799462816362496/bFBp6Bca_normal.jpg</v>
      </c>
      <c r="W61" s="78">
        <v>44813.86153935185</v>
      </c>
      <c r="X61" s="84">
        <v>44813</v>
      </c>
      <c r="Y61" s="81" t="s">
        <v>953</v>
      </c>
      <c r="Z61" s="79" t="str">
        <f>HYPERLINK("https://twitter.com/ipurdley/status/1568338608444112902")</f>
        <v>https://twitter.com/ipurdley/status/1568338608444112902</v>
      </c>
      <c r="AA61" s="76"/>
      <c r="AB61" s="76"/>
      <c r="AC61" s="81" t="s">
        <v>1284</v>
      </c>
      <c r="AD61" s="76"/>
      <c r="AE61" s="76" t="b">
        <v>0</v>
      </c>
      <c r="AF61" s="76">
        <v>0</v>
      </c>
      <c r="AG61" s="81" t="s">
        <v>1674</v>
      </c>
      <c r="AH61" s="76" t="b">
        <v>1</v>
      </c>
      <c r="AI61" s="76" t="s">
        <v>1772</v>
      </c>
      <c r="AJ61" s="76"/>
      <c r="AK61" s="81" t="s">
        <v>1792</v>
      </c>
      <c r="AL61" s="76" t="b">
        <v>0</v>
      </c>
      <c r="AM61" s="76">
        <v>0</v>
      </c>
      <c r="AN61" s="81" t="s">
        <v>1674</v>
      </c>
      <c r="AO61" s="81" t="s">
        <v>1808</v>
      </c>
      <c r="AP61" s="76" t="b">
        <v>0</v>
      </c>
      <c r="AQ61" s="81" t="s">
        <v>1284</v>
      </c>
      <c r="AR61" s="76" t="s">
        <v>219</v>
      </c>
      <c r="AS61" s="76">
        <v>0</v>
      </c>
      <c r="AT61" s="76">
        <v>0</v>
      </c>
      <c r="AU61" s="76"/>
      <c r="AV61" s="76"/>
      <c r="AW61" s="76"/>
      <c r="AX61" s="76"/>
      <c r="AY61" s="76"/>
      <c r="AZ61" s="76"/>
      <c r="BA61" s="76"/>
      <c r="BB61" s="76"/>
      <c r="BC61">
        <v>8</v>
      </c>
      <c r="BD61" s="75" t="str">
        <f>REPLACE(INDEX(GroupVertices[Group],MATCH(Edges25[[#This Row],[Vertex 1]],GroupVertices[Vertex],0)),1,1,"")</f>
        <v>59</v>
      </c>
      <c r="BE61" s="75" t="str">
        <f>REPLACE(INDEX(GroupVertices[Group],MATCH(Edges25[[#This Row],[Vertex 2]],GroupVertices[Vertex],0)),1,1,"")</f>
        <v>59</v>
      </c>
      <c r="BF61" s="45">
        <v>1</v>
      </c>
      <c r="BG61" s="46">
        <v>4.166666666666667</v>
      </c>
      <c r="BH61" s="45">
        <v>1</v>
      </c>
      <c r="BI61" s="46">
        <v>4.166666666666667</v>
      </c>
      <c r="BJ61" s="45">
        <v>0</v>
      </c>
      <c r="BK61" s="46">
        <v>0</v>
      </c>
      <c r="BL61" s="45">
        <v>22</v>
      </c>
      <c r="BM61" s="46">
        <v>91.66666666666667</v>
      </c>
      <c r="BN61" s="45">
        <v>24</v>
      </c>
    </row>
    <row r="62" spans="1:66" ht="15">
      <c r="A62" s="61" t="s">
        <v>304</v>
      </c>
      <c r="B62" s="61" t="s">
        <v>304</v>
      </c>
      <c r="C62" s="62"/>
      <c r="D62" s="63"/>
      <c r="E62" s="62"/>
      <c r="F62" s="65"/>
      <c r="G62" s="62"/>
      <c r="H62" s="66"/>
      <c r="I62" s="67"/>
      <c r="J62" s="67"/>
      <c r="K62" s="31" t="s">
        <v>65</v>
      </c>
      <c r="L62" s="68">
        <v>97</v>
      </c>
      <c r="M62" s="68"/>
      <c r="N62" s="69"/>
      <c r="O62" s="76" t="s">
        <v>219</v>
      </c>
      <c r="P62" s="78">
        <v>44813.868368055555</v>
      </c>
      <c r="Q62" s="76" t="s">
        <v>623</v>
      </c>
      <c r="R62" s="76"/>
      <c r="S62" s="76"/>
      <c r="T62" s="81" t="s">
        <v>815</v>
      </c>
      <c r="U62" s="79" t="str">
        <f>HYPERLINK("https://pbs.twimg.com/media/FcPddHvWAAIAEel.jpg")</f>
        <v>https://pbs.twimg.com/media/FcPddHvWAAIAEel.jpg</v>
      </c>
      <c r="V62" s="79" t="str">
        <f>HYPERLINK("https://pbs.twimg.com/media/FcPddHvWAAIAEel.jpg")</f>
        <v>https://pbs.twimg.com/media/FcPddHvWAAIAEel.jpg</v>
      </c>
      <c r="W62" s="78">
        <v>44813.868368055555</v>
      </c>
      <c r="X62" s="84">
        <v>44813</v>
      </c>
      <c r="Y62" s="81" t="s">
        <v>954</v>
      </c>
      <c r="Z62" s="79" t="str">
        <f>HYPERLINK("https://twitter.com/ipurdley/status/1568341083272216576")</f>
        <v>https://twitter.com/ipurdley/status/1568341083272216576</v>
      </c>
      <c r="AA62" s="76"/>
      <c r="AB62" s="76"/>
      <c r="AC62" s="81" t="s">
        <v>1285</v>
      </c>
      <c r="AD62" s="76"/>
      <c r="AE62" s="76" t="b">
        <v>0</v>
      </c>
      <c r="AF62" s="76">
        <v>0</v>
      </c>
      <c r="AG62" s="81" t="s">
        <v>1674</v>
      </c>
      <c r="AH62" s="76" t="b">
        <v>0</v>
      </c>
      <c r="AI62" s="76" t="s">
        <v>1772</v>
      </c>
      <c r="AJ62" s="76"/>
      <c r="AK62" s="81" t="s">
        <v>1674</v>
      </c>
      <c r="AL62" s="76" t="b">
        <v>0</v>
      </c>
      <c r="AM62" s="76">
        <v>0</v>
      </c>
      <c r="AN62" s="81" t="s">
        <v>1674</v>
      </c>
      <c r="AO62" s="81" t="s">
        <v>1808</v>
      </c>
      <c r="AP62" s="76" t="b">
        <v>0</v>
      </c>
      <c r="AQ62" s="81" t="s">
        <v>1285</v>
      </c>
      <c r="AR62" s="76" t="s">
        <v>219</v>
      </c>
      <c r="AS62" s="76">
        <v>0</v>
      </c>
      <c r="AT62" s="76">
        <v>0</v>
      </c>
      <c r="AU62" s="76"/>
      <c r="AV62" s="76"/>
      <c r="AW62" s="76"/>
      <c r="AX62" s="76"/>
      <c r="AY62" s="76"/>
      <c r="AZ62" s="76"/>
      <c r="BA62" s="76"/>
      <c r="BB62" s="76"/>
      <c r="BC62">
        <v>8</v>
      </c>
      <c r="BD62" s="75" t="str">
        <f>REPLACE(INDEX(GroupVertices[Group],MATCH(Edges25[[#This Row],[Vertex 1]],GroupVertices[Vertex],0)),1,1,"")</f>
        <v>59</v>
      </c>
      <c r="BE62" s="75" t="str">
        <f>REPLACE(INDEX(GroupVertices[Group],MATCH(Edges25[[#This Row],[Vertex 2]],GroupVertices[Vertex],0)),1,1,"")</f>
        <v>59</v>
      </c>
      <c r="BF62" s="45">
        <v>1</v>
      </c>
      <c r="BG62" s="46">
        <v>3.3333333333333335</v>
      </c>
      <c r="BH62" s="45">
        <v>1</v>
      </c>
      <c r="BI62" s="46">
        <v>3.3333333333333335</v>
      </c>
      <c r="BJ62" s="45">
        <v>0</v>
      </c>
      <c r="BK62" s="46">
        <v>0</v>
      </c>
      <c r="BL62" s="45">
        <v>28</v>
      </c>
      <c r="BM62" s="46">
        <v>93.33333333333333</v>
      </c>
      <c r="BN62" s="45">
        <v>30</v>
      </c>
    </row>
    <row r="63" spans="1:66" ht="15">
      <c r="A63" s="61" t="s">
        <v>305</v>
      </c>
      <c r="B63" s="61" t="s">
        <v>305</v>
      </c>
      <c r="C63" s="62"/>
      <c r="D63" s="63"/>
      <c r="E63" s="62"/>
      <c r="F63" s="65"/>
      <c r="G63" s="62"/>
      <c r="H63" s="66"/>
      <c r="I63" s="67"/>
      <c r="J63" s="67"/>
      <c r="K63" s="31" t="s">
        <v>65</v>
      </c>
      <c r="L63" s="68">
        <v>98</v>
      </c>
      <c r="M63" s="68"/>
      <c r="N63" s="69"/>
      <c r="O63" s="76" t="s">
        <v>219</v>
      </c>
      <c r="P63" s="78">
        <v>44813.902094907404</v>
      </c>
      <c r="Q63" s="76" t="s">
        <v>624</v>
      </c>
      <c r="R63" s="76"/>
      <c r="S63" s="76"/>
      <c r="T63" s="81" t="s">
        <v>795</v>
      </c>
      <c r="U63" s="79" t="str">
        <f>HYPERLINK("https://pbs.twimg.com/media/FcPpBEWXEAErcAY.jpg")</f>
        <v>https://pbs.twimg.com/media/FcPpBEWXEAErcAY.jpg</v>
      </c>
      <c r="V63" s="79" t="str">
        <f>HYPERLINK("https://pbs.twimg.com/media/FcPpBEWXEAErcAY.jpg")</f>
        <v>https://pbs.twimg.com/media/FcPpBEWXEAErcAY.jpg</v>
      </c>
      <c r="W63" s="78">
        <v>44813.902094907404</v>
      </c>
      <c r="X63" s="84">
        <v>44813</v>
      </c>
      <c r="Y63" s="81" t="s">
        <v>955</v>
      </c>
      <c r="Z63" s="79" t="str">
        <f>HYPERLINK("https://twitter.com/tovarischbot/status/1568353305343950848")</f>
        <v>https://twitter.com/tovarischbot/status/1568353305343950848</v>
      </c>
      <c r="AA63" s="76"/>
      <c r="AB63" s="76"/>
      <c r="AC63" s="81" t="s">
        <v>1286</v>
      </c>
      <c r="AD63" s="76"/>
      <c r="AE63" s="76" t="b">
        <v>0</v>
      </c>
      <c r="AF63" s="76">
        <v>1</v>
      </c>
      <c r="AG63" s="81" t="s">
        <v>1674</v>
      </c>
      <c r="AH63" s="76" t="b">
        <v>0</v>
      </c>
      <c r="AI63" s="76" t="s">
        <v>1773</v>
      </c>
      <c r="AJ63" s="76"/>
      <c r="AK63" s="81" t="s">
        <v>1674</v>
      </c>
      <c r="AL63" s="76" t="b">
        <v>0</v>
      </c>
      <c r="AM63" s="76">
        <v>0</v>
      </c>
      <c r="AN63" s="81" t="s">
        <v>1674</v>
      </c>
      <c r="AO63" s="81" t="s">
        <v>1807</v>
      </c>
      <c r="AP63" s="76" t="b">
        <v>0</v>
      </c>
      <c r="AQ63" s="81" t="s">
        <v>1286</v>
      </c>
      <c r="AR63" s="76" t="s">
        <v>219</v>
      </c>
      <c r="AS63" s="76">
        <v>0</v>
      </c>
      <c r="AT63" s="76">
        <v>0</v>
      </c>
      <c r="AU63" s="76"/>
      <c r="AV63" s="76"/>
      <c r="AW63" s="76"/>
      <c r="AX63" s="76"/>
      <c r="AY63" s="76"/>
      <c r="AZ63" s="76"/>
      <c r="BA63" s="76"/>
      <c r="BB63" s="76"/>
      <c r="BC63">
        <v>1</v>
      </c>
      <c r="BD63" s="75" t="str">
        <f>REPLACE(INDEX(GroupVertices[Group],MATCH(Edges25[[#This Row],[Vertex 1]],GroupVertices[Vertex],0)),1,1,"")</f>
        <v>2</v>
      </c>
      <c r="BE63" s="75" t="str">
        <f>REPLACE(INDEX(GroupVertices[Group],MATCH(Edges25[[#This Row],[Vertex 2]],GroupVertices[Vertex],0)),1,1,"")</f>
        <v>2</v>
      </c>
      <c r="BF63" s="45">
        <v>0</v>
      </c>
      <c r="BG63" s="46">
        <v>0</v>
      </c>
      <c r="BH63" s="45">
        <v>0</v>
      </c>
      <c r="BI63" s="46">
        <v>0</v>
      </c>
      <c r="BJ63" s="45">
        <v>0</v>
      </c>
      <c r="BK63" s="46">
        <v>0</v>
      </c>
      <c r="BL63" s="45">
        <v>1</v>
      </c>
      <c r="BM63" s="46">
        <v>100</v>
      </c>
      <c r="BN63" s="45">
        <v>1</v>
      </c>
    </row>
    <row r="64" spans="1:66" ht="15">
      <c r="A64" s="61" t="s">
        <v>306</v>
      </c>
      <c r="B64" s="61" t="s">
        <v>466</v>
      </c>
      <c r="C64" s="62"/>
      <c r="D64" s="63"/>
      <c r="E64" s="62"/>
      <c r="F64" s="65"/>
      <c r="G64" s="62"/>
      <c r="H64" s="66"/>
      <c r="I64" s="67"/>
      <c r="J64" s="67"/>
      <c r="K64" s="31" t="s">
        <v>65</v>
      </c>
      <c r="L64" s="68">
        <v>99</v>
      </c>
      <c r="M64" s="68"/>
      <c r="N64" s="69"/>
      <c r="O64" s="76" t="s">
        <v>588</v>
      </c>
      <c r="P64" s="78">
        <v>44813.905486111114</v>
      </c>
      <c r="Q64" s="76" t="s">
        <v>625</v>
      </c>
      <c r="R64" s="76"/>
      <c r="S64" s="76"/>
      <c r="T64" s="81" t="s">
        <v>816</v>
      </c>
      <c r="U64" s="79" t="str">
        <f>HYPERLINK("https://pbs.twimg.com/ext_tw_video_thumb/1568353306099044354/pu/img/9qI-Rqr-0zaSOPf2.jpg")</f>
        <v>https://pbs.twimg.com/ext_tw_video_thumb/1568353306099044354/pu/img/9qI-Rqr-0zaSOPf2.jpg</v>
      </c>
      <c r="V64" s="79" t="str">
        <f>HYPERLINK("https://pbs.twimg.com/ext_tw_video_thumb/1568353306099044354/pu/img/9qI-Rqr-0zaSOPf2.jpg")</f>
        <v>https://pbs.twimg.com/ext_tw_video_thumb/1568353306099044354/pu/img/9qI-Rqr-0zaSOPf2.jpg</v>
      </c>
      <c r="W64" s="78">
        <v>44813.905486111114</v>
      </c>
      <c r="X64" s="84">
        <v>44813</v>
      </c>
      <c r="Y64" s="81" t="s">
        <v>956</v>
      </c>
      <c r="Z64" s="79" t="str">
        <f>HYPERLINK("https://twitter.com/conservatnik228/status/1568354534065577984")</f>
        <v>https://twitter.com/conservatnik228/status/1568354534065577984</v>
      </c>
      <c r="AA64" s="76"/>
      <c r="AB64" s="76"/>
      <c r="AC64" s="81" t="s">
        <v>1287</v>
      </c>
      <c r="AD64" s="81" t="s">
        <v>1577</v>
      </c>
      <c r="AE64" s="76" t="b">
        <v>0</v>
      </c>
      <c r="AF64" s="76">
        <v>0</v>
      </c>
      <c r="AG64" s="81" t="s">
        <v>1687</v>
      </c>
      <c r="AH64" s="76" t="b">
        <v>0</v>
      </c>
      <c r="AI64" s="76" t="s">
        <v>1773</v>
      </c>
      <c r="AJ64" s="76"/>
      <c r="AK64" s="81" t="s">
        <v>1674</v>
      </c>
      <c r="AL64" s="76" t="b">
        <v>0</v>
      </c>
      <c r="AM64" s="76">
        <v>0</v>
      </c>
      <c r="AN64" s="81" t="s">
        <v>1674</v>
      </c>
      <c r="AO64" s="81" t="s">
        <v>1808</v>
      </c>
      <c r="AP64" s="76" t="b">
        <v>0</v>
      </c>
      <c r="AQ64" s="81" t="s">
        <v>1577</v>
      </c>
      <c r="AR64" s="76" t="s">
        <v>219</v>
      </c>
      <c r="AS64" s="76">
        <v>0</v>
      </c>
      <c r="AT64" s="76">
        <v>0</v>
      </c>
      <c r="AU64" s="76"/>
      <c r="AV64" s="76"/>
      <c r="AW64" s="76"/>
      <c r="AX64" s="76"/>
      <c r="AY64" s="76"/>
      <c r="AZ64" s="76"/>
      <c r="BA64" s="76"/>
      <c r="BB64" s="76"/>
      <c r="BC64">
        <v>1</v>
      </c>
      <c r="BD64" s="75" t="str">
        <f>REPLACE(INDEX(GroupVertices[Group],MATCH(Edges25[[#This Row],[Vertex 1]],GroupVertices[Vertex],0)),1,1,"")</f>
        <v>36</v>
      </c>
      <c r="BE64" s="75" t="str">
        <f>REPLACE(INDEX(GroupVertices[Group],MATCH(Edges25[[#This Row],[Vertex 2]],GroupVertices[Vertex],0)),1,1,"")</f>
        <v>36</v>
      </c>
      <c r="BF64" s="45"/>
      <c r="BG64" s="46"/>
      <c r="BH64" s="45"/>
      <c r="BI64" s="46"/>
      <c r="BJ64" s="45"/>
      <c r="BK64" s="46"/>
      <c r="BL64" s="45"/>
      <c r="BM64" s="46"/>
      <c r="BN64" s="45"/>
    </row>
    <row r="65" spans="1:66" ht="15">
      <c r="A65" s="61" t="s">
        <v>307</v>
      </c>
      <c r="B65" s="61" t="s">
        <v>311</v>
      </c>
      <c r="C65" s="62"/>
      <c r="D65" s="63"/>
      <c r="E65" s="62"/>
      <c r="F65" s="65"/>
      <c r="G65" s="62"/>
      <c r="H65" s="66"/>
      <c r="I65" s="67"/>
      <c r="J65" s="67"/>
      <c r="K65" s="31" t="s">
        <v>65</v>
      </c>
      <c r="L65" s="68">
        <v>101</v>
      </c>
      <c r="M65" s="68"/>
      <c r="N65" s="69"/>
      <c r="O65" s="76" t="s">
        <v>586</v>
      </c>
      <c r="P65" s="78">
        <v>44814.24151620371</v>
      </c>
      <c r="Q65" s="76" t="s">
        <v>611</v>
      </c>
      <c r="R65" s="76"/>
      <c r="S65" s="76"/>
      <c r="T65" s="81" t="s">
        <v>808</v>
      </c>
      <c r="U65" s="79" t="str">
        <f>HYPERLINK("https://pbs.twimg.com/ext_tw_video_thumb/1568199549256175617/pu/img/Ysr1rE83e5hn0twR.jpg")</f>
        <v>https://pbs.twimg.com/ext_tw_video_thumb/1568199549256175617/pu/img/Ysr1rE83e5hn0twR.jpg</v>
      </c>
      <c r="V65" s="79" t="str">
        <f>HYPERLINK("https://pbs.twimg.com/ext_tw_video_thumb/1568199549256175617/pu/img/Ysr1rE83e5hn0twR.jpg")</f>
        <v>https://pbs.twimg.com/ext_tw_video_thumb/1568199549256175617/pu/img/Ysr1rE83e5hn0twR.jpg</v>
      </c>
      <c r="W65" s="78">
        <v>44814.24151620371</v>
      </c>
      <c r="X65" s="84">
        <v>44814</v>
      </c>
      <c r="Y65" s="81" t="s">
        <v>957</v>
      </c>
      <c r="Z65" s="79" t="str">
        <f>HYPERLINK("https://twitter.com/argubadebo/status/1568476309352861697")</f>
        <v>https://twitter.com/argubadebo/status/1568476309352861697</v>
      </c>
      <c r="AA65" s="76"/>
      <c r="AB65" s="76"/>
      <c r="AC65" s="81" t="s">
        <v>1288</v>
      </c>
      <c r="AD65" s="76"/>
      <c r="AE65" s="76" t="b">
        <v>0</v>
      </c>
      <c r="AF65" s="76">
        <v>0</v>
      </c>
      <c r="AG65" s="81" t="s">
        <v>1674</v>
      </c>
      <c r="AH65" s="76" t="b">
        <v>0</v>
      </c>
      <c r="AI65" s="76" t="s">
        <v>1772</v>
      </c>
      <c r="AJ65" s="76"/>
      <c r="AK65" s="81" t="s">
        <v>1674</v>
      </c>
      <c r="AL65" s="76" t="b">
        <v>0</v>
      </c>
      <c r="AM65" s="76">
        <v>16</v>
      </c>
      <c r="AN65" s="81" t="s">
        <v>1295</v>
      </c>
      <c r="AO65" s="81" t="s">
        <v>1807</v>
      </c>
      <c r="AP65" s="76" t="b">
        <v>0</v>
      </c>
      <c r="AQ65" s="81" t="s">
        <v>1295</v>
      </c>
      <c r="AR65" s="76" t="s">
        <v>219</v>
      </c>
      <c r="AS65" s="76">
        <v>0</v>
      </c>
      <c r="AT65" s="76">
        <v>0</v>
      </c>
      <c r="AU65" s="76"/>
      <c r="AV65" s="76"/>
      <c r="AW65" s="76"/>
      <c r="AX65" s="76"/>
      <c r="AY65" s="76"/>
      <c r="AZ65" s="76"/>
      <c r="BA65" s="76"/>
      <c r="BB65" s="76"/>
      <c r="BC65">
        <v>1</v>
      </c>
      <c r="BD65" s="75" t="str">
        <f>REPLACE(INDEX(GroupVertices[Group],MATCH(Edges25[[#This Row],[Vertex 1]],GroupVertices[Vertex],0)),1,1,"")</f>
        <v>5</v>
      </c>
      <c r="BE65" s="75" t="str">
        <f>REPLACE(INDEX(GroupVertices[Group],MATCH(Edges25[[#This Row],[Vertex 2]],GroupVertices[Vertex],0)),1,1,"")</f>
        <v>5</v>
      </c>
      <c r="BF65" s="45">
        <v>1</v>
      </c>
      <c r="BG65" s="46">
        <v>2.5641025641025643</v>
      </c>
      <c r="BH65" s="45">
        <v>0</v>
      </c>
      <c r="BI65" s="46">
        <v>0</v>
      </c>
      <c r="BJ65" s="45">
        <v>0</v>
      </c>
      <c r="BK65" s="46">
        <v>0</v>
      </c>
      <c r="BL65" s="45">
        <v>38</v>
      </c>
      <c r="BM65" s="46">
        <v>97.43589743589743</v>
      </c>
      <c r="BN65" s="45">
        <v>39</v>
      </c>
    </row>
    <row r="66" spans="1:66" ht="15">
      <c r="A66" s="61" t="s">
        <v>308</v>
      </c>
      <c r="B66" s="61" t="s">
        <v>468</v>
      </c>
      <c r="C66" s="62"/>
      <c r="D66" s="63"/>
      <c r="E66" s="62"/>
      <c r="F66" s="65"/>
      <c r="G66" s="62"/>
      <c r="H66" s="66"/>
      <c r="I66" s="67"/>
      <c r="J66" s="67"/>
      <c r="K66" s="31" t="s">
        <v>65</v>
      </c>
      <c r="L66" s="68">
        <v>102</v>
      </c>
      <c r="M66" s="68"/>
      <c r="N66" s="69"/>
      <c r="O66" s="76" t="s">
        <v>588</v>
      </c>
      <c r="P66" s="78">
        <v>44813.45369212963</v>
      </c>
      <c r="Q66" s="76" t="s">
        <v>626</v>
      </c>
      <c r="R66" s="76"/>
      <c r="S66" s="76"/>
      <c r="T66" s="81" t="s">
        <v>795</v>
      </c>
      <c r="U66" s="76"/>
      <c r="V66" s="79" t="str">
        <f>HYPERLINK("https://pbs.twimg.com/profile_images/892670013445988352/jO9x6lOy_normal.jpg")</f>
        <v>https://pbs.twimg.com/profile_images/892670013445988352/jO9x6lOy_normal.jpg</v>
      </c>
      <c r="W66" s="78">
        <v>44813.45369212963</v>
      </c>
      <c r="X66" s="84">
        <v>44813</v>
      </c>
      <c r="Y66" s="81" t="s">
        <v>958</v>
      </c>
      <c r="Z66" s="79" t="str">
        <f>HYPERLINK("https://twitter.com/realpasitapani/status/1568190809698074624")</f>
        <v>https://twitter.com/realpasitapani/status/1568190809698074624</v>
      </c>
      <c r="AA66" s="76"/>
      <c r="AB66" s="76"/>
      <c r="AC66" s="81" t="s">
        <v>1289</v>
      </c>
      <c r="AD66" s="81" t="s">
        <v>1578</v>
      </c>
      <c r="AE66" s="76" t="b">
        <v>0</v>
      </c>
      <c r="AF66" s="76">
        <v>0</v>
      </c>
      <c r="AG66" s="81" t="s">
        <v>1688</v>
      </c>
      <c r="AH66" s="76" t="b">
        <v>0</v>
      </c>
      <c r="AI66" s="76" t="s">
        <v>1778</v>
      </c>
      <c r="AJ66" s="76"/>
      <c r="AK66" s="81" t="s">
        <v>1674</v>
      </c>
      <c r="AL66" s="76" t="b">
        <v>0</v>
      </c>
      <c r="AM66" s="76">
        <v>0</v>
      </c>
      <c r="AN66" s="81" t="s">
        <v>1674</v>
      </c>
      <c r="AO66" s="81" t="s">
        <v>1808</v>
      </c>
      <c r="AP66" s="76" t="b">
        <v>0</v>
      </c>
      <c r="AQ66" s="81" t="s">
        <v>1578</v>
      </c>
      <c r="AR66" s="76" t="s">
        <v>219</v>
      </c>
      <c r="AS66" s="76">
        <v>0</v>
      </c>
      <c r="AT66" s="76">
        <v>0</v>
      </c>
      <c r="AU66" s="76"/>
      <c r="AV66" s="76"/>
      <c r="AW66" s="76"/>
      <c r="AX66" s="76"/>
      <c r="AY66" s="76"/>
      <c r="AZ66" s="76"/>
      <c r="BA66" s="76"/>
      <c r="BB66" s="76"/>
      <c r="BC66">
        <v>1</v>
      </c>
      <c r="BD66" s="75" t="str">
        <f>REPLACE(INDEX(GroupVertices[Group],MATCH(Edges25[[#This Row],[Vertex 1]],GroupVertices[Vertex],0)),1,1,"")</f>
        <v>14</v>
      </c>
      <c r="BE66" s="75" t="str">
        <f>REPLACE(INDEX(GroupVertices[Group],MATCH(Edges25[[#This Row],[Vertex 2]],GroupVertices[Vertex],0)),1,1,"")</f>
        <v>14</v>
      </c>
      <c r="BF66" s="45"/>
      <c r="BG66" s="46"/>
      <c r="BH66" s="45"/>
      <c r="BI66" s="46"/>
      <c r="BJ66" s="45"/>
      <c r="BK66" s="46"/>
      <c r="BL66" s="45"/>
      <c r="BM66" s="46"/>
      <c r="BN66" s="45"/>
    </row>
    <row r="67" spans="1:66" ht="15">
      <c r="A67" s="61" t="s">
        <v>308</v>
      </c>
      <c r="B67" s="61" t="s">
        <v>471</v>
      </c>
      <c r="C67" s="62"/>
      <c r="D67" s="63"/>
      <c r="E67" s="62"/>
      <c r="F67" s="65"/>
      <c r="G67" s="62"/>
      <c r="H67" s="66"/>
      <c r="I67" s="67"/>
      <c r="J67" s="67"/>
      <c r="K67" s="31" t="s">
        <v>65</v>
      </c>
      <c r="L67" s="68">
        <v>105</v>
      </c>
      <c r="M67" s="68"/>
      <c r="N67" s="69"/>
      <c r="O67" s="76" t="s">
        <v>587</v>
      </c>
      <c r="P67" s="78">
        <v>44813.46871527778</v>
      </c>
      <c r="Q67" s="76" t="s">
        <v>627</v>
      </c>
      <c r="R67" s="76"/>
      <c r="S67" s="76"/>
      <c r="T67" s="81" t="s">
        <v>795</v>
      </c>
      <c r="U67" s="76"/>
      <c r="V67" s="79" t="str">
        <f>HYPERLINK("https://pbs.twimg.com/profile_images/892670013445988352/jO9x6lOy_normal.jpg")</f>
        <v>https://pbs.twimg.com/profile_images/892670013445988352/jO9x6lOy_normal.jpg</v>
      </c>
      <c r="W67" s="78">
        <v>44813.46871527778</v>
      </c>
      <c r="X67" s="84">
        <v>44813</v>
      </c>
      <c r="Y67" s="81" t="s">
        <v>959</v>
      </c>
      <c r="Z67" s="79" t="str">
        <f>HYPERLINK("https://twitter.com/realpasitapani/status/1568196255460868096")</f>
        <v>https://twitter.com/realpasitapani/status/1568196255460868096</v>
      </c>
      <c r="AA67" s="76"/>
      <c r="AB67" s="76"/>
      <c r="AC67" s="81" t="s">
        <v>1290</v>
      </c>
      <c r="AD67" s="81" t="s">
        <v>1579</v>
      </c>
      <c r="AE67" s="76" t="b">
        <v>0</v>
      </c>
      <c r="AF67" s="76">
        <v>0</v>
      </c>
      <c r="AG67" s="81" t="s">
        <v>1689</v>
      </c>
      <c r="AH67" s="76" t="b">
        <v>0</v>
      </c>
      <c r="AI67" s="76" t="s">
        <v>1778</v>
      </c>
      <c r="AJ67" s="76"/>
      <c r="AK67" s="81" t="s">
        <v>1674</v>
      </c>
      <c r="AL67" s="76" t="b">
        <v>0</v>
      </c>
      <c r="AM67" s="76">
        <v>0</v>
      </c>
      <c r="AN67" s="81" t="s">
        <v>1674</v>
      </c>
      <c r="AO67" s="81" t="s">
        <v>1808</v>
      </c>
      <c r="AP67" s="76" t="b">
        <v>0</v>
      </c>
      <c r="AQ67" s="81" t="s">
        <v>1579</v>
      </c>
      <c r="AR67" s="76" t="s">
        <v>219</v>
      </c>
      <c r="AS67" s="76">
        <v>0</v>
      </c>
      <c r="AT67" s="76">
        <v>0</v>
      </c>
      <c r="AU67" s="76"/>
      <c r="AV67" s="76"/>
      <c r="AW67" s="76"/>
      <c r="AX67" s="76"/>
      <c r="AY67" s="76"/>
      <c r="AZ67" s="76"/>
      <c r="BA67" s="76"/>
      <c r="BB67" s="76"/>
      <c r="BC67">
        <v>1</v>
      </c>
      <c r="BD67" s="75" t="str">
        <f>REPLACE(INDEX(GroupVertices[Group],MATCH(Edges25[[#This Row],[Vertex 1]],GroupVertices[Vertex],0)),1,1,"")</f>
        <v>14</v>
      </c>
      <c r="BE67" s="75" t="str">
        <f>REPLACE(INDEX(GroupVertices[Group],MATCH(Edges25[[#This Row],[Vertex 2]],GroupVertices[Vertex],0)),1,1,"")</f>
        <v>14</v>
      </c>
      <c r="BF67" s="45">
        <v>0</v>
      </c>
      <c r="BG67" s="46">
        <v>0</v>
      </c>
      <c r="BH67" s="45">
        <v>0</v>
      </c>
      <c r="BI67" s="46">
        <v>0</v>
      </c>
      <c r="BJ67" s="45">
        <v>0</v>
      </c>
      <c r="BK67" s="46">
        <v>0</v>
      </c>
      <c r="BL67" s="45">
        <v>7</v>
      </c>
      <c r="BM67" s="46">
        <v>100</v>
      </c>
      <c r="BN67" s="45">
        <v>7</v>
      </c>
    </row>
    <row r="68" spans="1:66" ht="15">
      <c r="A68" s="61" t="s">
        <v>308</v>
      </c>
      <c r="B68" s="61" t="s">
        <v>472</v>
      </c>
      <c r="C68" s="62"/>
      <c r="D68" s="63"/>
      <c r="E68" s="62"/>
      <c r="F68" s="65"/>
      <c r="G68" s="62"/>
      <c r="H68" s="66"/>
      <c r="I68" s="67"/>
      <c r="J68" s="67"/>
      <c r="K68" s="31" t="s">
        <v>65</v>
      </c>
      <c r="L68" s="68">
        <v>106</v>
      </c>
      <c r="M68" s="68"/>
      <c r="N68" s="69"/>
      <c r="O68" s="76" t="s">
        <v>587</v>
      </c>
      <c r="P68" s="78">
        <v>44814.36738425926</v>
      </c>
      <c r="Q68" s="76" t="s">
        <v>628</v>
      </c>
      <c r="R68" s="76"/>
      <c r="S68" s="76"/>
      <c r="T68" s="81" t="s">
        <v>801</v>
      </c>
      <c r="U68" s="76"/>
      <c r="V68" s="79" t="str">
        <f>HYPERLINK("https://pbs.twimg.com/profile_images/892670013445988352/jO9x6lOy_normal.jpg")</f>
        <v>https://pbs.twimg.com/profile_images/892670013445988352/jO9x6lOy_normal.jpg</v>
      </c>
      <c r="W68" s="78">
        <v>44814.36738425926</v>
      </c>
      <c r="X68" s="84">
        <v>44814</v>
      </c>
      <c r="Y68" s="81" t="s">
        <v>960</v>
      </c>
      <c r="Z68" s="79" t="str">
        <f>HYPERLINK("https://twitter.com/realpasitapani/status/1568521920294821888")</f>
        <v>https://twitter.com/realpasitapani/status/1568521920294821888</v>
      </c>
      <c r="AA68" s="76"/>
      <c r="AB68" s="76"/>
      <c r="AC68" s="81" t="s">
        <v>1291</v>
      </c>
      <c r="AD68" s="81" t="s">
        <v>1580</v>
      </c>
      <c r="AE68" s="76" t="b">
        <v>0</v>
      </c>
      <c r="AF68" s="76">
        <v>0</v>
      </c>
      <c r="AG68" s="81" t="s">
        <v>1690</v>
      </c>
      <c r="AH68" s="76" t="b">
        <v>0</v>
      </c>
      <c r="AI68" s="76" t="s">
        <v>1772</v>
      </c>
      <c r="AJ68" s="76"/>
      <c r="AK68" s="81" t="s">
        <v>1674</v>
      </c>
      <c r="AL68" s="76" t="b">
        <v>0</v>
      </c>
      <c r="AM68" s="76">
        <v>0</v>
      </c>
      <c r="AN68" s="81" t="s">
        <v>1674</v>
      </c>
      <c r="AO68" s="81" t="s">
        <v>1808</v>
      </c>
      <c r="AP68" s="76" t="b">
        <v>0</v>
      </c>
      <c r="AQ68" s="81" t="s">
        <v>1580</v>
      </c>
      <c r="AR68" s="76" t="s">
        <v>219</v>
      </c>
      <c r="AS68" s="76">
        <v>0</v>
      </c>
      <c r="AT68" s="76">
        <v>0</v>
      </c>
      <c r="AU68" s="76"/>
      <c r="AV68" s="76"/>
      <c r="AW68" s="76"/>
      <c r="AX68" s="76"/>
      <c r="AY68" s="76"/>
      <c r="AZ68" s="76"/>
      <c r="BA68" s="76"/>
      <c r="BB68" s="76"/>
      <c r="BC68">
        <v>1</v>
      </c>
      <c r="BD68" s="75" t="str">
        <f>REPLACE(INDEX(GroupVertices[Group],MATCH(Edges25[[#This Row],[Vertex 1]],GroupVertices[Vertex],0)),1,1,"")</f>
        <v>14</v>
      </c>
      <c r="BE68" s="75" t="str">
        <f>REPLACE(INDEX(GroupVertices[Group],MATCH(Edges25[[#This Row],[Vertex 2]],GroupVertices[Vertex],0)),1,1,"")</f>
        <v>14</v>
      </c>
      <c r="BF68" s="45">
        <v>0</v>
      </c>
      <c r="BG68" s="46">
        <v>0</v>
      </c>
      <c r="BH68" s="45">
        <v>0</v>
      </c>
      <c r="BI68" s="46">
        <v>0</v>
      </c>
      <c r="BJ68" s="45">
        <v>0</v>
      </c>
      <c r="BK68" s="46">
        <v>0</v>
      </c>
      <c r="BL68" s="45">
        <v>5</v>
      </c>
      <c r="BM68" s="46">
        <v>100</v>
      </c>
      <c r="BN68" s="45">
        <v>5</v>
      </c>
    </row>
    <row r="69" spans="1:66" ht="15">
      <c r="A69" s="61" t="s">
        <v>308</v>
      </c>
      <c r="B69" s="61" t="s">
        <v>308</v>
      </c>
      <c r="C69" s="62"/>
      <c r="D69" s="63"/>
      <c r="E69" s="62"/>
      <c r="F69" s="65"/>
      <c r="G69" s="62"/>
      <c r="H69" s="66"/>
      <c r="I69" s="67"/>
      <c r="J69" s="67"/>
      <c r="K69" s="31" t="s">
        <v>65</v>
      </c>
      <c r="L69" s="68">
        <v>107</v>
      </c>
      <c r="M69" s="68"/>
      <c r="N69" s="69"/>
      <c r="O69" s="76" t="s">
        <v>219</v>
      </c>
      <c r="P69" s="78">
        <v>44814.372395833336</v>
      </c>
      <c r="Q69" s="76" t="s">
        <v>629</v>
      </c>
      <c r="R69" s="76"/>
      <c r="S69" s="76"/>
      <c r="T69" s="81" t="s">
        <v>817</v>
      </c>
      <c r="U69" s="76"/>
      <c r="V69" s="79" t="str">
        <f>HYPERLINK("https://pbs.twimg.com/profile_images/892670013445988352/jO9x6lOy_normal.jpg")</f>
        <v>https://pbs.twimg.com/profile_images/892670013445988352/jO9x6lOy_normal.jpg</v>
      </c>
      <c r="W69" s="78">
        <v>44814.372395833336</v>
      </c>
      <c r="X69" s="84">
        <v>44814</v>
      </c>
      <c r="Y69" s="81" t="s">
        <v>961</v>
      </c>
      <c r="Z69" s="79" t="str">
        <f>HYPERLINK("https://twitter.com/realpasitapani/status/1568523737149935619")</f>
        <v>https://twitter.com/realpasitapani/status/1568523737149935619</v>
      </c>
      <c r="AA69" s="76"/>
      <c r="AB69" s="76"/>
      <c r="AC69" s="81" t="s">
        <v>1292</v>
      </c>
      <c r="AD69" s="76"/>
      <c r="AE69" s="76" t="b">
        <v>0</v>
      </c>
      <c r="AF69" s="76">
        <v>1</v>
      </c>
      <c r="AG69" s="81" t="s">
        <v>1674</v>
      </c>
      <c r="AH69" s="76" t="b">
        <v>0</v>
      </c>
      <c r="AI69" s="76" t="s">
        <v>1778</v>
      </c>
      <c r="AJ69" s="76"/>
      <c r="AK69" s="81" t="s">
        <v>1674</v>
      </c>
      <c r="AL69" s="76" t="b">
        <v>0</v>
      </c>
      <c r="AM69" s="76">
        <v>0</v>
      </c>
      <c r="AN69" s="81" t="s">
        <v>1674</v>
      </c>
      <c r="AO69" s="81" t="s">
        <v>1808</v>
      </c>
      <c r="AP69" s="76" t="b">
        <v>0</v>
      </c>
      <c r="AQ69" s="81" t="s">
        <v>1292</v>
      </c>
      <c r="AR69" s="76" t="s">
        <v>219</v>
      </c>
      <c r="AS69" s="76">
        <v>0</v>
      </c>
      <c r="AT69" s="76">
        <v>0</v>
      </c>
      <c r="AU69" s="76"/>
      <c r="AV69" s="76"/>
      <c r="AW69" s="76"/>
      <c r="AX69" s="76"/>
      <c r="AY69" s="76"/>
      <c r="AZ69" s="76"/>
      <c r="BA69" s="76"/>
      <c r="BB69" s="76"/>
      <c r="BC69">
        <v>1</v>
      </c>
      <c r="BD69" s="75" t="str">
        <f>REPLACE(INDEX(GroupVertices[Group],MATCH(Edges25[[#This Row],[Vertex 1]],GroupVertices[Vertex],0)),1,1,"")</f>
        <v>14</v>
      </c>
      <c r="BE69" s="75" t="str">
        <f>REPLACE(INDEX(GroupVertices[Group],MATCH(Edges25[[#This Row],[Vertex 2]],GroupVertices[Vertex],0)),1,1,"")</f>
        <v>14</v>
      </c>
      <c r="BF69" s="45">
        <v>0</v>
      </c>
      <c r="BG69" s="46">
        <v>0</v>
      </c>
      <c r="BH69" s="45">
        <v>0</v>
      </c>
      <c r="BI69" s="46">
        <v>0</v>
      </c>
      <c r="BJ69" s="45">
        <v>0</v>
      </c>
      <c r="BK69" s="46">
        <v>0</v>
      </c>
      <c r="BL69" s="45">
        <v>17</v>
      </c>
      <c r="BM69" s="46">
        <v>100</v>
      </c>
      <c r="BN69" s="45">
        <v>17</v>
      </c>
    </row>
    <row r="70" spans="1:66" ht="15">
      <c r="A70" s="61" t="s">
        <v>309</v>
      </c>
      <c r="B70" s="61" t="s">
        <v>340</v>
      </c>
      <c r="C70" s="62"/>
      <c r="D70" s="63"/>
      <c r="E70" s="62"/>
      <c r="F70" s="65"/>
      <c r="G70" s="62"/>
      <c r="H70" s="66"/>
      <c r="I70" s="67"/>
      <c r="J70" s="67"/>
      <c r="K70" s="31" t="s">
        <v>65</v>
      </c>
      <c r="L70" s="68">
        <v>108</v>
      </c>
      <c r="M70" s="68"/>
      <c r="N70" s="69"/>
      <c r="O70" s="76" t="s">
        <v>586</v>
      </c>
      <c r="P70" s="78">
        <v>44814.49841435185</v>
      </c>
      <c r="Q70" s="76" t="s">
        <v>630</v>
      </c>
      <c r="R70" s="76"/>
      <c r="S70" s="76"/>
      <c r="T70" s="81" t="s">
        <v>818</v>
      </c>
      <c r="U70" s="79" t="str">
        <f>HYPERLINK("https://pbs.twimg.com/ext_tw_video_thumb/1568550609225138178/pu/img/-GqFQP2LKjYRZ4Kw.jpg")</f>
        <v>https://pbs.twimg.com/ext_tw_video_thumb/1568550609225138178/pu/img/-GqFQP2LKjYRZ4Kw.jpg</v>
      </c>
      <c r="V70" s="79" t="str">
        <f>HYPERLINK("https://pbs.twimg.com/ext_tw_video_thumb/1568550609225138178/pu/img/-GqFQP2LKjYRZ4Kw.jpg")</f>
        <v>https://pbs.twimg.com/ext_tw_video_thumb/1568550609225138178/pu/img/-GqFQP2LKjYRZ4Kw.jpg</v>
      </c>
      <c r="W70" s="78">
        <v>44814.49841435185</v>
      </c>
      <c r="X70" s="84">
        <v>44814</v>
      </c>
      <c r="Y70" s="81" t="s">
        <v>962</v>
      </c>
      <c r="Z70" s="79" t="str">
        <f>HYPERLINK("https://twitter.com/hassany89/status/1568569404488556546")</f>
        <v>https://twitter.com/hassany89/status/1568569404488556546</v>
      </c>
      <c r="AA70" s="76"/>
      <c r="AB70" s="76"/>
      <c r="AC70" s="81" t="s">
        <v>1293</v>
      </c>
      <c r="AD70" s="76"/>
      <c r="AE70" s="76" t="b">
        <v>0</v>
      </c>
      <c r="AF70" s="76">
        <v>0</v>
      </c>
      <c r="AG70" s="81" t="s">
        <v>1674</v>
      </c>
      <c r="AH70" s="76" t="b">
        <v>0</v>
      </c>
      <c r="AI70" s="76" t="s">
        <v>1772</v>
      </c>
      <c r="AJ70" s="76"/>
      <c r="AK70" s="81" t="s">
        <v>1674</v>
      </c>
      <c r="AL70" s="76" t="b">
        <v>0</v>
      </c>
      <c r="AM70" s="76">
        <v>3</v>
      </c>
      <c r="AN70" s="81" t="s">
        <v>1335</v>
      </c>
      <c r="AO70" s="81" t="s">
        <v>1809</v>
      </c>
      <c r="AP70" s="76" t="b">
        <v>0</v>
      </c>
      <c r="AQ70" s="81" t="s">
        <v>1335</v>
      </c>
      <c r="AR70" s="76" t="s">
        <v>219</v>
      </c>
      <c r="AS70" s="76">
        <v>0</v>
      </c>
      <c r="AT70" s="76">
        <v>0</v>
      </c>
      <c r="AU70" s="76"/>
      <c r="AV70" s="76"/>
      <c r="AW70" s="76"/>
      <c r="AX70" s="76"/>
      <c r="AY70" s="76"/>
      <c r="AZ70" s="76"/>
      <c r="BA70" s="76"/>
      <c r="BB70" s="76"/>
      <c r="BC70">
        <v>1</v>
      </c>
      <c r="BD70" s="75" t="str">
        <f>REPLACE(INDEX(GroupVertices[Group],MATCH(Edges25[[#This Row],[Vertex 1]],GroupVertices[Vertex],0)),1,1,"")</f>
        <v>28</v>
      </c>
      <c r="BE70" s="75" t="str">
        <f>REPLACE(INDEX(GroupVertices[Group],MATCH(Edges25[[#This Row],[Vertex 2]],GroupVertices[Vertex],0)),1,1,"")</f>
        <v>28</v>
      </c>
      <c r="BF70" s="45">
        <v>0</v>
      </c>
      <c r="BG70" s="46">
        <v>0</v>
      </c>
      <c r="BH70" s="45">
        <v>0</v>
      </c>
      <c r="BI70" s="46">
        <v>0</v>
      </c>
      <c r="BJ70" s="45">
        <v>0</v>
      </c>
      <c r="BK70" s="46">
        <v>0</v>
      </c>
      <c r="BL70" s="45">
        <v>24</v>
      </c>
      <c r="BM70" s="46">
        <v>100</v>
      </c>
      <c r="BN70" s="45">
        <v>24</v>
      </c>
    </row>
    <row r="71" spans="1:66" ht="15">
      <c r="A71" s="61" t="s">
        <v>310</v>
      </c>
      <c r="B71" s="61" t="s">
        <v>340</v>
      </c>
      <c r="C71" s="62"/>
      <c r="D71" s="63"/>
      <c r="E71" s="62"/>
      <c r="F71" s="65"/>
      <c r="G71" s="62"/>
      <c r="H71" s="66"/>
      <c r="I71" s="67"/>
      <c r="J71" s="67"/>
      <c r="K71" s="31" t="s">
        <v>65</v>
      </c>
      <c r="L71" s="68">
        <v>109</v>
      </c>
      <c r="M71" s="68"/>
      <c r="N71" s="69"/>
      <c r="O71" s="76" t="s">
        <v>586</v>
      </c>
      <c r="P71" s="78">
        <v>44814.56612268519</v>
      </c>
      <c r="Q71" s="76" t="s">
        <v>630</v>
      </c>
      <c r="R71" s="76"/>
      <c r="S71" s="76"/>
      <c r="T71" s="81" t="s">
        <v>818</v>
      </c>
      <c r="U71" s="79" t="str">
        <f>HYPERLINK("https://pbs.twimg.com/ext_tw_video_thumb/1568550609225138178/pu/img/-GqFQP2LKjYRZ4Kw.jpg")</f>
        <v>https://pbs.twimg.com/ext_tw_video_thumb/1568550609225138178/pu/img/-GqFQP2LKjYRZ4Kw.jpg</v>
      </c>
      <c r="V71" s="79" t="str">
        <f>HYPERLINK("https://pbs.twimg.com/ext_tw_video_thumb/1568550609225138178/pu/img/-GqFQP2LKjYRZ4Kw.jpg")</f>
        <v>https://pbs.twimg.com/ext_tw_video_thumb/1568550609225138178/pu/img/-GqFQP2LKjYRZ4Kw.jpg</v>
      </c>
      <c r="W71" s="78">
        <v>44814.56612268519</v>
      </c>
      <c r="X71" s="84">
        <v>44814</v>
      </c>
      <c r="Y71" s="81" t="s">
        <v>963</v>
      </c>
      <c r="Z71" s="79" t="str">
        <f>HYPERLINK("https://twitter.com/george_w_bu/status/1568593940814745601")</f>
        <v>https://twitter.com/george_w_bu/status/1568593940814745601</v>
      </c>
      <c r="AA71" s="76"/>
      <c r="AB71" s="76"/>
      <c r="AC71" s="81" t="s">
        <v>1294</v>
      </c>
      <c r="AD71" s="76"/>
      <c r="AE71" s="76" t="b">
        <v>0</v>
      </c>
      <c r="AF71" s="76">
        <v>0</v>
      </c>
      <c r="AG71" s="81" t="s">
        <v>1674</v>
      </c>
      <c r="AH71" s="76" t="b">
        <v>0</v>
      </c>
      <c r="AI71" s="76" t="s">
        <v>1772</v>
      </c>
      <c r="AJ71" s="76"/>
      <c r="AK71" s="81" t="s">
        <v>1674</v>
      </c>
      <c r="AL71" s="76" t="b">
        <v>0</v>
      </c>
      <c r="AM71" s="76">
        <v>3</v>
      </c>
      <c r="AN71" s="81" t="s">
        <v>1335</v>
      </c>
      <c r="AO71" s="81" t="s">
        <v>1808</v>
      </c>
      <c r="AP71" s="76" t="b">
        <v>0</v>
      </c>
      <c r="AQ71" s="81" t="s">
        <v>1335</v>
      </c>
      <c r="AR71" s="76" t="s">
        <v>219</v>
      </c>
      <c r="AS71" s="76">
        <v>0</v>
      </c>
      <c r="AT71" s="76">
        <v>0</v>
      </c>
      <c r="AU71" s="76"/>
      <c r="AV71" s="76"/>
      <c r="AW71" s="76"/>
      <c r="AX71" s="76"/>
      <c r="AY71" s="76"/>
      <c r="AZ71" s="76"/>
      <c r="BA71" s="76"/>
      <c r="BB71" s="76"/>
      <c r="BC71">
        <v>1</v>
      </c>
      <c r="BD71" s="75" t="str">
        <f>REPLACE(INDEX(GroupVertices[Group],MATCH(Edges25[[#This Row],[Vertex 1]],GroupVertices[Vertex],0)),1,1,"")</f>
        <v>28</v>
      </c>
      <c r="BE71" s="75" t="str">
        <f>REPLACE(INDEX(GroupVertices[Group],MATCH(Edges25[[#This Row],[Vertex 2]],GroupVertices[Vertex],0)),1,1,"")</f>
        <v>28</v>
      </c>
      <c r="BF71" s="45">
        <v>0</v>
      </c>
      <c r="BG71" s="46">
        <v>0</v>
      </c>
      <c r="BH71" s="45">
        <v>0</v>
      </c>
      <c r="BI71" s="46">
        <v>0</v>
      </c>
      <c r="BJ71" s="45">
        <v>0</v>
      </c>
      <c r="BK71" s="46">
        <v>0</v>
      </c>
      <c r="BL71" s="45">
        <v>24</v>
      </c>
      <c r="BM71" s="46">
        <v>100</v>
      </c>
      <c r="BN71" s="45">
        <v>24</v>
      </c>
    </row>
    <row r="72" spans="1:66" ht="15">
      <c r="A72" s="61" t="s">
        <v>311</v>
      </c>
      <c r="B72" s="61" t="s">
        <v>311</v>
      </c>
      <c r="C72" s="62"/>
      <c r="D72" s="63"/>
      <c r="E72" s="62"/>
      <c r="F72" s="65"/>
      <c r="G72" s="62"/>
      <c r="H72" s="66"/>
      <c r="I72" s="67"/>
      <c r="J72" s="67"/>
      <c r="K72" s="31" t="s">
        <v>65</v>
      </c>
      <c r="L72" s="68">
        <v>110</v>
      </c>
      <c r="M72" s="68"/>
      <c r="N72" s="69"/>
      <c r="O72" s="76" t="s">
        <v>219</v>
      </c>
      <c r="P72" s="78">
        <v>44813.47828703704</v>
      </c>
      <c r="Q72" s="76" t="s">
        <v>611</v>
      </c>
      <c r="R72" s="76"/>
      <c r="S72" s="76"/>
      <c r="T72" s="81" t="s">
        <v>808</v>
      </c>
      <c r="U72" s="79" t="str">
        <f>HYPERLINK("https://pbs.twimg.com/ext_tw_video_thumb/1568199549256175617/pu/img/Ysr1rE83e5hn0twR.jpg")</f>
        <v>https://pbs.twimg.com/ext_tw_video_thumb/1568199549256175617/pu/img/Ysr1rE83e5hn0twR.jpg</v>
      </c>
      <c r="V72" s="79" t="str">
        <f>HYPERLINK("https://pbs.twimg.com/ext_tw_video_thumb/1568199549256175617/pu/img/Ysr1rE83e5hn0twR.jpg")</f>
        <v>https://pbs.twimg.com/ext_tw_video_thumb/1568199549256175617/pu/img/Ysr1rE83e5hn0twR.jpg</v>
      </c>
      <c r="W72" s="78">
        <v>44813.47828703704</v>
      </c>
      <c r="X72" s="84">
        <v>44813</v>
      </c>
      <c r="Y72" s="81" t="s">
        <v>964</v>
      </c>
      <c r="Z72" s="79" t="str">
        <f>HYPERLINK("https://twitter.com/ethiopi00829015/status/1568199721801449473")</f>
        <v>https://twitter.com/ethiopi00829015/status/1568199721801449473</v>
      </c>
      <c r="AA72" s="76"/>
      <c r="AB72" s="76"/>
      <c r="AC72" s="81" t="s">
        <v>1295</v>
      </c>
      <c r="AD72" s="76"/>
      <c r="AE72" s="76" t="b">
        <v>0</v>
      </c>
      <c r="AF72" s="76">
        <v>20</v>
      </c>
      <c r="AG72" s="81" t="s">
        <v>1674</v>
      </c>
      <c r="AH72" s="76" t="b">
        <v>0</v>
      </c>
      <c r="AI72" s="76" t="s">
        <v>1772</v>
      </c>
      <c r="AJ72" s="76"/>
      <c r="AK72" s="81" t="s">
        <v>1674</v>
      </c>
      <c r="AL72" s="76" t="b">
        <v>0</v>
      </c>
      <c r="AM72" s="76">
        <v>16</v>
      </c>
      <c r="AN72" s="81" t="s">
        <v>1674</v>
      </c>
      <c r="AO72" s="81" t="s">
        <v>1807</v>
      </c>
      <c r="AP72" s="76" t="b">
        <v>0</v>
      </c>
      <c r="AQ72" s="81" t="s">
        <v>1295</v>
      </c>
      <c r="AR72" s="76" t="s">
        <v>219</v>
      </c>
      <c r="AS72" s="76">
        <v>0</v>
      </c>
      <c r="AT72" s="76">
        <v>0</v>
      </c>
      <c r="AU72" s="76"/>
      <c r="AV72" s="76"/>
      <c r="AW72" s="76"/>
      <c r="AX72" s="76"/>
      <c r="AY72" s="76"/>
      <c r="AZ72" s="76"/>
      <c r="BA72" s="76"/>
      <c r="BB72" s="76"/>
      <c r="BC72">
        <v>1</v>
      </c>
      <c r="BD72" s="75" t="str">
        <f>REPLACE(INDEX(GroupVertices[Group],MATCH(Edges25[[#This Row],[Vertex 1]],GroupVertices[Vertex],0)),1,1,"")</f>
        <v>5</v>
      </c>
      <c r="BE72" s="75" t="str">
        <f>REPLACE(INDEX(GroupVertices[Group],MATCH(Edges25[[#This Row],[Vertex 2]],GroupVertices[Vertex],0)),1,1,"")</f>
        <v>5</v>
      </c>
      <c r="BF72" s="45">
        <v>1</v>
      </c>
      <c r="BG72" s="46">
        <v>2.5641025641025643</v>
      </c>
      <c r="BH72" s="45">
        <v>0</v>
      </c>
      <c r="BI72" s="46">
        <v>0</v>
      </c>
      <c r="BJ72" s="45">
        <v>0</v>
      </c>
      <c r="BK72" s="46">
        <v>0</v>
      </c>
      <c r="BL72" s="45">
        <v>38</v>
      </c>
      <c r="BM72" s="46">
        <v>97.43589743589743</v>
      </c>
      <c r="BN72" s="45">
        <v>39</v>
      </c>
    </row>
    <row r="73" spans="1:66" ht="15">
      <c r="A73" s="61" t="s">
        <v>312</v>
      </c>
      <c r="B73" s="61" t="s">
        <v>311</v>
      </c>
      <c r="C73" s="62"/>
      <c r="D73" s="63"/>
      <c r="E73" s="62"/>
      <c r="F73" s="65"/>
      <c r="G73" s="62"/>
      <c r="H73" s="66"/>
      <c r="I73" s="67"/>
      <c r="J73" s="67"/>
      <c r="K73" s="31" t="s">
        <v>65</v>
      </c>
      <c r="L73" s="68">
        <v>111</v>
      </c>
      <c r="M73" s="68"/>
      <c r="N73" s="69"/>
      <c r="O73" s="76" t="s">
        <v>586</v>
      </c>
      <c r="P73" s="78">
        <v>44814.63068287037</v>
      </c>
      <c r="Q73" s="76" t="s">
        <v>611</v>
      </c>
      <c r="R73" s="76"/>
      <c r="S73" s="76"/>
      <c r="T73" s="81" t="s">
        <v>808</v>
      </c>
      <c r="U73" s="79" t="str">
        <f>HYPERLINK("https://pbs.twimg.com/ext_tw_video_thumb/1568199549256175617/pu/img/Ysr1rE83e5hn0twR.jpg")</f>
        <v>https://pbs.twimg.com/ext_tw_video_thumb/1568199549256175617/pu/img/Ysr1rE83e5hn0twR.jpg</v>
      </c>
      <c r="V73" s="79" t="str">
        <f>HYPERLINK("https://pbs.twimg.com/ext_tw_video_thumb/1568199549256175617/pu/img/Ysr1rE83e5hn0twR.jpg")</f>
        <v>https://pbs.twimg.com/ext_tw_video_thumb/1568199549256175617/pu/img/Ysr1rE83e5hn0twR.jpg</v>
      </c>
      <c r="W73" s="78">
        <v>44814.63068287037</v>
      </c>
      <c r="X73" s="84">
        <v>44814</v>
      </c>
      <c r="Y73" s="81" t="s">
        <v>965</v>
      </c>
      <c r="Z73" s="79" t="str">
        <f>HYPERLINK("https://twitter.com/mengistutefer16/status/1568617339184357376")</f>
        <v>https://twitter.com/mengistutefer16/status/1568617339184357376</v>
      </c>
      <c r="AA73" s="76"/>
      <c r="AB73" s="76"/>
      <c r="AC73" s="81" t="s">
        <v>1296</v>
      </c>
      <c r="AD73" s="76"/>
      <c r="AE73" s="76" t="b">
        <v>0</v>
      </c>
      <c r="AF73" s="76">
        <v>0</v>
      </c>
      <c r="AG73" s="81" t="s">
        <v>1674</v>
      </c>
      <c r="AH73" s="76" t="b">
        <v>0</v>
      </c>
      <c r="AI73" s="76" t="s">
        <v>1772</v>
      </c>
      <c r="AJ73" s="76"/>
      <c r="AK73" s="81" t="s">
        <v>1674</v>
      </c>
      <c r="AL73" s="76" t="b">
        <v>0</v>
      </c>
      <c r="AM73" s="76">
        <v>16</v>
      </c>
      <c r="AN73" s="81" t="s">
        <v>1295</v>
      </c>
      <c r="AO73" s="81" t="s">
        <v>1809</v>
      </c>
      <c r="AP73" s="76" t="b">
        <v>0</v>
      </c>
      <c r="AQ73" s="81" t="s">
        <v>1295</v>
      </c>
      <c r="AR73" s="76" t="s">
        <v>219</v>
      </c>
      <c r="AS73" s="76">
        <v>0</v>
      </c>
      <c r="AT73" s="76">
        <v>0</v>
      </c>
      <c r="AU73" s="76"/>
      <c r="AV73" s="76"/>
      <c r="AW73" s="76"/>
      <c r="AX73" s="76"/>
      <c r="AY73" s="76"/>
      <c r="AZ73" s="76"/>
      <c r="BA73" s="76"/>
      <c r="BB73" s="76"/>
      <c r="BC73">
        <v>1</v>
      </c>
      <c r="BD73" s="75" t="str">
        <f>REPLACE(INDEX(GroupVertices[Group],MATCH(Edges25[[#This Row],[Vertex 1]],GroupVertices[Vertex],0)),1,1,"")</f>
        <v>5</v>
      </c>
      <c r="BE73" s="75" t="str">
        <f>REPLACE(INDEX(GroupVertices[Group],MATCH(Edges25[[#This Row],[Vertex 2]],GroupVertices[Vertex],0)),1,1,"")</f>
        <v>5</v>
      </c>
      <c r="BF73" s="45">
        <v>1</v>
      </c>
      <c r="BG73" s="46">
        <v>2.5641025641025643</v>
      </c>
      <c r="BH73" s="45">
        <v>0</v>
      </c>
      <c r="BI73" s="46">
        <v>0</v>
      </c>
      <c r="BJ73" s="45">
        <v>0</v>
      </c>
      <c r="BK73" s="46">
        <v>0</v>
      </c>
      <c r="BL73" s="45">
        <v>38</v>
      </c>
      <c r="BM73" s="46">
        <v>97.43589743589743</v>
      </c>
      <c r="BN73" s="45">
        <v>39</v>
      </c>
    </row>
    <row r="74" spans="1:66" ht="15">
      <c r="A74" s="61" t="s">
        <v>313</v>
      </c>
      <c r="B74" s="61" t="s">
        <v>473</v>
      </c>
      <c r="C74" s="62"/>
      <c r="D74" s="63"/>
      <c r="E74" s="62"/>
      <c r="F74" s="65"/>
      <c r="G74" s="62"/>
      <c r="H74" s="66"/>
      <c r="I74" s="67"/>
      <c r="J74" s="67"/>
      <c r="K74" s="31" t="s">
        <v>65</v>
      </c>
      <c r="L74" s="68">
        <v>112</v>
      </c>
      <c r="M74" s="68"/>
      <c r="N74" s="69"/>
      <c r="O74" s="76" t="s">
        <v>588</v>
      </c>
      <c r="P74" s="78">
        <v>44814.64175925926</v>
      </c>
      <c r="Q74" s="76" t="s">
        <v>631</v>
      </c>
      <c r="R74" s="76"/>
      <c r="S74" s="76"/>
      <c r="T74" s="76"/>
      <c r="U74" s="76"/>
      <c r="V74" s="79" t="str">
        <f>HYPERLINK("https://pbs.twimg.com/profile_images/1281338721518997505/XqzhddJm_normal.jpg")</f>
        <v>https://pbs.twimg.com/profile_images/1281338721518997505/XqzhddJm_normal.jpg</v>
      </c>
      <c r="W74" s="78">
        <v>44814.64175925926</v>
      </c>
      <c r="X74" s="84">
        <v>44814</v>
      </c>
      <c r="Y74" s="81" t="s">
        <v>966</v>
      </c>
      <c r="Z74" s="79" t="str">
        <f>HYPERLINK("https://twitter.com/brian_lefevre_/status/1568621353263054848")</f>
        <v>https://twitter.com/brian_lefevre_/status/1568621353263054848</v>
      </c>
      <c r="AA74" s="76"/>
      <c r="AB74" s="76"/>
      <c r="AC74" s="81" t="s">
        <v>1297</v>
      </c>
      <c r="AD74" s="81" t="s">
        <v>1581</v>
      </c>
      <c r="AE74" s="76" t="b">
        <v>0</v>
      </c>
      <c r="AF74" s="76">
        <v>1</v>
      </c>
      <c r="AG74" s="81" t="s">
        <v>1691</v>
      </c>
      <c r="AH74" s="76" t="b">
        <v>0</v>
      </c>
      <c r="AI74" s="76" t="s">
        <v>1772</v>
      </c>
      <c r="AJ74" s="76"/>
      <c r="AK74" s="81" t="s">
        <v>1674</v>
      </c>
      <c r="AL74" s="76" t="b">
        <v>0</v>
      </c>
      <c r="AM74" s="76">
        <v>0</v>
      </c>
      <c r="AN74" s="81" t="s">
        <v>1674</v>
      </c>
      <c r="AO74" s="81" t="s">
        <v>1807</v>
      </c>
      <c r="AP74" s="76" t="b">
        <v>0</v>
      </c>
      <c r="AQ74" s="81" t="s">
        <v>1581</v>
      </c>
      <c r="AR74" s="76" t="s">
        <v>219</v>
      </c>
      <c r="AS74" s="76">
        <v>0</v>
      </c>
      <c r="AT74" s="76">
        <v>0</v>
      </c>
      <c r="AU74" s="76"/>
      <c r="AV74" s="76"/>
      <c r="AW74" s="76"/>
      <c r="AX74" s="76"/>
      <c r="AY74" s="76"/>
      <c r="AZ74" s="76"/>
      <c r="BA74" s="76"/>
      <c r="BB74" s="76"/>
      <c r="BC74">
        <v>1</v>
      </c>
      <c r="BD74" s="75" t="str">
        <f>REPLACE(INDEX(GroupVertices[Group],MATCH(Edges25[[#This Row],[Vertex 1]],GroupVertices[Vertex],0)),1,1,"")</f>
        <v>11</v>
      </c>
      <c r="BE74" s="75" t="str">
        <f>REPLACE(INDEX(GroupVertices[Group],MATCH(Edges25[[#This Row],[Vertex 2]],GroupVertices[Vertex],0)),1,1,"")</f>
        <v>11</v>
      </c>
      <c r="BF74" s="45"/>
      <c r="BG74" s="46"/>
      <c r="BH74" s="45"/>
      <c r="BI74" s="46"/>
      <c r="BJ74" s="45"/>
      <c r="BK74" s="46"/>
      <c r="BL74" s="45"/>
      <c r="BM74" s="46"/>
      <c r="BN74" s="45"/>
    </row>
    <row r="75" spans="1:66" ht="15">
      <c r="A75" s="61" t="s">
        <v>314</v>
      </c>
      <c r="B75" s="61" t="s">
        <v>414</v>
      </c>
      <c r="C75" s="62"/>
      <c r="D75" s="63"/>
      <c r="E75" s="62"/>
      <c r="F75" s="65"/>
      <c r="G75" s="62"/>
      <c r="H75" s="66"/>
      <c r="I75" s="67"/>
      <c r="J75" s="67"/>
      <c r="K75" s="31" t="s">
        <v>65</v>
      </c>
      <c r="L75" s="68">
        <v>116</v>
      </c>
      <c r="M75" s="68"/>
      <c r="N75" s="69"/>
      <c r="O75" s="76" t="s">
        <v>586</v>
      </c>
      <c r="P75" s="78">
        <v>44814.921111111114</v>
      </c>
      <c r="Q75" s="76" t="s">
        <v>632</v>
      </c>
      <c r="R75" s="76"/>
      <c r="S75" s="76"/>
      <c r="T75" s="81" t="s">
        <v>819</v>
      </c>
      <c r="U75" s="76"/>
      <c r="V75" s="79" t="str">
        <f>HYPERLINK("https://pbs.twimg.com/profile_images/1558576684005265414/xPXXVVG2_normal.jpg")</f>
        <v>https://pbs.twimg.com/profile_images/1558576684005265414/xPXXVVG2_normal.jpg</v>
      </c>
      <c r="W75" s="78">
        <v>44814.921111111114</v>
      </c>
      <c r="X75" s="84">
        <v>44814</v>
      </c>
      <c r="Y75" s="81" t="s">
        <v>967</v>
      </c>
      <c r="Z75" s="79" t="str">
        <f>HYPERLINK("https://twitter.com/neprfl/status/1568722583800905728")</f>
        <v>https://twitter.com/neprfl/status/1568722583800905728</v>
      </c>
      <c r="AA75" s="76"/>
      <c r="AB75" s="76"/>
      <c r="AC75" s="81" t="s">
        <v>1298</v>
      </c>
      <c r="AD75" s="76"/>
      <c r="AE75" s="76" t="b">
        <v>0</v>
      </c>
      <c r="AF75" s="76">
        <v>0</v>
      </c>
      <c r="AG75" s="81" t="s">
        <v>1674</v>
      </c>
      <c r="AH75" s="76" t="b">
        <v>0</v>
      </c>
      <c r="AI75" s="76" t="s">
        <v>1771</v>
      </c>
      <c r="AJ75" s="76"/>
      <c r="AK75" s="81" t="s">
        <v>1674</v>
      </c>
      <c r="AL75" s="76" t="b">
        <v>0</v>
      </c>
      <c r="AM75" s="76">
        <v>4</v>
      </c>
      <c r="AN75" s="81" t="s">
        <v>1450</v>
      </c>
      <c r="AO75" s="81" t="s">
        <v>1807</v>
      </c>
      <c r="AP75" s="76" t="b">
        <v>0</v>
      </c>
      <c r="AQ75" s="81" t="s">
        <v>1450</v>
      </c>
      <c r="AR75" s="76" t="s">
        <v>219</v>
      </c>
      <c r="AS75" s="76">
        <v>0</v>
      </c>
      <c r="AT75" s="76">
        <v>0</v>
      </c>
      <c r="AU75" s="76"/>
      <c r="AV75" s="76"/>
      <c r="AW75" s="76"/>
      <c r="AX75" s="76"/>
      <c r="AY75" s="76"/>
      <c r="AZ75" s="76"/>
      <c r="BA75" s="76"/>
      <c r="BB75" s="76"/>
      <c r="BC75">
        <v>1</v>
      </c>
      <c r="BD75" s="75" t="str">
        <f>REPLACE(INDEX(GroupVertices[Group],MATCH(Edges25[[#This Row],[Vertex 1]],GroupVertices[Vertex],0)),1,1,"")</f>
        <v>3</v>
      </c>
      <c r="BE75" s="75" t="str">
        <f>REPLACE(INDEX(GroupVertices[Group],MATCH(Edges25[[#This Row],[Vertex 2]],GroupVertices[Vertex],0)),1,1,"")</f>
        <v>3</v>
      </c>
      <c r="BF75" s="45">
        <v>0</v>
      </c>
      <c r="BG75" s="46">
        <v>0</v>
      </c>
      <c r="BH75" s="45">
        <v>0</v>
      </c>
      <c r="BI75" s="46">
        <v>0</v>
      </c>
      <c r="BJ75" s="45">
        <v>0</v>
      </c>
      <c r="BK75" s="46">
        <v>0</v>
      </c>
      <c r="BL75" s="45">
        <v>5</v>
      </c>
      <c r="BM75" s="46">
        <v>100</v>
      </c>
      <c r="BN75" s="45">
        <v>5</v>
      </c>
    </row>
    <row r="76" spans="1:66" ht="15">
      <c r="A76" s="61" t="s">
        <v>315</v>
      </c>
      <c r="B76" s="61" t="s">
        <v>315</v>
      </c>
      <c r="C76" s="62"/>
      <c r="D76" s="63"/>
      <c r="E76" s="62"/>
      <c r="F76" s="65"/>
      <c r="G76" s="62"/>
      <c r="H76" s="66"/>
      <c r="I76" s="67"/>
      <c r="J76" s="67"/>
      <c r="K76" s="31" t="s">
        <v>65</v>
      </c>
      <c r="L76" s="68">
        <v>117</v>
      </c>
      <c r="M76" s="68"/>
      <c r="N76" s="69"/>
      <c r="O76" s="76" t="s">
        <v>219</v>
      </c>
      <c r="P76" s="78">
        <v>44814.87075231481</v>
      </c>
      <c r="Q76" s="76" t="s">
        <v>633</v>
      </c>
      <c r="R76" s="79" t="str">
        <f>HYPERLINK("https://twitter.com/MMerangul/status/1568596784678666250")</f>
        <v>https://twitter.com/MMerangul/status/1568596784678666250</v>
      </c>
      <c r="S76" s="76" t="s">
        <v>783</v>
      </c>
      <c r="T76" s="81" t="s">
        <v>820</v>
      </c>
      <c r="U76" s="76"/>
      <c r="V76" s="79" t="str">
        <f>HYPERLINK("https://pbs.twimg.com/profile_images/1568948429656674306/euHVm6a2_normal.jpg")</f>
        <v>https://pbs.twimg.com/profile_images/1568948429656674306/euHVm6a2_normal.jpg</v>
      </c>
      <c r="W76" s="78">
        <v>44814.87075231481</v>
      </c>
      <c r="X76" s="84">
        <v>44814</v>
      </c>
      <c r="Y76" s="81" t="s">
        <v>968</v>
      </c>
      <c r="Z76" s="79" t="str">
        <f>HYPERLINK("https://twitter.com/doctornazab/status/1568704337144061952")</f>
        <v>https://twitter.com/doctornazab/status/1568704337144061952</v>
      </c>
      <c r="AA76" s="76"/>
      <c r="AB76" s="76"/>
      <c r="AC76" s="81" t="s">
        <v>1299</v>
      </c>
      <c r="AD76" s="76"/>
      <c r="AE76" s="76" t="b">
        <v>0</v>
      </c>
      <c r="AF76" s="76">
        <v>1</v>
      </c>
      <c r="AG76" s="81" t="s">
        <v>1674</v>
      </c>
      <c r="AH76" s="76" t="b">
        <v>1</v>
      </c>
      <c r="AI76" s="76" t="s">
        <v>1772</v>
      </c>
      <c r="AJ76" s="76"/>
      <c r="AK76" s="81" t="s">
        <v>1793</v>
      </c>
      <c r="AL76" s="76" t="b">
        <v>0</v>
      </c>
      <c r="AM76" s="76">
        <v>1</v>
      </c>
      <c r="AN76" s="81" t="s">
        <v>1674</v>
      </c>
      <c r="AO76" s="81" t="s">
        <v>1808</v>
      </c>
      <c r="AP76" s="76" t="b">
        <v>0</v>
      </c>
      <c r="AQ76" s="81" t="s">
        <v>1299</v>
      </c>
      <c r="AR76" s="76" t="s">
        <v>219</v>
      </c>
      <c r="AS76" s="76">
        <v>0</v>
      </c>
      <c r="AT76" s="76">
        <v>0</v>
      </c>
      <c r="AU76" s="76"/>
      <c r="AV76" s="76"/>
      <c r="AW76" s="76"/>
      <c r="AX76" s="76"/>
      <c r="AY76" s="76"/>
      <c r="AZ76" s="76"/>
      <c r="BA76" s="76"/>
      <c r="BB76" s="76"/>
      <c r="BC76">
        <v>2</v>
      </c>
      <c r="BD76" s="75" t="str">
        <f>REPLACE(INDEX(GroupVertices[Group],MATCH(Edges25[[#This Row],[Vertex 1]],GroupVertices[Vertex],0)),1,1,"")</f>
        <v>2</v>
      </c>
      <c r="BE76" s="75" t="str">
        <f>REPLACE(INDEX(GroupVertices[Group],MATCH(Edges25[[#This Row],[Vertex 2]],GroupVertices[Vertex],0)),1,1,"")</f>
        <v>2</v>
      </c>
      <c r="BF76" s="45">
        <v>0</v>
      </c>
      <c r="BG76" s="46">
        <v>0</v>
      </c>
      <c r="BH76" s="45">
        <v>0</v>
      </c>
      <c r="BI76" s="46">
        <v>0</v>
      </c>
      <c r="BJ76" s="45">
        <v>0</v>
      </c>
      <c r="BK76" s="46">
        <v>0</v>
      </c>
      <c r="BL76" s="45">
        <v>6</v>
      </c>
      <c r="BM76" s="46">
        <v>100</v>
      </c>
      <c r="BN76" s="45">
        <v>6</v>
      </c>
    </row>
    <row r="77" spans="1:66" ht="15">
      <c r="A77" s="61" t="s">
        <v>315</v>
      </c>
      <c r="B77" s="61" t="s">
        <v>315</v>
      </c>
      <c r="C77" s="62"/>
      <c r="D77" s="63"/>
      <c r="E77" s="62"/>
      <c r="F77" s="65"/>
      <c r="G77" s="62"/>
      <c r="H77" s="66"/>
      <c r="I77" s="67"/>
      <c r="J77" s="67"/>
      <c r="K77" s="31" t="s">
        <v>65</v>
      </c>
      <c r="L77" s="68">
        <v>118</v>
      </c>
      <c r="M77" s="68"/>
      <c r="N77" s="69"/>
      <c r="O77" s="76" t="s">
        <v>586</v>
      </c>
      <c r="P77" s="78">
        <v>44814.937314814815</v>
      </c>
      <c r="Q77" s="76" t="s">
        <v>633</v>
      </c>
      <c r="R77" s="79" t="str">
        <f>HYPERLINK("https://twitter.com/MMerangul/status/1568596784678666250")</f>
        <v>https://twitter.com/MMerangul/status/1568596784678666250</v>
      </c>
      <c r="S77" s="76" t="s">
        <v>783</v>
      </c>
      <c r="T77" s="81" t="s">
        <v>820</v>
      </c>
      <c r="U77" s="76"/>
      <c r="V77" s="79" t="str">
        <f>HYPERLINK("https://pbs.twimg.com/profile_images/1568948429656674306/euHVm6a2_normal.jpg")</f>
        <v>https://pbs.twimg.com/profile_images/1568948429656674306/euHVm6a2_normal.jpg</v>
      </c>
      <c r="W77" s="78">
        <v>44814.937314814815</v>
      </c>
      <c r="X77" s="84">
        <v>44814</v>
      </c>
      <c r="Y77" s="81" t="s">
        <v>969</v>
      </c>
      <c r="Z77" s="79" t="str">
        <f>HYPERLINK("https://twitter.com/doctornazab/status/1568728456543993856")</f>
        <v>https://twitter.com/doctornazab/status/1568728456543993856</v>
      </c>
      <c r="AA77" s="76"/>
      <c r="AB77" s="76"/>
      <c r="AC77" s="81" t="s">
        <v>1300</v>
      </c>
      <c r="AD77" s="76"/>
      <c r="AE77" s="76" t="b">
        <v>0</v>
      </c>
      <c r="AF77" s="76">
        <v>0</v>
      </c>
      <c r="AG77" s="81" t="s">
        <v>1674</v>
      </c>
      <c r="AH77" s="76" t="b">
        <v>1</v>
      </c>
      <c r="AI77" s="76" t="s">
        <v>1772</v>
      </c>
      <c r="AJ77" s="76"/>
      <c r="AK77" s="81" t="s">
        <v>1793</v>
      </c>
      <c r="AL77" s="76" t="b">
        <v>0</v>
      </c>
      <c r="AM77" s="76">
        <v>1</v>
      </c>
      <c r="AN77" s="81" t="s">
        <v>1299</v>
      </c>
      <c r="AO77" s="81" t="s">
        <v>1808</v>
      </c>
      <c r="AP77" s="76" t="b">
        <v>0</v>
      </c>
      <c r="AQ77" s="81" t="s">
        <v>1299</v>
      </c>
      <c r="AR77" s="76" t="s">
        <v>219</v>
      </c>
      <c r="AS77" s="76">
        <v>0</v>
      </c>
      <c r="AT77" s="76">
        <v>0</v>
      </c>
      <c r="AU77" s="76"/>
      <c r="AV77" s="76"/>
      <c r="AW77" s="76"/>
      <c r="AX77" s="76"/>
      <c r="AY77" s="76"/>
      <c r="AZ77" s="76"/>
      <c r="BA77" s="76"/>
      <c r="BB77" s="76"/>
      <c r="BC77">
        <v>2</v>
      </c>
      <c r="BD77" s="75" t="str">
        <f>REPLACE(INDEX(GroupVertices[Group],MATCH(Edges25[[#This Row],[Vertex 1]],GroupVertices[Vertex],0)),1,1,"")</f>
        <v>2</v>
      </c>
      <c r="BE77" s="75" t="str">
        <f>REPLACE(INDEX(GroupVertices[Group],MATCH(Edges25[[#This Row],[Vertex 2]],GroupVertices[Vertex],0)),1,1,"")</f>
        <v>2</v>
      </c>
      <c r="BF77" s="45">
        <v>0</v>
      </c>
      <c r="BG77" s="46">
        <v>0</v>
      </c>
      <c r="BH77" s="45">
        <v>0</v>
      </c>
      <c r="BI77" s="46">
        <v>0</v>
      </c>
      <c r="BJ77" s="45">
        <v>0</v>
      </c>
      <c r="BK77" s="46">
        <v>0</v>
      </c>
      <c r="BL77" s="45">
        <v>6</v>
      </c>
      <c r="BM77" s="46">
        <v>100</v>
      </c>
      <c r="BN77" s="45">
        <v>6</v>
      </c>
    </row>
    <row r="78" spans="1:66" ht="15">
      <c r="A78" s="61" t="s">
        <v>316</v>
      </c>
      <c r="B78" s="61" t="s">
        <v>379</v>
      </c>
      <c r="C78" s="62"/>
      <c r="D78" s="63"/>
      <c r="E78" s="62"/>
      <c r="F78" s="65"/>
      <c r="G78" s="62"/>
      <c r="H78" s="66"/>
      <c r="I78" s="67"/>
      <c r="J78" s="67"/>
      <c r="K78" s="31" t="s">
        <v>65</v>
      </c>
      <c r="L78" s="68">
        <v>119</v>
      </c>
      <c r="M78" s="68"/>
      <c r="N78" s="69"/>
      <c r="O78" s="76" t="s">
        <v>586</v>
      </c>
      <c r="P78" s="78">
        <v>44815.27347222222</v>
      </c>
      <c r="Q78" s="76" t="s">
        <v>634</v>
      </c>
      <c r="R78" s="79" t="str">
        <f>HYPERLINK("https://twitter.com/StepanGronk/status/1568043302032928768")</f>
        <v>https://twitter.com/StepanGronk/status/1568043302032928768</v>
      </c>
      <c r="S78" s="76" t="s">
        <v>783</v>
      </c>
      <c r="T78" s="81" t="s">
        <v>821</v>
      </c>
      <c r="U78" s="76"/>
      <c r="V78" s="79" t="str">
        <f>HYPERLINK("https://pbs.twimg.com/profile_images/1523823077171208192/-W8oi3yt_normal.jpg")</f>
        <v>https://pbs.twimg.com/profile_images/1523823077171208192/-W8oi3yt_normal.jpg</v>
      </c>
      <c r="W78" s="78">
        <v>44815.27347222222</v>
      </c>
      <c r="X78" s="84">
        <v>44815</v>
      </c>
      <c r="Y78" s="81" t="s">
        <v>970</v>
      </c>
      <c r="Z78" s="79" t="str">
        <f>HYPERLINK("https://twitter.com/alex87431641/status/1568850275829686272")</f>
        <v>https://twitter.com/alex87431641/status/1568850275829686272</v>
      </c>
      <c r="AA78" s="76"/>
      <c r="AB78" s="76"/>
      <c r="AC78" s="81" t="s">
        <v>1301</v>
      </c>
      <c r="AD78" s="76"/>
      <c r="AE78" s="76" t="b">
        <v>0</v>
      </c>
      <c r="AF78" s="76">
        <v>0</v>
      </c>
      <c r="AG78" s="81" t="s">
        <v>1674</v>
      </c>
      <c r="AH78" s="76" t="b">
        <v>1</v>
      </c>
      <c r="AI78" s="76" t="s">
        <v>1772</v>
      </c>
      <c r="AJ78" s="76"/>
      <c r="AK78" s="81" t="s">
        <v>1794</v>
      </c>
      <c r="AL78" s="76" t="b">
        <v>0</v>
      </c>
      <c r="AM78" s="76">
        <v>2</v>
      </c>
      <c r="AN78" s="81" t="s">
        <v>1386</v>
      </c>
      <c r="AO78" s="81" t="s">
        <v>1809</v>
      </c>
      <c r="AP78" s="76" t="b">
        <v>0</v>
      </c>
      <c r="AQ78" s="81" t="s">
        <v>1386</v>
      </c>
      <c r="AR78" s="76" t="s">
        <v>219</v>
      </c>
      <c r="AS78" s="76">
        <v>0</v>
      </c>
      <c r="AT78" s="76">
        <v>0</v>
      </c>
      <c r="AU78" s="76"/>
      <c r="AV78" s="76"/>
      <c r="AW78" s="76"/>
      <c r="AX78" s="76"/>
      <c r="AY78" s="76"/>
      <c r="AZ78" s="76"/>
      <c r="BA78" s="76"/>
      <c r="BB78" s="76"/>
      <c r="BC78">
        <v>1</v>
      </c>
      <c r="BD78" s="75" t="str">
        <f>REPLACE(INDEX(GroupVertices[Group],MATCH(Edges25[[#This Row],[Vertex 1]],GroupVertices[Vertex],0)),1,1,"")</f>
        <v>13</v>
      </c>
      <c r="BE78" s="75" t="str">
        <f>REPLACE(INDEX(GroupVertices[Group],MATCH(Edges25[[#This Row],[Vertex 2]],GroupVertices[Vertex],0)),1,1,"")</f>
        <v>13</v>
      </c>
      <c r="BF78" s="45">
        <v>0</v>
      </c>
      <c r="BG78" s="46">
        <v>0</v>
      </c>
      <c r="BH78" s="45">
        <v>1</v>
      </c>
      <c r="BI78" s="46">
        <v>6.25</v>
      </c>
      <c r="BJ78" s="45">
        <v>0</v>
      </c>
      <c r="BK78" s="46">
        <v>0</v>
      </c>
      <c r="BL78" s="45">
        <v>15</v>
      </c>
      <c r="BM78" s="46">
        <v>93.75</v>
      </c>
      <c r="BN78" s="45">
        <v>16</v>
      </c>
    </row>
    <row r="79" spans="1:66" ht="15">
      <c r="A79" s="61" t="s">
        <v>317</v>
      </c>
      <c r="B79" s="61" t="s">
        <v>476</v>
      </c>
      <c r="C79" s="62"/>
      <c r="D79" s="63"/>
      <c r="E79" s="62"/>
      <c r="F79" s="65"/>
      <c r="G79" s="62"/>
      <c r="H79" s="66"/>
      <c r="I79" s="67"/>
      <c r="J79" s="67"/>
      <c r="K79" s="31" t="s">
        <v>65</v>
      </c>
      <c r="L79" s="68">
        <v>120</v>
      </c>
      <c r="M79" s="68"/>
      <c r="N79" s="69"/>
      <c r="O79" s="76" t="s">
        <v>588</v>
      </c>
      <c r="P79" s="78">
        <v>44815.287465277775</v>
      </c>
      <c r="Q79" s="76" t="s">
        <v>635</v>
      </c>
      <c r="R79" s="76"/>
      <c r="S79" s="76"/>
      <c r="T79" s="81" t="s">
        <v>795</v>
      </c>
      <c r="U79" s="76"/>
      <c r="V79" s="79" t="str">
        <f>HYPERLINK("https://pbs.twimg.com/profile_images/1542401699238789124/Qzd6s1He_normal.jpg")</f>
        <v>https://pbs.twimg.com/profile_images/1542401699238789124/Qzd6s1He_normal.jpg</v>
      </c>
      <c r="W79" s="78">
        <v>44815.287465277775</v>
      </c>
      <c r="X79" s="84">
        <v>44815</v>
      </c>
      <c r="Y79" s="81" t="s">
        <v>971</v>
      </c>
      <c r="Z79" s="79" t="str">
        <f>HYPERLINK("https://twitter.com/levin3700/status/1568855346373869568")</f>
        <v>https://twitter.com/levin3700/status/1568855346373869568</v>
      </c>
      <c r="AA79" s="76"/>
      <c r="AB79" s="76"/>
      <c r="AC79" s="81" t="s">
        <v>1302</v>
      </c>
      <c r="AD79" s="81" t="s">
        <v>1582</v>
      </c>
      <c r="AE79" s="76" t="b">
        <v>0</v>
      </c>
      <c r="AF79" s="76">
        <v>0</v>
      </c>
      <c r="AG79" s="81" t="s">
        <v>1692</v>
      </c>
      <c r="AH79" s="76" t="b">
        <v>0</v>
      </c>
      <c r="AI79" s="76" t="s">
        <v>1773</v>
      </c>
      <c r="AJ79" s="76"/>
      <c r="AK79" s="81" t="s">
        <v>1674</v>
      </c>
      <c r="AL79" s="76" t="b">
        <v>0</v>
      </c>
      <c r="AM79" s="76">
        <v>0</v>
      </c>
      <c r="AN79" s="81" t="s">
        <v>1674</v>
      </c>
      <c r="AO79" s="81" t="s">
        <v>1808</v>
      </c>
      <c r="AP79" s="76" t="b">
        <v>0</v>
      </c>
      <c r="AQ79" s="81" t="s">
        <v>1582</v>
      </c>
      <c r="AR79" s="76" t="s">
        <v>219</v>
      </c>
      <c r="AS79" s="76">
        <v>0</v>
      </c>
      <c r="AT79" s="76">
        <v>0</v>
      </c>
      <c r="AU79" s="76"/>
      <c r="AV79" s="76"/>
      <c r="AW79" s="76"/>
      <c r="AX79" s="76"/>
      <c r="AY79" s="76"/>
      <c r="AZ79" s="76"/>
      <c r="BA79" s="76"/>
      <c r="BB79" s="76"/>
      <c r="BC79">
        <v>1</v>
      </c>
      <c r="BD79" s="75" t="str">
        <f>REPLACE(INDEX(GroupVertices[Group],MATCH(Edges25[[#This Row],[Vertex 1]],GroupVertices[Vertex],0)),1,1,"")</f>
        <v>25</v>
      </c>
      <c r="BE79" s="75" t="str">
        <f>REPLACE(INDEX(GroupVertices[Group],MATCH(Edges25[[#This Row],[Vertex 2]],GroupVertices[Vertex],0)),1,1,"")</f>
        <v>25</v>
      </c>
      <c r="BF79" s="45"/>
      <c r="BG79" s="46"/>
      <c r="BH79" s="45"/>
      <c r="BI79" s="46"/>
      <c r="BJ79" s="45"/>
      <c r="BK79" s="46"/>
      <c r="BL79" s="45"/>
      <c r="BM79" s="46"/>
      <c r="BN79" s="45"/>
    </row>
    <row r="80" spans="1:66" ht="15">
      <c r="A80" s="61" t="s">
        <v>318</v>
      </c>
      <c r="B80" s="61" t="s">
        <v>460</v>
      </c>
      <c r="C80" s="62"/>
      <c r="D80" s="63"/>
      <c r="E80" s="62"/>
      <c r="F80" s="65"/>
      <c r="G80" s="62"/>
      <c r="H80" s="66"/>
      <c r="I80" s="67"/>
      <c r="J80" s="67"/>
      <c r="K80" s="31" t="s">
        <v>65</v>
      </c>
      <c r="L80" s="68">
        <v>123</v>
      </c>
      <c r="M80" s="68"/>
      <c r="N80" s="69"/>
      <c r="O80" s="76" t="s">
        <v>588</v>
      </c>
      <c r="P80" s="78">
        <v>44809.77690972222</v>
      </c>
      <c r="Q80" s="76" t="s">
        <v>589</v>
      </c>
      <c r="R80" s="76"/>
      <c r="S80" s="76"/>
      <c r="T80" s="81" t="s">
        <v>792</v>
      </c>
      <c r="U80" s="79" t="str">
        <f>HYPERLINK("https://pbs.twimg.com/media/Fb6ZZsqWYAUww3Q.jpg")</f>
        <v>https://pbs.twimg.com/media/Fb6ZZsqWYAUww3Q.jpg</v>
      </c>
      <c r="V80" s="79" t="str">
        <f>HYPERLINK("https://pbs.twimg.com/media/Fb6ZZsqWYAUww3Q.jpg")</f>
        <v>https://pbs.twimg.com/media/Fb6ZZsqWYAUww3Q.jpg</v>
      </c>
      <c r="W80" s="78">
        <v>44809.77690972222</v>
      </c>
      <c r="X80" s="84">
        <v>44809</v>
      </c>
      <c r="Y80" s="81" t="s">
        <v>972</v>
      </c>
      <c r="Z80" s="79" t="str">
        <f>HYPERLINK("https://twitter.com/spydercof/status/1566858391003209729")</f>
        <v>https://twitter.com/spydercof/status/1566858391003209729</v>
      </c>
      <c r="AA80" s="76"/>
      <c r="AB80" s="76"/>
      <c r="AC80" s="81" t="s">
        <v>1303</v>
      </c>
      <c r="AD80" s="76"/>
      <c r="AE80" s="76" t="b">
        <v>0</v>
      </c>
      <c r="AF80" s="76">
        <v>74</v>
      </c>
      <c r="AG80" s="81" t="s">
        <v>1674</v>
      </c>
      <c r="AH80" s="76" t="b">
        <v>0</v>
      </c>
      <c r="AI80" s="76" t="s">
        <v>1770</v>
      </c>
      <c r="AJ80" s="76"/>
      <c r="AK80" s="81" t="s">
        <v>1674</v>
      </c>
      <c r="AL80" s="76" t="b">
        <v>0</v>
      </c>
      <c r="AM80" s="76">
        <v>35</v>
      </c>
      <c r="AN80" s="81" t="s">
        <v>1674</v>
      </c>
      <c r="AO80" s="81" t="s">
        <v>1807</v>
      </c>
      <c r="AP80" s="76" t="b">
        <v>0</v>
      </c>
      <c r="AQ80" s="81" t="s">
        <v>1303</v>
      </c>
      <c r="AR80" s="76" t="s">
        <v>586</v>
      </c>
      <c r="AS80" s="76">
        <v>0</v>
      </c>
      <c r="AT80" s="76">
        <v>0</v>
      </c>
      <c r="AU80" s="76"/>
      <c r="AV80" s="76"/>
      <c r="AW80" s="76"/>
      <c r="AX80" s="76"/>
      <c r="AY80" s="76"/>
      <c r="AZ80" s="76"/>
      <c r="BA80" s="76"/>
      <c r="BB80" s="76"/>
      <c r="BC80">
        <v>1</v>
      </c>
      <c r="BD80" s="75" t="str">
        <f>REPLACE(INDEX(GroupVertices[Group],MATCH(Edges25[[#This Row],[Vertex 1]],GroupVertices[Vertex],0)),1,1,"")</f>
        <v>10</v>
      </c>
      <c r="BE80" s="75" t="str">
        <f>REPLACE(INDEX(GroupVertices[Group],MATCH(Edges25[[#This Row],[Vertex 2]],GroupVertices[Vertex],0)),1,1,"")</f>
        <v>10</v>
      </c>
      <c r="BF80" s="45"/>
      <c r="BG80" s="46"/>
      <c r="BH80" s="45"/>
      <c r="BI80" s="46"/>
      <c r="BJ80" s="45"/>
      <c r="BK80" s="46"/>
      <c r="BL80" s="45"/>
      <c r="BM80" s="46"/>
      <c r="BN80" s="45"/>
    </row>
    <row r="81" spans="1:66" ht="15">
      <c r="A81" s="61" t="s">
        <v>319</v>
      </c>
      <c r="B81" s="61" t="s">
        <v>460</v>
      </c>
      <c r="C81" s="62"/>
      <c r="D81" s="63"/>
      <c r="E81" s="62"/>
      <c r="F81" s="65"/>
      <c r="G81" s="62"/>
      <c r="H81" s="66"/>
      <c r="I81" s="67"/>
      <c r="J81" s="67"/>
      <c r="K81" s="31" t="s">
        <v>65</v>
      </c>
      <c r="L81" s="68">
        <v>124</v>
      </c>
      <c r="M81" s="68"/>
      <c r="N81" s="69"/>
      <c r="O81" s="76" t="s">
        <v>585</v>
      </c>
      <c r="P81" s="78">
        <v>44815.30583333333</v>
      </c>
      <c r="Q81" s="76" t="s">
        <v>589</v>
      </c>
      <c r="R81" s="76"/>
      <c r="S81" s="76"/>
      <c r="T81" s="81" t="s">
        <v>792</v>
      </c>
      <c r="U81" s="79" t="str">
        <f>HYPERLINK("https://pbs.twimg.com/media/Fb6ZZsqWYAUww3Q.jpg")</f>
        <v>https://pbs.twimg.com/media/Fb6ZZsqWYAUww3Q.jpg</v>
      </c>
      <c r="V81" s="79" t="str">
        <f>HYPERLINK("https://pbs.twimg.com/media/Fb6ZZsqWYAUww3Q.jpg")</f>
        <v>https://pbs.twimg.com/media/Fb6ZZsqWYAUww3Q.jpg</v>
      </c>
      <c r="W81" s="78">
        <v>44815.30583333333</v>
      </c>
      <c r="X81" s="84">
        <v>44815</v>
      </c>
      <c r="Y81" s="81" t="s">
        <v>973</v>
      </c>
      <c r="Z81" s="79" t="str">
        <f>HYPERLINK("https://twitter.com/jeanonekit/status/1568862005901103105")</f>
        <v>https://twitter.com/jeanonekit/status/1568862005901103105</v>
      </c>
      <c r="AA81" s="76"/>
      <c r="AB81" s="76"/>
      <c r="AC81" s="81" t="s">
        <v>1304</v>
      </c>
      <c r="AD81" s="76"/>
      <c r="AE81" s="76" t="b">
        <v>0</v>
      </c>
      <c r="AF81" s="76">
        <v>0</v>
      </c>
      <c r="AG81" s="81" t="s">
        <v>1674</v>
      </c>
      <c r="AH81" s="76" t="b">
        <v>0</v>
      </c>
      <c r="AI81" s="76" t="s">
        <v>1770</v>
      </c>
      <c r="AJ81" s="76"/>
      <c r="AK81" s="81" t="s">
        <v>1674</v>
      </c>
      <c r="AL81" s="76" t="b">
        <v>0</v>
      </c>
      <c r="AM81" s="76">
        <v>35</v>
      </c>
      <c r="AN81" s="81" t="s">
        <v>1303</v>
      </c>
      <c r="AO81" s="81" t="s">
        <v>1808</v>
      </c>
      <c r="AP81" s="76" t="b">
        <v>0</v>
      </c>
      <c r="AQ81" s="81" t="s">
        <v>1303</v>
      </c>
      <c r="AR81" s="76" t="s">
        <v>219</v>
      </c>
      <c r="AS81" s="76">
        <v>0</v>
      </c>
      <c r="AT81" s="76">
        <v>0</v>
      </c>
      <c r="AU81" s="76"/>
      <c r="AV81" s="76"/>
      <c r="AW81" s="76"/>
      <c r="AX81" s="76"/>
      <c r="AY81" s="76"/>
      <c r="AZ81" s="76"/>
      <c r="BA81" s="76"/>
      <c r="BB81" s="76"/>
      <c r="BC81">
        <v>1</v>
      </c>
      <c r="BD81" s="75" t="str">
        <f>REPLACE(INDEX(GroupVertices[Group],MATCH(Edges25[[#This Row],[Vertex 1]],GroupVertices[Vertex],0)),1,1,"")</f>
        <v>10</v>
      </c>
      <c r="BE81" s="75" t="str">
        <f>REPLACE(INDEX(GroupVertices[Group],MATCH(Edges25[[#This Row],[Vertex 2]],GroupVertices[Vertex],0)),1,1,"")</f>
        <v>10</v>
      </c>
      <c r="BF81" s="45"/>
      <c r="BG81" s="46"/>
      <c r="BH81" s="45"/>
      <c r="BI81" s="46"/>
      <c r="BJ81" s="45"/>
      <c r="BK81" s="46"/>
      <c r="BL81" s="45"/>
      <c r="BM81" s="46"/>
      <c r="BN81" s="45"/>
    </row>
    <row r="82" spans="1:66" ht="15">
      <c r="A82" s="61" t="s">
        <v>320</v>
      </c>
      <c r="B82" s="61" t="s">
        <v>320</v>
      </c>
      <c r="C82" s="62"/>
      <c r="D82" s="63"/>
      <c r="E82" s="62"/>
      <c r="F82" s="65"/>
      <c r="G82" s="62"/>
      <c r="H82" s="66"/>
      <c r="I82" s="67"/>
      <c r="J82" s="67"/>
      <c r="K82" s="31" t="s">
        <v>65</v>
      </c>
      <c r="L82" s="68">
        <v>130</v>
      </c>
      <c r="M82" s="68"/>
      <c r="N82" s="69"/>
      <c r="O82" s="76" t="s">
        <v>219</v>
      </c>
      <c r="P82" s="78">
        <v>44815.32828703704</v>
      </c>
      <c r="Q82" s="76" t="s">
        <v>636</v>
      </c>
      <c r="R82" s="76"/>
      <c r="S82" s="76"/>
      <c r="T82" s="81" t="s">
        <v>795</v>
      </c>
      <c r="U82" s="76"/>
      <c r="V82" s="79" t="str">
        <f>HYPERLINK("https://pbs.twimg.com/profile_images/1544171727412150273/O6KLm71w_normal.jpg")</f>
        <v>https://pbs.twimg.com/profile_images/1544171727412150273/O6KLm71w_normal.jpg</v>
      </c>
      <c r="W82" s="78">
        <v>44815.32828703704</v>
      </c>
      <c r="X82" s="84">
        <v>44815</v>
      </c>
      <c r="Y82" s="81" t="s">
        <v>974</v>
      </c>
      <c r="Z82" s="79" t="str">
        <f>HYPERLINK("https://twitter.com/hamfordjohn/status/1568870142599397379")</f>
        <v>https://twitter.com/hamfordjohn/status/1568870142599397379</v>
      </c>
      <c r="AA82" s="76"/>
      <c r="AB82" s="76"/>
      <c r="AC82" s="81" t="s">
        <v>1305</v>
      </c>
      <c r="AD82" s="76"/>
      <c r="AE82" s="76" t="b">
        <v>0</v>
      </c>
      <c r="AF82" s="76">
        <v>0</v>
      </c>
      <c r="AG82" s="81" t="s">
        <v>1674</v>
      </c>
      <c r="AH82" s="76" t="b">
        <v>0</v>
      </c>
      <c r="AI82" s="76" t="s">
        <v>1772</v>
      </c>
      <c r="AJ82" s="76"/>
      <c r="AK82" s="81" t="s">
        <v>1674</v>
      </c>
      <c r="AL82" s="76" t="b">
        <v>0</v>
      </c>
      <c r="AM82" s="76">
        <v>0</v>
      </c>
      <c r="AN82" s="81" t="s">
        <v>1674</v>
      </c>
      <c r="AO82" s="81" t="s">
        <v>1808</v>
      </c>
      <c r="AP82" s="76" t="b">
        <v>0</v>
      </c>
      <c r="AQ82" s="81" t="s">
        <v>1305</v>
      </c>
      <c r="AR82" s="76" t="s">
        <v>219</v>
      </c>
      <c r="AS82" s="76">
        <v>0</v>
      </c>
      <c r="AT82" s="76">
        <v>0</v>
      </c>
      <c r="AU82" s="76"/>
      <c r="AV82" s="76"/>
      <c r="AW82" s="76"/>
      <c r="AX82" s="76"/>
      <c r="AY82" s="76"/>
      <c r="AZ82" s="76"/>
      <c r="BA82" s="76"/>
      <c r="BB82" s="76"/>
      <c r="BC82">
        <v>1</v>
      </c>
      <c r="BD82" s="75" t="str">
        <f>REPLACE(INDEX(GroupVertices[Group],MATCH(Edges25[[#This Row],[Vertex 1]],GroupVertices[Vertex],0)),1,1,"")</f>
        <v>2</v>
      </c>
      <c r="BE82" s="75" t="str">
        <f>REPLACE(INDEX(GroupVertices[Group],MATCH(Edges25[[#This Row],[Vertex 2]],GroupVertices[Vertex],0)),1,1,"")</f>
        <v>2</v>
      </c>
      <c r="BF82" s="45">
        <v>0</v>
      </c>
      <c r="BG82" s="46">
        <v>0</v>
      </c>
      <c r="BH82" s="45">
        <v>0</v>
      </c>
      <c r="BI82" s="46">
        <v>0</v>
      </c>
      <c r="BJ82" s="45">
        <v>0</v>
      </c>
      <c r="BK82" s="46">
        <v>0</v>
      </c>
      <c r="BL82" s="45">
        <v>17</v>
      </c>
      <c r="BM82" s="46">
        <v>100</v>
      </c>
      <c r="BN82" s="45">
        <v>17</v>
      </c>
    </row>
    <row r="83" spans="1:66" ht="15">
      <c r="A83" s="61" t="s">
        <v>321</v>
      </c>
      <c r="B83" s="61" t="s">
        <v>414</v>
      </c>
      <c r="C83" s="62"/>
      <c r="D83" s="63"/>
      <c r="E83" s="62"/>
      <c r="F83" s="65"/>
      <c r="G83" s="62"/>
      <c r="H83" s="66"/>
      <c r="I83" s="67"/>
      <c r="J83" s="67"/>
      <c r="K83" s="31" t="s">
        <v>65</v>
      </c>
      <c r="L83" s="68">
        <v>131</v>
      </c>
      <c r="M83" s="68"/>
      <c r="N83" s="69"/>
      <c r="O83" s="76" t="s">
        <v>586</v>
      </c>
      <c r="P83" s="78">
        <v>44815.468298611115</v>
      </c>
      <c r="Q83" s="76" t="s">
        <v>632</v>
      </c>
      <c r="R83" s="76"/>
      <c r="S83" s="76"/>
      <c r="T83" s="81" t="s">
        <v>819</v>
      </c>
      <c r="U83" s="76"/>
      <c r="V83" s="79" t="str">
        <f>HYPERLINK("https://pbs.twimg.com/profile_images/1558145228825059337/iMGMDJlF_normal.jpg")</f>
        <v>https://pbs.twimg.com/profile_images/1558145228825059337/iMGMDJlF_normal.jpg</v>
      </c>
      <c r="W83" s="78">
        <v>44815.468298611115</v>
      </c>
      <c r="X83" s="84">
        <v>44815</v>
      </c>
      <c r="Y83" s="81" t="s">
        <v>975</v>
      </c>
      <c r="Z83" s="79" t="str">
        <f>HYPERLINK("https://twitter.com/bilgeozyurt/status/1568920878825574400")</f>
        <v>https://twitter.com/bilgeozyurt/status/1568920878825574400</v>
      </c>
      <c r="AA83" s="76"/>
      <c r="AB83" s="76"/>
      <c r="AC83" s="81" t="s">
        <v>1306</v>
      </c>
      <c r="AD83" s="76"/>
      <c r="AE83" s="76" t="b">
        <v>0</v>
      </c>
      <c r="AF83" s="76">
        <v>0</v>
      </c>
      <c r="AG83" s="81" t="s">
        <v>1674</v>
      </c>
      <c r="AH83" s="76" t="b">
        <v>0</v>
      </c>
      <c r="AI83" s="76" t="s">
        <v>1771</v>
      </c>
      <c r="AJ83" s="76"/>
      <c r="AK83" s="81" t="s">
        <v>1674</v>
      </c>
      <c r="AL83" s="76" t="b">
        <v>0</v>
      </c>
      <c r="AM83" s="76">
        <v>4</v>
      </c>
      <c r="AN83" s="81" t="s">
        <v>1450</v>
      </c>
      <c r="AO83" s="81" t="s">
        <v>1807</v>
      </c>
      <c r="AP83" s="76" t="b">
        <v>0</v>
      </c>
      <c r="AQ83" s="81" t="s">
        <v>1450</v>
      </c>
      <c r="AR83" s="76" t="s">
        <v>219</v>
      </c>
      <c r="AS83" s="76">
        <v>0</v>
      </c>
      <c r="AT83" s="76">
        <v>0</v>
      </c>
      <c r="AU83" s="76"/>
      <c r="AV83" s="76"/>
      <c r="AW83" s="76"/>
      <c r="AX83" s="76"/>
      <c r="AY83" s="76"/>
      <c r="AZ83" s="76"/>
      <c r="BA83" s="76"/>
      <c r="BB83" s="76"/>
      <c r="BC83">
        <v>1</v>
      </c>
      <c r="BD83" s="75" t="str">
        <f>REPLACE(INDEX(GroupVertices[Group],MATCH(Edges25[[#This Row],[Vertex 1]],GroupVertices[Vertex],0)),1,1,"")</f>
        <v>3</v>
      </c>
      <c r="BE83" s="75" t="str">
        <f>REPLACE(INDEX(GroupVertices[Group],MATCH(Edges25[[#This Row],[Vertex 2]],GroupVertices[Vertex],0)),1,1,"")</f>
        <v>3</v>
      </c>
      <c r="BF83" s="45">
        <v>0</v>
      </c>
      <c r="BG83" s="46">
        <v>0</v>
      </c>
      <c r="BH83" s="45">
        <v>0</v>
      </c>
      <c r="BI83" s="46">
        <v>0</v>
      </c>
      <c r="BJ83" s="45">
        <v>0</v>
      </c>
      <c r="BK83" s="46">
        <v>0</v>
      </c>
      <c r="BL83" s="45">
        <v>5</v>
      </c>
      <c r="BM83" s="46">
        <v>100</v>
      </c>
      <c r="BN83" s="45">
        <v>5</v>
      </c>
    </row>
    <row r="84" spans="1:66" ht="15">
      <c r="A84" s="61" t="s">
        <v>322</v>
      </c>
      <c r="B84" s="61" t="s">
        <v>479</v>
      </c>
      <c r="C84" s="62"/>
      <c r="D84" s="63"/>
      <c r="E84" s="62"/>
      <c r="F84" s="65"/>
      <c r="G84" s="62"/>
      <c r="H84" s="66"/>
      <c r="I84" s="67"/>
      <c r="J84" s="67"/>
      <c r="K84" s="31" t="s">
        <v>65</v>
      </c>
      <c r="L84" s="68">
        <v>132</v>
      </c>
      <c r="M84" s="68"/>
      <c r="N84" s="69"/>
      <c r="O84" s="76" t="s">
        <v>588</v>
      </c>
      <c r="P84" s="78">
        <v>44815.43917824074</v>
      </c>
      <c r="Q84" s="76" t="s">
        <v>637</v>
      </c>
      <c r="R84" s="76"/>
      <c r="S84" s="76"/>
      <c r="T84" s="76"/>
      <c r="U84" s="76"/>
      <c r="V84" s="79" t="str">
        <f>HYPERLINK("https://pbs.twimg.com/profile_images/1564861883064242177/pOz801Wy_normal.jpg")</f>
        <v>https://pbs.twimg.com/profile_images/1564861883064242177/pOz801Wy_normal.jpg</v>
      </c>
      <c r="W84" s="78">
        <v>44815.43917824074</v>
      </c>
      <c r="X84" s="84">
        <v>44815</v>
      </c>
      <c r="Y84" s="81" t="s">
        <v>976</v>
      </c>
      <c r="Z84" s="79" t="str">
        <f>HYPERLINK("https://twitter.com/filipkatundsk/status/1568910326992715776")</f>
        <v>https://twitter.com/filipkatundsk/status/1568910326992715776</v>
      </c>
      <c r="AA84" s="76"/>
      <c r="AB84" s="76"/>
      <c r="AC84" s="81" t="s">
        <v>1307</v>
      </c>
      <c r="AD84" s="81" t="s">
        <v>1583</v>
      </c>
      <c r="AE84" s="76" t="b">
        <v>0</v>
      </c>
      <c r="AF84" s="76">
        <v>1</v>
      </c>
      <c r="AG84" s="81" t="s">
        <v>1693</v>
      </c>
      <c r="AH84" s="76" t="b">
        <v>0</v>
      </c>
      <c r="AI84" s="76" t="s">
        <v>1772</v>
      </c>
      <c r="AJ84" s="76"/>
      <c r="AK84" s="81" t="s">
        <v>1674</v>
      </c>
      <c r="AL84" s="76" t="b">
        <v>0</v>
      </c>
      <c r="AM84" s="76">
        <v>0</v>
      </c>
      <c r="AN84" s="81" t="s">
        <v>1674</v>
      </c>
      <c r="AO84" s="81" t="s">
        <v>1808</v>
      </c>
      <c r="AP84" s="76" t="b">
        <v>0</v>
      </c>
      <c r="AQ84" s="81" t="s">
        <v>1583</v>
      </c>
      <c r="AR84" s="76" t="s">
        <v>219</v>
      </c>
      <c r="AS84" s="76">
        <v>0</v>
      </c>
      <c r="AT84" s="76">
        <v>0</v>
      </c>
      <c r="AU84" s="76"/>
      <c r="AV84" s="76"/>
      <c r="AW84" s="76"/>
      <c r="AX84" s="76"/>
      <c r="AY84" s="76"/>
      <c r="AZ84" s="76"/>
      <c r="BA84" s="76"/>
      <c r="BB84" s="76"/>
      <c r="BC84">
        <v>1</v>
      </c>
      <c r="BD84" s="75" t="str">
        <f>REPLACE(INDEX(GroupVertices[Group],MATCH(Edges25[[#This Row],[Vertex 1]],GroupVertices[Vertex],0)),1,1,"")</f>
        <v>18</v>
      </c>
      <c r="BE84" s="75" t="str">
        <f>REPLACE(INDEX(GroupVertices[Group],MATCH(Edges25[[#This Row],[Vertex 2]],GroupVertices[Vertex],0)),1,1,"")</f>
        <v>18</v>
      </c>
      <c r="BF84" s="45"/>
      <c r="BG84" s="46"/>
      <c r="BH84" s="45"/>
      <c r="BI84" s="46"/>
      <c r="BJ84" s="45"/>
      <c r="BK84" s="46"/>
      <c r="BL84" s="45"/>
      <c r="BM84" s="46"/>
      <c r="BN84" s="45"/>
    </row>
    <row r="85" spans="1:66" ht="15">
      <c r="A85" s="61" t="s">
        <v>322</v>
      </c>
      <c r="B85" s="61" t="s">
        <v>482</v>
      </c>
      <c r="C85" s="62"/>
      <c r="D85" s="63"/>
      <c r="E85" s="62"/>
      <c r="F85" s="65"/>
      <c r="G85" s="62"/>
      <c r="H85" s="66"/>
      <c r="I85" s="67"/>
      <c r="J85" s="67"/>
      <c r="K85" s="31" t="s">
        <v>65</v>
      </c>
      <c r="L85" s="68">
        <v>135</v>
      </c>
      <c r="M85" s="68"/>
      <c r="N85" s="69"/>
      <c r="O85" s="76" t="s">
        <v>587</v>
      </c>
      <c r="P85" s="78">
        <v>44815.470613425925</v>
      </c>
      <c r="Q85" s="76" t="s">
        <v>638</v>
      </c>
      <c r="R85" s="76"/>
      <c r="S85" s="76"/>
      <c r="T85" s="76"/>
      <c r="U85" s="76"/>
      <c r="V85" s="79" t="str">
        <f>HYPERLINK("https://pbs.twimg.com/profile_images/1564861883064242177/pOz801Wy_normal.jpg")</f>
        <v>https://pbs.twimg.com/profile_images/1564861883064242177/pOz801Wy_normal.jpg</v>
      </c>
      <c r="W85" s="78">
        <v>44815.470613425925</v>
      </c>
      <c r="X85" s="84">
        <v>44815</v>
      </c>
      <c r="Y85" s="81" t="s">
        <v>977</v>
      </c>
      <c r="Z85" s="79" t="str">
        <f>HYPERLINK("https://twitter.com/filipkatundsk/status/1568921720399994881")</f>
        <v>https://twitter.com/filipkatundsk/status/1568921720399994881</v>
      </c>
      <c r="AA85" s="76"/>
      <c r="AB85" s="76"/>
      <c r="AC85" s="81" t="s">
        <v>1308</v>
      </c>
      <c r="AD85" s="81" t="s">
        <v>1584</v>
      </c>
      <c r="AE85" s="76" t="b">
        <v>0</v>
      </c>
      <c r="AF85" s="76">
        <v>1</v>
      </c>
      <c r="AG85" s="81" t="s">
        <v>1694</v>
      </c>
      <c r="AH85" s="76" t="b">
        <v>0</v>
      </c>
      <c r="AI85" s="76" t="s">
        <v>1772</v>
      </c>
      <c r="AJ85" s="76"/>
      <c r="AK85" s="81" t="s">
        <v>1674</v>
      </c>
      <c r="AL85" s="76" t="b">
        <v>0</v>
      </c>
      <c r="AM85" s="76">
        <v>0</v>
      </c>
      <c r="AN85" s="81" t="s">
        <v>1674</v>
      </c>
      <c r="AO85" s="81" t="s">
        <v>1808</v>
      </c>
      <c r="AP85" s="76" t="b">
        <v>0</v>
      </c>
      <c r="AQ85" s="81" t="s">
        <v>1584</v>
      </c>
      <c r="AR85" s="76" t="s">
        <v>219</v>
      </c>
      <c r="AS85" s="76">
        <v>0</v>
      </c>
      <c r="AT85" s="76">
        <v>0</v>
      </c>
      <c r="AU85" s="76"/>
      <c r="AV85" s="76"/>
      <c r="AW85" s="76"/>
      <c r="AX85" s="76"/>
      <c r="AY85" s="76"/>
      <c r="AZ85" s="76"/>
      <c r="BA85" s="76"/>
      <c r="BB85" s="76"/>
      <c r="BC85">
        <v>1</v>
      </c>
      <c r="BD85" s="75" t="str">
        <f>REPLACE(INDEX(GroupVertices[Group],MATCH(Edges25[[#This Row],[Vertex 1]],GroupVertices[Vertex],0)),1,1,"")</f>
        <v>18</v>
      </c>
      <c r="BE85" s="75" t="str">
        <f>REPLACE(INDEX(GroupVertices[Group],MATCH(Edges25[[#This Row],[Vertex 2]],GroupVertices[Vertex],0)),1,1,"")</f>
        <v>18</v>
      </c>
      <c r="BF85" s="45">
        <v>0</v>
      </c>
      <c r="BG85" s="46">
        <v>0</v>
      </c>
      <c r="BH85" s="45">
        <v>1</v>
      </c>
      <c r="BI85" s="46">
        <v>2.6315789473684212</v>
      </c>
      <c r="BJ85" s="45">
        <v>0</v>
      </c>
      <c r="BK85" s="46">
        <v>0</v>
      </c>
      <c r="BL85" s="45">
        <v>37</v>
      </c>
      <c r="BM85" s="46">
        <v>97.36842105263158</v>
      </c>
      <c r="BN85" s="45">
        <v>38</v>
      </c>
    </row>
    <row r="86" spans="1:66" ht="15">
      <c r="A86" s="61" t="s">
        <v>323</v>
      </c>
      <c r="B86" s="61" t="s">
        <v>483</v>
      </c>
      <c r="C86" s="62"/>
      <c r="D86" s="63"/>
      <c r="E86" s="62"/>
      <c r="F86" s="65"/>
      <c r="G86" s="62"/>
      <c r="H86" s="66"/>
      <c r="I86" s="67"/>
      <c r="J86" s="67"/>
      <c r="K86" s="31" t="s">
        <v>65</v>
      </c>
      <c r="L86" s="68">
        <v>136</v>
      </c>
      <c r="M86" s="68"/>
      <c r="N86" s="69"/>
      <c r="O86" s="76" t="s">
        <v>587</v>
      </c>
      <c r="P86" s="78">
        <v>44815.49607638889</v>
      </c>
      <c r="Q86" s="76" t="s">
        <v>639</v>
      </c>
      <c r="R86" s="76"/>
      <c r="S86" s="76"/>
      <c r="T86" s="81" t="s">
        <v>795</v>
      </c>
      <c r="U86" s="76"/>
      <c r="V86" s="79" t="str">
        <f>HYPERLINK("https://pbs.twimg.com/profile_images/1454814605964939264/gx1lpE_A_normal.jpg")</f>
        <v>https://pbs.twimg.com/profile_images/1454814605964939264/gx1lpE_A_normal.jpg</v>
      </c>
      <c r="W86" s="78">
        <v>44815.49607638889</v>
      </c>
      <c r="X86" s="84">
        <v>44815</v>
      </c>
      <c r="Y86" s="81" t="s">
        <v>978</v>
      </c>
      <c r="Z86" s="79" t="str">
        <f>HYPERLINK("https://twitter.com/nzabakira4/status/1568930943938998272")</f>
        <v>https://twitter.com/nzabakira4/status/1568930943938998272</v>
      </c>
      <c r="AA86" s="76"/>
      <c r="AB86" s="76"/>
      <c r="AC86" s="81" t="s">
        <v>1309</v>
      </c>
      <c r="AD86" s="81" t="s">
        <v>1585</v>
      </c>
      <c r="AE86" s="76" t="b">
        <v>0</v>
      </c>
      <c r="AF86" s="76">
        <v>0</v>
      </c>
      <c r="AG86" s="81" t="s">
        <v>1695</v>
      </c>
      <c r="AH86" s="76" t="b">
        <v>0</v>
      </c>
      <c r="AI86" s="76" t="s">
        <v>1773</v>
      </c>
      <c r="AJ86" s="76"/>
      <c r="AK86" s="81" t="s">
        <v>1674</v>
      </c>
      <c r="AL86" s="76" t="b">
        <v>0</v>
      </c>
      <c r="AM86" s="76">
        <v>0</v>
      </c>
      <c r="AN86" s="81" t="s">
        <v>1674</v>
      </c>
      <c r="AO86" s="81" t="s">
        <v>1809</v>
      </c>
      <c r="AP86" s="76" t="b">
        <v>0</v>
      </c>
      <c r="AQ86" s="81" t="s">
        <v>1585</v>
      </c>
      <c r="AR86" s="76" t="s">
        <v>219</v>
      </c>
      <c r="AS86" s="76">
        <v>0</v>
      </c>
      <c r="AT86" s="76">
        <v>0</v>
      </c>
      <c r="AU86" s="76"/>
      <c r="AV86" s="76"/>
      <c r="AW86" s="76"/>
      <c r="AX86" s="76"/>
      <c r="AY86" s="76"/>
      <c r="AZ86" s="76"/>
      <c r="BA86" s="76"/>
      <c r="BB86" s="76"/>
      <c r="BC86">
        <v>1</v>
      </c>
      <c r="BD86" s="75" t="str">
        <f>REPLACE(INDEX(GroupVertices[Group],MATCH(Edges25[[#This Row],[Vertex 1]],GroupVertices[Vertex],0)),1,1,"")</f>
        <v>53</v>
      </c>
      <c r="BE86" s="75" t="str">
        <f>REPLACE(INDEX(GroupVertices[Group],MATCH(Edges25[[#This Row],[Vertex 2]],GroupVertices[Vertex],0)),1,1,"")</f>
        <v>53</v>
      </c>
      <c r="BF86" s="45">
        <v>0</v>
      </c>
      <c r="BG86" s="46">
        <v>0</v>
      </c>
      <c r="BH86" s="45">
        <v>0</v>
      </c>
      <c r="BI86" s="46">
        <v>0</v>
      </c>
      <c r="BJ86" s="45">
        <v>0</v>
      </c>
      <c r="BK86" s="46">
        <v>0</v>
      </c>
      <c r="BL86" s="45">
        <v>2</v>
      </c>
      <c r="BM86" s="46">
        <v>100</v>
      </c>
      <c r="BN86" s="45">
        <v>2</v>
      </c>
    </row>
    <row r="87" spans="1:66" ht="15">
      <c r="A87" s="61" t="s">
        <v>324</v>
      </c>
      <c r="B87" s="61" t="s">
        <v>484</v>
      </c>
      <c r="C87" s="62"/>
      <c r="D87" s="63"/>
      <c r="E87" s="62"/>
      <c r="F87" s="65"/>
      <c r="G87" s="62"/>
      <c r="H87" s="66"/>
      <c r="I87" s="67"/>
      <c r="J87" s="67"/>
      <c r="K87" s="31" t="s">
        <v>65</v>
      </c>
      <c r="L87" s="68">
        <v>137</v>
      </c>
      <c r="M87" s="68"/>
      <c r="N87" s="69"/>
      <c r="O87" s="76" t="s">
        <v>587</v>
      </c>
      <c r="P87" s="78">
        <v>44815.54141203704</v>
      </c>
      <c r="Q87" s="76" t="s">
        <v>640</v>
      </c>
      <c r="R87" s="76"/>
      <c r="S87" s="76"/>
      <c r="T87" s="76"/>
      <c r="U87" s="76"/>
      <c r="V87" s="79" t="str">
        <f>HYPERLINK("https://pbs.twimg.com/profile_images/1569229813604560896/uGgriCjb_normal.jpg")</f>
        <v>https://pbs.twimg.com/profile_images/1569229813604560896/uGgriCjb_normal.jpg</v>
      </c>
      <c r="W87" s="78">
        <v>44815.54141203704</v>
      </c>
      <c r="X87" s="84">
        <v>44815</v>
      </c>
      <c r="Y87" s="81" t="s">
        <v>979</v>
      </c>
      <c r="Z87" s="79" t="str">
        <f>HYPERLINK("https://twitter.com/serpens48/status/1568947376035090433")</f>
        <v>https://twitter.com/serpens48/status/1568947376035090433</v>
      </c>
      <c r="AA87" s="76"/>
      <c r="AB87" s="76"/>
      <c r="AC87" s="81" t="s">
        <v>1310</v>
      </c>
      <c r="AD87" s="81" t="s">
        <v>1586</v>
      </c>
      <c r="AE87" s="76" t="b">
        <v>0</v>
      </c>
      <c r="AF87" s="76">
        <v>0</v>
      </c>
      <c r="AG87" s="81" t="s">
        <v>1696</v>
      </c>
      <c r="AH87" s="76" t="b">
        <v>0</v>
      </c>
      <c r="AI87" s="76" t="s">
        <v>1772</v>
      </c>
      <c r="AJ87" s="76"/>
      <c r="AK87" s="81" t="s">
        <v>1674</v>
      </c>
      <c r="AL87" s="76" t="b">
        <v>0</v>
      </c>
      <c r="AM87" s="76">
        <v>0</v>
      </c>
      <c r="AN87" s="81" t="s">
        <v>1674</v>
      </c>
      <c r="AO87" s="81" t="s">
        <v>1808</v>
      </c>
      <c r="AP87" s="76" t="b">
        <v>0</v>
      </c>
      <c r="AQ87" s="81" t="s">
        <v>1586</v>
      </c>
      <c r="AR87" s="76" t="s">
        <v>219</v>
      </c>
      <c r="AS87" s="76">
        <v>0</v>
      </c>
      <c r="AT87" s="76">
        <v>0</v>
      </c>
      <c r="AU87" s="76"/>
      <c r="AV87" s="76"/>
      <c r="AW87" s="76"/>
      <c r="AX87" s="76"/>
      <c r="AY87" s="76"/>
      <c r="AZ87" s="76"/>
      <c r="BA87" s="76"/>
      <c r="BB87" s="76"/>
      <c r="BC87">
        <v>1</v>
      </c>
      <c r="BD87" s="75" t="str">
        <f>REPLACE(INDEX(GroupVertices[Group],MATCH(Edges25[[#This Row],[Vertex 1]],GroupVertices[Vertex],0)),1,1,"")</f>
        <v>52</v>
      </c>
      <c r="BE87" s="75" t="str">
        <f>REPLACE(INDEX(GroupVertices[Group],MATCH(Edges25[[#This Row],[Vertex 2]],GroupVertices[Vertex],0)),1,1,"")</f>
        <v>52</v>
      </c>
      <c r="BF87" s="45">
        <v>0</v>
      </c>
      <c r="BG87" s="46">
        <v>0</v>
      </c>
      <c r="BH87" s="45">
        <v>0</v>
      </c>
      <c r="BI87" s="46">
        <v>0</v>
      </c>
      <c r="BJ87" s="45">
        <v>0</v>
      </c>
      <c r="BK87" s="46">
        <v>0</v>
      </c>
      <c r="BL87" s="45">
        <v>40</v>
      </c>
      <c r="BM87" s="46">
        <v>100</v>
      </c>
      <c r="BN87" s="45">
        <v>40</v>
      </c>
    </row>
    <row r="88" spans="1:66" ht="15">
      <c r="A88" s="61" t="s">
        <v>325</v>
      </c>
      <c r="B88" s="61" t="s">
        <v>337</v>
      </c>
      <c r="C88" s="62"/>
      <c r="D88" s="63"/>
      <c r="E88" s="62"/>
      <c r="F88" s="65"/>
      <c r="G88" s="62"/>
      <c r="H88" s="66"/>
      <c r="I88" s="67"/>
      <c r="J88" s="67"/>
      <c r="K88" s="31" t="s">
        <v>65</v>
      </c>
      <c r="L88" s="68">
        <v>138</v>
      </c>
      <c r="M88" s="68"/>
      <c r="N88" s="69"/>
      <c r="O88" s="76" t="s">
        <v>586</v>
      </c>
      <c r="P88" s="78">
        <v>44815.587013888886</v>
      </c>
      <c r="Q88" s="76" t="s">
        <v>641</v>
      </c>
      <c r="R88" s="79" t="str">
        <f>HYPERLINK("https://www.lesechos.fr/monde/enjeux-internationaux/les-etats-unis-reclament-lunite-des-allies-contre-la-russie-1787144?xtor=CS4-6235")</f>
        <v>https://www.lesechos.fr/monde/enjeux-internationaux/les-etats-unis-reclament-lunite-des-allies-contre-la-russie-1787144?xtor=CS4-6235</v>
      </c>
      <c r="S88" s="76" t="s">
        <v>785</v>
      </c>
      <c r="T88" s="81" t="s">
        <v>822</v>
      </c>
      <c r="U88" s="76"/>
      <c r="V88" s="79" t="str">
        <f>HYPERLINK("https://pbs.twimg.com/profile_images/1567936250111221762/yooKi464_normal.jpg")</f>
        <v>https://pbs.twimg.com/profile_images/1567936250111221762/yooKi464_normal.jpg</v>
      </c>
      <c r="W88" s="78">
        <v>44815.587013888886</v>
      </c>
      <c r="X88" s="84">
        <v>44815</v>
      </c>
      <c r="Y88" s="81" t="s">
        <v>980</v>
      </c>
      <c r="Z88" s="79" t="str">
        <f>HYPERLINK("https://twitter.com/genoisemile/status/1568963900116291584")</f>
        <v>https://twitter.com/genoisemile/status/1568963900116291584</v>
      </c>
      <c r="AA88" s="76"/>
      <c r="AB88" s="76"/>
      <c r="AC88" s="81" t="s">
        <v>1311</v>
      </c>
      <c r="AD88" s="76"/>
      <c r="AE88" s="76" t="b">
        <v>0</v>
      </c>
      <c r="AF88" s="76">
        <v>0</v>
      </c>
      <c r="AG88" s="81" t="s">
        <v>1674</v>
      </c>
      <c r="AH88" s="76" t="b">
        <v>0</v>
      </c>
      <c r="AI88" s="76" t="s">
        <v>1770</v>
      </c>
      <c r="AJ88" s="76"/>
      <c r="AK88" s="81" t="s">
        <v>1674</v>
      </c>
      <c r="AL88" s="76" t="b">
        <v>0</v>
      </c>
      <c r="AM88" s="76">
        <v>10</v>
      </c>
      <c r="AN88" s="81" t="s">
        <v>1332</v>
      </c>
      <c r="AO88" s="81" t="s">
        <v>1807</v>
      </c>
      <c r="AP88" s="76" t="b">
        <v>0</v>
      </c>
      <c r="AQ88" s="81" t="s">
        <v>1332</v>
      </c>
      <c r="AR88" s="76" t="s">
        <v>219</v>
      </c>
      <c r="AS88" s="76">
        <v>0</v>
      </c>
      <c r="AT88" s="76">
        <v>0</v>
      </c>
      <c r="AU88" s="76"/>
      <c r="AV88" s="76"/>
      <c r="AW88" s="76"/>
      <c r="AX88" s="76"/>
      <c r="AY88" s="76"/>
      <c r="AZ88" s="76"/>
      <c r="BA88" s="76"/>
      <c r="BB88" s="76"/>
      <c r="BC88">
        <v>1</v>
      </c>
      <c r="BD88" s="75" t="str">
        <f>REPLACE(INDEX(GroupVertices[Group],MATCH(Edges25[[#This Row],[Vertex 1]],GroupVertices[Vertex],0)),1,1,"")</f>
        <v>7</v>
      </c>
      <c r="BE88" s="75" t="str">
        <f>REPLACE(INDEX(GroupVertices[Group],MATCH(Edges25[[#This Row],[Vertex 2]],GroupVertices[Vertex],0)),1,1,"")</f>
        <v>7</v>
      </c>
      <c r="BF88" s="45">
        <v>0</v>
      </c>
      <c r="BG88" s="46">
        <v>0</v>
      </c>
      <c r="BH88" s="45">
        <v>0</v>
      </c>
      <c r="BI88" s="46">
        <v>0</v>
      </c>
      <c r="BJ88" s="45">
        <v>0</v>
      </c>
      <c r="BK88" s="46">
        <v>0</v>
      </c>
      <c r="BL88" s="45">
        <v>27</v>
      </c>
      <c r="BM88" s="46">
        <v>100</v>
      </c>
      <c r="BN88" s="45">
        <v>27</v>
      </c>
    </row>
    <row r="89" spans="1:66" ht="15">
      <c r="A89" s="61" t="s">
        <v>326</v>
      </c>
      <c r="B89" s="61" t="s">
        <v>485</v>
      </c>
      <c r="C89" s="62"/>
      <c r="D89" s="63"/>
      <c r="E89" s="62"/>
      <c r="F89" s="65"/>
      <c r="G89" s="62"/>
      <c r="H89" s="66"/>
      <c r="I89" s="67"/>
      <c r="J89" s="67"/>
      <c r="K89" s="31" t="s">
        <v>65</v>
      </c>
      <c r="L89" s="68">
        <v>139</v>
      </c>
      <c r="M89" s="68"/>
      <c r="N89" s="69"/>
      <c r="O89" s="76" t="s">
        <v>587</v>
      </c>
      <c r="P89" s="78">
        <v>44812.68133101852</v>
      </c>
      <c r="Q89" s="76" t="s">
        <v>642</v>
      </c>
      <c r="R89" s="76"/>
      <c r="S89" s="76"/>
      <c r="T89" s="81" t="s">
        <v>795</v>
      </c>
      <c r="U89" s="76"/>
      <c r="V89" s="79" t="str">
        <f>HYPERLINK("https://pbs.twimg.com/profile_images/1495462778240475136/aqiyN_O6_normal.jpg")</f>
        <v>https://pbs.twimg.com/profile_images/1495462778240475136/aqiyN_O6_normal.jpg</v>
      </c>
      <c r="W89" s="78">
        <v>44812.68133101852</v>
      </c>
      <c r="X89" s="84">
        <v>44812</v>
      </c>
      <c r="Y89" s="81" t="s">
        <v>981</v>
      </c>
      <c r="Z89" s="79" t="str">
        <f>HYPERLINK("https://twitter.com/reservoir_dogs8/status/1567910915068121091")</f>
        <v>https://twitter.com/reservoir_dogs8/status/1567910915068121091</v>
      </c>
      <c r="AA89" s="76"/>
      <c r="AB89" s="76"/>
      <c r="AC89" s="81" t="s">
        <v>1312</v>
      </c>
      <c r="AD89" s="81" t="s">
        <v>1587</v>
      </c>
      <c r="AE89" s="76" t="b">
        <v>0</v>
      </c>
      <c r="AF89" s="76">
        <v>0</v>
      </c>
      <c r="AG89" s="81" t="s">
        <v>1697</v>
      </c>
      <c r="AH89" s="76" t="b">
        <v>0</v>
      </c>
      <c r="AI89" s="76" t="s">
        <v>1773</v>
      </c>
      <c r="AJ89" s="76"/>
      <c r="AK89" s="81" t="s">
        <v>1674</v>
      </c>
      <c r="AL89" s="76" t="b">
        <v>0</v>
      </c>
      <c r="AM89" s="76">
        <v>0</v>
      </c>
      <c r="AN89" s="81" t="s">
        <v>1674</v>
      </c>
      <c r="AO89" s="81" t="s">
        <v>1807</v>
      </c>
      <c r="AP89" s="76" t="b">
        <v>0</v>
      </c>
      <c r="AQ89" s="81" t="s">
        <v>1587</v>
      </c>
      <c r="AR89" s="76" t="s">
        <v>219</v>
      </c>
      <c r="AS89" s="76">
        <v>0</v>
      </c>
      <c r="AT89" s="76">
        <v>0</v>
      </c>
      <c r="AU89" s="76"/>
      <c r="AV89" s="76"/>
      <c r="AW89" s="76"/>
      <c r="AX89" s="76"/>
      <c r="AY89" s="76"/>
      <c r="AZ89" s="76"/>
      <c r="BA89" s="76"/>
      <c r="BB89" s="76"/>
      <c r="BC89">
        <v>1</v>
      </c>
      <c r="BD89" s="75" t="str">
        <f>REPLACE(INDEX(GroupVertices[Group],MATCH(Edges25[[#This Row],[Vertex 1]],GroupVertices[Vertex],0)),1,1,"")</f>
        <v>29</v>
      </c>
      <c r="BE89" s="75" t="str">
        <f>REPLACE(INDEX(GroupVertices[Group],MATCH(Edges25[[#This Row],[Vertex 2]],GroupVertices[Vertex],0)),1,1,"")</f>
        <v>29</v>
      </c>
      <c r="BF89" s="45">
        <v>0</v>
      </c>
      <c r="BG89" s="46">
        <v>0</v>
      </c>
      <c r="BH89" s="45">
        <v>0</v>
      </c>
      <c r="BI89" s="46">
        <v>0</v>
      </c>
      <c r="BJ89" s="45">
        <v>0</v>
      </c>
      <c r="BK89" s="46">
        <v>0</v>
      </c>
      <c r="BL89" s="45">
        <v>2</v>
      </c>
      <c r="BM89" s="46">
        <v>100</v>
      </c>
      <c r="BN89" s="45">
        <v>2</v>
      </c>
    </row>
    <row r="90" spans="1:66" ht="15">
      <c r="A90" s="61" t="s">
        <v>326</v>
      </c>
      <c r="B90" s="61" t="s">
        <v>486</v>
      </c>
      <c r="C90" s="62"/>
      <c r="D90" s="63"/>
      <c r="E90" s="62"/>
      <c r="F90" s="65"/>
      <c r="G90" s="62"/>
      <c r="H90" s="66"/>
      <c r="I90" s="67"/>
      <c r="J90" s="67"/>
      <c r="K90" s="31" t="s">
        <v>65</v>
      </c>
      <c r="L90" s="68">
        <v>140</v>
      </c>
      <c r="M90" s="68"/>
      <c r="N90" s="69"/>
      <c r="O90" s="76" t="s">
        <v>587</v>
      </c>
      <c r="P90" s="78">
        <v>44814.51563657408</v>
      </c>
      <c r="Q90" s="76" t="s">
        <v>643</v>
      </c>
      <c r="R90" s="76"/>
      <c r="S90" s="76"/>
      <c r="T90" s="81" t="s">
        <v>795</v>
      </c>
      <c r="U90" s="76"/>
      <c r="V90" s="79" t="str">
        <f>HYPERLINK("https://pbs.twimg.com/profile_images/1495462778240475136/aqiyN_O6_normal.jpg")</f>
        <v>https://pbs.twimg.com/profile_images/1495462778240475136/aqiyN_O6_normal.jpg</v>
      </c>
      <c r="W90" s="78">
        <v>44814.51563657408</v>
      </c>
      <c r="X90" s="84">
        <v>44814</v>
      </c>
      <c r="Y90" s="81" t="s">
        <v>982</v>
      </c>
      <c r="Z90" s="79" t="str">
        <f>HYPERLINK("https://twitter.com/reservoir_dogs8/status/1568575646254698501")</f>
        <v>https://twitter.com/reservoir_dogs8/status/1568575646254698501</v>
      </c>
      <c r="AA90" s="76"/>
      <c r="AB90" s="76"/>
      <c r="AC90" s="81" t="s">
        <v>1313</v>
      </c>
      <c r="AD90" s="81" t="s">
        <v>1588</v>
      </c>
      <c r="AE90" s="76" t="b">
        <v>0</v>
      </c>
      <c r="AF90" s="76">
        <v>1</v>
      </c>
      <c r="AG90" s="81" t="s">
        <v>1698</v>
      </c>
      <c r="AH90" s="76" t="b">
        <v>0</v>
      </c>
      <c r="AI90" s="76" t="s">
        <v>1779</v>
      </c>
      <c r="AJ90" s="76"/>
      <c r="AK90" s="81" t="s">
        <v>1674</v>
      </c>
      <c r="AL90" s="76" t="b">
        <v>0</v>
      </c>
      <c r="AM90" s="76">
        <v>0</v>
      </c>
      <c r="AN90" s="81" t="s">
        <v>1674</v>
      </c>
      <c r="AO90" s="81" t="s">
        <v>1807</v>
      </c>
      <c r="AP90" s="76" t="b">
        <v>0</v>
      </c>
      <c r="AQ90" s="81" t="s">
        <v>1588</v>
      </c>
      <c r="AR90" s="76" t="s">
        <v>219</v>
      </c>
      <c r="AS90" s="76">
        <v>0</v>
      </c>
      <c r="AT90" s="76">
        <v>0</v>
      </c>
      <c r="AU90" s="76"/>
      <c r="AV90" s="76"/>
      <c r="AW90" s="76"/>
      <c r="AX90" s="76"/>
      <c r="AY90" s="76"/>
      <c r="AZ90" s="76"/>
      <c r="BA90" s="76"/>
      <c r="BB90" s="76"/>
      <c r="BC90">
        <v>1</v>
      </c>
      <c r="BD90" s="75" t="str">
        <f>REPLACE(INDEX(GroupVertices[Group],MATCH(Edges25[[#This Row],[Vertex 1]],GroupVertices[Vertex],0)),1,1,"")</f>
        <v>29</v>
      </c>
      <c r="BE90" s="75" t="str">
        <f>REPLACE(INDEX(GroupVertices[Group],MATCH(Edges25[[#This Row],[Vertex 2]],GroupVertices[Vertex],0)),1,1,"")</f>
        <v>29</v>
      </c>
      <c r="BF90" s="45">
        <v>0</v>
      </c>
      <c r="BG90" s="46">
        <v>0</v>
      </c>
      <c r="BH90" s="45">
        <v>0</v>
      </c>
      <c r="BI90" s="46">
        <v>0</v>
      </c>
      <c r="BJ90" s="45">
        <v>0</v>
      </c>
      <c r="BK90" s="46">
        <v>0</v>
      </c>
      <c r="BL90" s="45">
        <v>8</v>
      </c>
      <c r="BM90" s="46">
        <v>100</v>
      </c>
      <c r="BN90" s="45">
        <v>8</v>
      </c>
    </row>
    <row r="91" spans="1:66" ht="15">
      <c r="A91" s="61" t="s">
        <v>326</v>
      </c>
      <c r="B91" s="61" t="s">
        <v>487</v>
      </c>
      <c r="C91" s="62"/>
      <c r="D91" s="63"/>
      <c r="E91" s="62"/>
      <c r="F91" s="65"/>
      <c r="G91" s="62"/>
      <c r="H91" s="66"/>
      <c r="I91" s="67"/>
      <c r="J91" s="67"/>
      <c r="K91" s="31" t="s">
        <v>65</v>
      </c>
      <c r="L91" s="68">
        <v>141</v>
      </c>
      <c r="M91" s="68"/>
      <c r="N91" s="69"/>
      <c r="O91" s="76" t="s">
        <v>587</v>
      </c>
      <c r="P91" s="78">
        <v>44815.60875</v>
      </c>
      <c r="Q91" s="76" t="s">
        <v>644</v>
      </c>
      <c r="R91" s="76"/>
      <c r="S91" s="76"/>
      <c r="T91" s="81" t="s">
        <v>795</v>
      </c>
      <c r="U91" s="76"/>
      <c r="V91" s="79" t="str">
        <f>HYPERLINK("https://pbs.twimg.com/profile_images/1495462778240475136/aqiyN_O6_normal.jpg")</f>
        <v>https://pbs.twimg.com/profile_images/1495462778240475136/aqiyN_O6_normal.jpg</v>
      </c>
      <c r="W91" s="78">
        <v>44815.60875</v>
      </c>
      <c r="X91" s="84">
        <v>44815</v>
      </c>
      <c r="Y91" s="81" t="s">
        <v>983</v>
      </c>
      <c r="Z91" s="79" t="str">
        <f>HYPERLINK("https://twitter.com/reservoir_dogs8/status/1568971775870115841")</f>
        <v>https://twitter.com/reservoir_dogs8/status/1568971775870115841</v>
      </c>
      <c r="AA91" s="76"/>
      <c r="AB91" s="76"/>
      <c r="AC91" s="81" t="s">
        <v>1314</v>
      </c>
      <c r="AD91" s="81" t="s">
        <v>1589</v>
      </c>
      <c r="AE91" s="76" t="b">
        <v>0</v>
      </c>
      <c r="AF91" s="76">
        <v>3</v>
      </c>
      <c r="AG91" s="81" t="s">
        <v>1699</v>
      </c>
      <c r="AH91" s="76" t="b">
        <v>0</v>
      </c>
      <c r="AI91" s="76" t="s">
        <v>1773</v>
      </c>
      <c r="AJ91" s="76"/>
      <c r="AK91" s="81" t="s">
        <v>1674</v>
      </c>
      <c r="AL91" s="76" t="b">
        <v>0</v>
      </c>
      <c r="AM91" s="76">
        <v>0</v>
      </c>
      <c r="AN91" s="81" t="s">
        <v>1674</v>
      </c>
      <c r="AO91" s="81" t="s">
        <v>1807</v>
      </c>
      <c r="AP91" s="76" t="b">
        <v>0</v>
      </c>
      <c r="AQ91" s="81" t="s">
        <v>1589</v>
      </c>
      <c r="AR91" s="76" t="s">
        <v>219</v>
      </c>
      <c r="AS91" s="76">
        <v>0</v>
      </c>
      <c r="AT91" s="76">
        <v>0</v>
      </c>
      <c r="AU91" s="76"/>
      <c r="AV91" s="76"/>
      <c r="AW91" s="76"/>
      <c r="AX91" s="76"/>
      <c r="AY91" s="76"/>
      <c r="AZ91" s="76"/>
      <c r="BA91" s="76"/>
      <c r="BB91" s="76"/>
      <c r="BC91">
        <v>1</v>
      </c>
      <c r="BD91" s="75" t="str">
        <f>REPLACE(INDEX(GroupVertices[Group],MATCH(Edges25[[#This Row],[Vertex 1]],GroupVertices[Vertex],0)),1,1,"")</f>
        <v>29</v>
      </c>
      <c r="BE91" s="75" t="str">
        <f>REPLACE(INDEX(GroupVertices[Group],MATCH(Edges25[[#This Row],[Vertex 2]],GroupVertices[Vertex],0)),1,1,"")</f>
        <v>29</v>
      </c>
      <c r="BF91" s="45">
        <v>0</v>
      </c>
      <c r="BG91" s="46">
        <v>0</v>
      </c>
      <c r="BH91" s="45">
        <v>0</v>
      </c>
      <c r="BI91" s="46">
        <v>0</v>
      </c>
      <c r="BJ91" s="45">
        <v>0</v>
      </c>
      <c r="BK91" s="46">
        <v>0</v>
      </c>
      <c r="BL91" s="45">
        <v>2</v>
      </c>
      <c r="BM91" s="46">
        <v>100</v>
      </c>
      <c r="BN91" s="45">
        <v>2</v>
      </c>
    </row>
    <row r="92" spans="1:66" ht="15">
      <c r="A92" s="61" t="s">
        <v>327</v>
      </c>
      <c r="B92" s="61" t="s">
        <v>337</v>
      </c>
      <c r="C92" s="62"/>
      <c r="D92" s="63"/>
      <c r="E92" s="62"/>
      <c r="F92" s="65"/>
      <c r="G92" s="62"/>
      <c r="H92" s="66"/>
      <c r="I92" s="67"/>
      <c r="J92" s="67"/>
      <c r="K92" s="31" t="s">
        <v>65</v>
      </c>
      <c r="L92" s="68">
        <v>142</v>
      </c>
      <c r="M92" s="68"/>
      <c r="N92" s="69"/>
      <c r="O92" s="76" t="s">
        <v>586</v>
      </c>
      <c r="P92" s="78">
        <v>44815.70738425926</v>
      </c>
      <c r="Q92" s="76" t="s">
        <v>641</v>
      </c>
      <c r="R92" s="79" t="str">
        <f>HYPERLINK("https://www.lesechos.fr/monde/enjeux-internationaux/les-etats-unis-reclament-lunite-des-allies-contre-la-russie-1787144?xtor=CS4-6235")</f>
        <v>https://www.lesechos.fr/monde/enjeux-internationaux/les-etats-unis-reclament-lunite-des-allies-contre-la-russie-1787144?xtor=CS4-6235</v>
      </c>
      <c r="S92" s="76" t="s">
        <v>785</v>
      </c>
      <c r="T92" s="81" t="s">
        <v>822</v>
      </c>
      <c r="U92" s="76"/>
      <c r="V92" s="79" t="str">
        <f>HYPERLINK("https://pbs.twimg.com/profile_images/1459825612328210437/u88l91HM_normal.png")</f>
        <v>https://pbs.twimg.com/profile_images/1459825612328210437/u88l91HM_normal.png</v>
      </c>
      <c r="W92" s="78">
        <v>44815.70738425926</v>
      </c>
      <c r="X92" s="84">
        <v>44815</v>
      </c>
      <c r="Y92" s="81" t="s">
        <v>984</v>
      </c>
      <c r="Z92" s="79" t="str">
        <f>HYPERLINK("https://twitter.com/patricialcq/status/1569007523147010048")</f>
        <v>https://twitter.com/patricialcq/status/1569007523147010048</v>
      </c>
      <c r="AA92" s="76"/>
      <c r="AB92" s="76"/>
      <c r="AC92" s="81" t="s">
        <v>1315</v>
      </c>
      <c r="AD92" s="76"/>
      <c r="AE92" s="76" t="b">
        <v>0</v>
      </c>
      <c r="AF92" s="76">
        <v>0</v>
      </c>
      <c r="AG92" s="81" t="s">
        <v>1674</v>
      </c>
      <c r="AH92" s="76" t="b">
        <v>0</v>
      </c>
      <c r="AI92" s="76" t="s">
        <v>1770</v>
      </c>
      <c r="AJ92" s="76"/>
      <c r="AK92" s="81" t="s">
        <v>1674</v>
      </c>
      <c r="AL92" s="76" t="b">
        <v>0</v>
      </c>
      <c r="AM92" s="76">
        <v>10</v>
      </c>
      <c r="AN92" s="81" t="s">
        <v>1332</v>
      </c>
      <c r="AO92" s="81" t="s">
        <v>1809</v>
      </c>
      <c r="AP92" s="76" t="b">
        <v>0</v>
      </c>
      <c r="AQ92" s="81" t="s">
        <v>1332</v>
      </c>
      <c r="AR92" s="76" t="s">
        <v>219</v>
      </c>
      <c r="AS92" s="76">
        <v>0</v>
      </c>
      <c r="AT92" s="76">
        <v>0</v>
      </c>
      <c r="AU92" s="76"/>
      <c r="AV92" s="76"/>
      <c r="AW92" s="76"/>
      <c r="AX92" s="76"/>
      <c r="AY92" s="76"/>
      <c r="AZ92" s="76"/>
      <c r="BA92" s="76"/>
      <c r="BB92" s="76"/>
      <c r="BC92">
        <v>1</v>
      </c>
      <c r="BD92" s="75" t="str">
        <f>REPLACE(INDEX(GroupVertices[Group],MATCH(Edges25[[#This Row],[Vertex 1]],GroupVertices[Vertex],0)),1,1,"")</f>
        <v>7</v>
      </c>
      <c r="BE92" s="75" t="str">
        <f>REPLACE(INDEX(GroupVertices[Group],MATCH(Edges25[[#This Row],[Vertex 2]],GroupVertices[Vertex],0)),1,1,"")</f>
        <v>7</v>
      </c>
      <c r="BF92" s="45">
        <v>0</v>
      </c>
      <c r="BG92" s="46">
        <v>0</v>
      </c>
      <c r="BH92" s="45">
        <v>0</v>
      </c>
      <c r="BI92" s="46">
        <v>0</v>
      </c>
      <c r="BJ92" s="45">
        <v>0</v>
      </c>
      <c r="BK92" s="46">
        <v>0</v>
      </c>
      <c r="BL92" s="45">
        <v>27</v>
      </c>
      <c r="BM92" s="46">
        <v>100</v>
      </c>
      <c r="BN92" s="45">
        <v>27</v>
      </c>
    </row>
    <row r="93" spans="1:66" ht="15">
      <c r="A93" s="61" t="s">
        <v>328</v>
      </c>
      <c r="B93" s="61" t="s">
        <v>488</v>
      </c>
      <c r="C93" s="62"/>
      <c r="D93" s="63"/>
      <c r="E93" s="62"/>
      <c r="F93" s="65"/>
      <c r="G93" s="62"/>
      <c r="H93" s="66"/>
      <c r="I93" s="67"/>
      <c r="J93" s="67"/>
      <c r="K93" s="31" t="s">
        <v>65</v>
      </c>
      <c r="L93" s="68">
        <v>143</v>
      </c>
      <c r="M93" s="68"/>
      <c r="N93" s="69"/>
      <c r="O93" s="76" t="s">
        <v>588</v>
      </c>
      <c r="P93" s="78">
        <v>44815.60820601852</v>
      </c>
      <c r="Q93" s="76" t="s">
        <v>645</v>
      </c>
      <c r="R93" s="76"/>
      <c r="S93" s="76"/>
      <c r="T93" s="81" t="s">
        <v>795</v>
      </c>
      <c r="U93" s="79" t="str">
        <f>HYPERLINK("https://pbs.twimg.com/media/FcYbUwDX0AAdpGE.jpg")</f>
        <v>https://pbs.twimg.com/media/FcYbUwDX0AAdpGE.jpg</v>
      </c>
      <c r="V93" s="79" t="str">
        <f>HYPERLINK("https://pbs.twimg.com/media/FcYbUwDX0AAdpGE.jpg")</f>
        <v>https://pbs.twimg.com/media/FcYbUwDX0AAdpGE.jpg</v>
      </c>
      <c r="W93" s="78">
        <v>44815.60820601852</v>
      </c>
      <c r="X93" s="84">
        <v>44815</v>
      </c>
      <c r="Y93" s="81" t="s">
        <v>985</v>
      </c>
      <c r="Z93" s="79" t="str">
        <f>HYPERLINK("https://twitter.com/kakukktakukta/status/1568971578653671425")</f>
        <v>https://twitter.com/kakukktakukta/status/1568971578653671425</v>
      </c>
      <c r="AA93" s="76"/>
      <c r="AB93" s="76"/>
      <c r="AC93" s="81" t="s">
        <v>1316</v>
      </c>
      <c r="AD93" s="81" t="s">
        <v>1590</v>
      </c>
      <c r="AE93" s="76" t="b">
        <v>0</v>
      </c>
      <c r="AF93" s="76">
        <v>0</v>
      </c>
      <c r="AG93" s="81" t="s">
        <v>1700</v>
      </c>
      <c r="AH93" s="76" t="b">
        <v>0</v>
      </c>
      <c r="AI93" s="76" t="s">
        <v>1772</v>
      </c>
      <c r="AJ93" s="76"/>
      <c r="AK93" s="81" t="s">
        <v>1674</v>
      </c>
      <c r="AL93" s="76" t="b">
        <v>0</v>
      </c>
      <c r="AM93" s="76">
        <v>0</v>
      </c>
      <c r="AN93" s="81" t="s">
        <v>1674</v>
      </c>
      <c r="AO93" s="81" t="s">
        <v>1808</v>
      </c>
      <c r="AP93" s="76" t="b">
        <v>0</v>
      </c>
      <c r="AQ93" s="81" t="s">
        <v>1590</v>
      </c>
      <c r="AR93" s="76" t="s">
        <v>219</v>
      </c>
      <c r="AS93" s="76">
        <v>0</v>
      </c>
      <c r="AT93" s="76">
        <v>0</v>
      </c>
      <c r="AU93" s="76"/>
      <c r="AV93" s="76"/>
      <c r="AW93" s="76"/>
      <c r="AX93" s="76"/>
      <c r="AY93" s="76"/>
      <c r="AZ93" s="76"/>
      <c r="BA93" s="76"/>
      <c r="BB93" s="76"/>
      <c r="BC93">
        <v>1</v>
      </c>
      <c r="BD93" s="75" t="str">
        <f>REPLACE(INDEX(GroupVertices[Group],MATCH(Edges25[[#This Row],[Vertex 1]],GroupVertices[Vertex],0)),1,1,"")</f>
        <v>9</v>
      </c>
      <c r="BE93" s="75" t="str">
        <f>REPLACE(INDEX(GroupVertices[Group],MATCH(Edges25[[#This Row],[Vertex 2]],GroupVertices[Vertex],0)),1,1,"")</f>
        <v>9</v>
      </c>
      <c r="BF93" s="45"/>
      <c r="BG93" s="46"/>
      <c r="BH93" s="45"/>
      <c r="BI93" s="46"/>
      <c r="BJ93" s="45"/>
      <c r="BK93" s="46"/>
      <c r="BL93" s="45"/>
      <c r="BM93" s="46"/>
      <c r="BN93" s="45"/>
    </row>
    <row r="94" spans="1:66" ht="15">
      <c r="A94" s="61" t="s">
        <v>328</v>
      </c>
      <c r="B94" s="61" t="s">
        <v>490</v>
      </c>
      <c r="C94" s="62"/>
      <c r="D94" s="63"/>
      <c r="E94" s="62"/>
      <c r="F94" s="65"/>
      <c r="G94" s="62"/>
      <c r="H94" s="66"/>
      <c r="I94" s="67"/>
      <c r="J94" s="67"/>
      <c r="K94" s="31" t="s">
        <v>65</v>
      </c>
      <c r="L94" s="68">
        <v>145</v>
      </c>
      <c r="M94" s="68"/>
      <c r="N94" s="69"/>
      <c r="O94" s="76" t="s">
        <v>588</v>
      </c>
      <c r="P94" s="78">
        <v>44815.60563657407</v>
      </c>
      <c r="Q94" s="76" t="s">
        <v>646</v>
      </c>
      <c r="R94" s="76"/>
      <c r="S94" s="76"/>
      <c r="T94" s="81" t="s">
        <v>795</v>
      </c>
      <c r="U94" s="79" t="str">
        <f>HYPERLINK("https://pbs.twimg.com/media/FcYaewQXoAEXrIZ.jpg")</f>
        <v>https://pbs.twimg.com/media/FcYaewQXoAEXrIZ.jpg</v>
      </c>
      <c r="V94" s="79" t="str">
        <f>HYPERLINK("https://pbs.twimg.com/media/FcYaewQXoAEXrIZ.jpg")</f>
        <v>https://pbs.twimg.com/media/FcYaewQXoAEXrIZ.jpg</v>
      </c>
      <c r="W94" s="78">
        <v>44815.60563657407</v>
      </c>
      <c r="X94" s="84">
        <v>44815</v>
      </c>
      <c r="Y94" s="81" t="s">
        <v>986</v>
      </c>
      <c r="Z94" s="79" t="str">
        <f>HYPERLINK("https://twitter.com/kakukktakukta/status/1568970647816085505")</f>
        <v>https://twitter.com/kakukktakukta/status/1568970647816085505</v>
      </c>
      <c r="AA94" s="76"/>
      <c r="AB94" s="76"/>
      <c r="AC94" s="81" t="s">
        <v>1317</v>
      </c>
      <c r="AD94" s="81" t="s">
        <v>1591</v>
      </c>
      <c r="AE94" s="76" t="b">
        <v>0</v>
      </c>
      <c r="AF94" s="76">
        <v>0</v>
      </c>
      <c r="AG94" s="81" t="s">
        <v>1701</v>
      </c>
      <c r="AH94" s="76" t="b">
        <v>0</v>
      </c>
      <c r="AI94" s="76" t="s">
        <v>1772</v>
      </c>
      <c r="AJ94" s="76"/>
      <c r="AK94" s="81" t="s">
        <v>1674</v>
      </c>
      <c r="AL94" s="76" t="b">
        <v>0</v>
      </c>
      <c r="AM94" s="76">
        <v>0</v>
      </c>
      <c r="AN94" s="81" t="s">
        <v>1674</v>
      </c>
      <c r="AO94" s="81" t="s">
        <v>1808</v>
      </c>
      <c r="AP94" s="76" t="b">
        <v>0</v>
      </c>
      <c r="AQ94" s="81" t="s">
        <v>1591</v>
      </c>
      <c r="AR94" s="76" t="s">
        <v>219</v>
      </c>
      <c r="AS94" s="76">
        <v>0</v>
      </c>
      <c r="AT94" s="76">
        <v>0</v>
      </c>
      <c r="AU94" s="76"/>
      <c r="AV94" s="76"/>
      <c r="AW94" s="76"/>
      <c r="AX94" s="76"/>
      <c r="AY94" s="76"/>
      <c r="AZ94" s="76"/>
      <c r="BA94" s="76"/>
      <c r="BB94" s="76"/>
      <c r="BC94">
        <v>3</v>
      </c>
      <c r="BD94" s="75" t="str">
        <f>REPLACE(INDEX(GroupVertices[Group],MATCH(Edges25[[#This Row],[Vertex 1]],GroupVertices[Vertex],0)),1,1,"")</f>
        <v>9</v>
      </c>
      <c r="BE94" s="75" t="str">
        <f>REPLACE(INDEX(GroupVertices[Group],MATCH(Edges25[[#This Row],[Vertex 2]],GroupVertices[Vertex],0)),1,1,"")</f>
        <v>9</v>
      </c>
      <c r="BF94" s="45"/>
      <c r="BG94" s="46"/>
      <c r="BH94" s="45"/>
      <c r="BI94" s="46"/>
      <c r="BJ94" s="45"/>
      <c r="BK94" s="46"/>
      <c r="BL94" s="45"/>
      <c r="BM94" s="46"/>
      <c r="BN94" s="45"/>
    </row>
    <row r="95" spans="1:66" ht="15">
      <c r="A95" s="61" t="s">
        <v>328</v>
      </c>
      <c r="B95" s="61" t="s">
        <v>490</v>
      </c>
      <c r="C95" s="62"/>
      <c r="D95" s="63"/>
      <c r="E95" s="62"/>
      <c r="F95" s="65"/>
      <c r="G95" s="62"/>
      <c r="H95" s="66"/>
      <c r="I95" s="67"/>
      <c r="J95" s="67"/>
      <c r="K95" s="31" t="s">
        <v>65</v>
      </c>
      <c r="L95" s="68">
        <v>147</v>
      </c>
      <c r="M95" s="68"/>
      <c r="N95" s="69"/>
      <c r="O95" s="76" t="s">
        <v>588</v>
      </c>
      <c r="P95" s="78">
        <v>44815.60896990741</v>
      </c>
      <c r="Q95" s="76" t="s">
        <v>647</v>
      </c>
      <c r="R95" s="76"/>
      <c r="S95" s="76"/>
      <c r="T95" s="81" t="s">
        <v>795</v>
      </c>
      <c r="U95" s="79" t="str">
        <f>HYPERLINK("https://pbs.twimg.com/media/FcYbktPXgAMg9Ax.jpg")</f>
        <v>https://pbs.twimg.com/media/FcYbktPXgAMg9Ax.jpg</v>
      </c>
      <c r="V95" s="79" t="str">
        <f>HYPERLINK("https://pbs.twimg.com/media/FcYbktPXgAMg9Ax.jpg")</f>
        <v>https://pbs.twimg.com/media/FcYbktPXgAMg9Ax.jpg</v>
      </c>
      <c r="W95" s="78">
        <v>44815.60896990741</v>
      </c>
      <c r="X95" s="84">
        <v>44815</v>
      </c>
      <c r="Y95" s="81" t="s">
        <v>987</v>
      </c>
      <c r="Z95" s="79" t="str">
        <f>HYPERLINK("https://twitter.com/kakukktakukta/status/1568971856790568961")</f>
        <v>https://twitter.com/kakukktakukta/status/1568971856790568961</v>
      </c>
      <c r="AA95" s="76"/>
      <c r="AB95" s="76"/>
      <c r="AC95" s="81" t="s">
        <v>1318</v>
      </c>
      <c r="AD95" s="81" t="s">
        <v>1592</v>
      </c>
      <c r="AE95" s="76" t="b">
        <v>0</v>
      </c>
      <c r="AF95" s="76">
        <v>1</v>
      </c>
      <c r="AG95" s="81" t="s">
        <v>1702</v>
      </c>
      <c r="AH95" s="76" t="b">
        <v>0</v>
      </c>
      <c r="AI95" s="76" t="s">
        <v>1772</v>
      </c>
      <c r="AJ95" s="76"/>
      <c r="AK95" s="81" t="s">
        <v>1674</v>
      </c>
      <c r="AL95" s="76" t="b">
        <v>0</v>
      </c>
      <c r="AM95" s="76">
        <v>0</v>
      </c>
      <c r="AN95" s="81" t="s">
        <v>1674</v>
      </c>
      <c r="AO95" s="81" t="s">
        <v>1808</v>
      </c>
      <c r="AP95" s="76" t="b">
        <v>0</v>
      </c>
      <c r="AQ95" s="81" t="s">
        <v>1592</v>
      </c>
      <c r="AR95" s="76" t="s">
        <v>219</v>
      </c>
      <c r="AS95" s="76">
        <v>0</v>
      </c>
      <c r="AT95" s="76">
        <v>0</v>
      </c>
      <c r="AU95" s="76"/>
      <c r="AV95" s="76"/>
      <c r="AW95" s="76"/>
      <c r="AX95" s="76"/>
      <c r="AY95" s="76"/>
      <c r="AZ95" s="76"/>
      <c r="BA95" s="76"/>
      <c r="BB95" s="76"/>
      <c r="BC95">
        <v>3</v>
      </c>
      <c r="BD95" s="75" t="str">
        <f>REPLACE(INDEX(GroupVertices[Group],MATCH(Edges25[[#This Row],[Vertex 1]],GroupVertices[Vertex],0)),1,1,"")</f>
        <v>9</v>
      </c>
      <c r="BE95" s="75" t="str">
        <f>REPLACE(INDEX(GroupVertices[Group],MATCH(Edges25[[#This Row],[Vertex 2]],GroupVertices[Vertex],0)),1,1,"")</f>
        <v>9</v>
      </c>
      <c r="BF95" s="45">
        <v>0</v>
      </c>
      <c r="BG95" s="46">
        <v>0</v>
      </c>
      <c r="BH95" s="45">
        <v>0</v>
      </c>
      <c r="BI95" s="46">
        <v>0</v>
      </c>
      <c r="BJ95" s="45">
        <v>0</v>
      </c>
      <c r="BK95" s="46">
        <v>0</v>
      </c>
      <c r="BL95" s="45">
        <v>8</v>
      </c>
      <c r="BM95" s="46">
        <v>100</v>
      </c>
      <c r="BN95" s="45">
        <v>8</v>
      </c>
    </row>
    <row r="96" spans="1:66" ht="15">
      <c r="A96" s="61" t="s">
        <v>328</v>
      </c>
      <c r="B96" s="61" t="s">
        <v>491</v>
      </c>
      <c r="C96" s="62"/>
      <c r="D96" s="63"/>
      <c r="E96" s="62"/>
      <c r="F96" s="65"/>
      <c r="G96" s="62"/>
      <c r="H96" s="66"/>
      <c r="I96" s="67"/>
      <c r="J96" s="67"/>
      <c r="K96" s="31" t="s">
        <v>65</v>
      </c>
      <c r="L96" s="68">
        <v>148</v>
      </c>
      <c r="M96" s="68"/>
      <c r="N96" s="69"/>
      <c r="O96" s="76" t="s">
        <v>587</v>
      </c>
      <c r="P96" s="78">
        <v>44815.72122685185</v>
      </c>
      <c r="Q96" s="76" t="s">
        <v>648</v>
      </c>
      <c r="R96" s="76"/>
      <c r="S96" s="76"/>
      <c r="T96" s="81" t="s">
        <v>795</v>
      </c>
      <c r="U96" s="79" t="str">
        <f>HYPERLINK("https://pbs.twimg.com/media/FcZAk4PXEAIrHGL.jpg")</f>
        <v>https://pbs.twimg.com/media/FcZAk4PXEAIrHGL.jpg</v>
      </c>
      <c r="V96" s="79" t="str">
        <f>HYPERLINK("https://pbs.twimg.com/media/FcZAk4PXEAIrHGL.jpg")</f>
        <v>https://pbs.twimg.com/media/FcZAk4PXEAIrHGL.jpg</v>
      </c>
      <c r="W96" s="78">
        <v>44815.72122685185</v>
      </c>
      <c r="X96" s="84">
        <v>44815</v>
      </c>
      <c r="Y96" s="81" t="s">
        <v>988</v>
      </c>
      <c r="Z96" s="79" t="str">
        <f>HYPERLINK("https://twitter.com/kakukktakukta/status/1569012536678256640")</f>
        <v>https://twitter.com/kakukktakukta/status/1569012536678256640</v>
      </c>
      <c r="AA96" s="76"/>
      <c r="AB96" s="76"/>
      <c r="AC96" s="81" t="s">
        <v>1319</v>
      </c>
      <c r="AD96" s="81" t="s">
        <v>1593</v>
      </c>
      <c r="AE96" s="76" t="b">
        <v>0</v>
      </c>
      <c r="AF96" s="76">
        <v>2</v>
      </c>
      <c r="AG96" s="81" t="s">
        <v>1703</v>
      </c>
      <c r="AH96" s="76" t="b">
        <v>0</v>
      </c>
      <c r="AI96" s="76" t="s">
        <v>1772</v>
      </c>
      <c r="AJ96" s="76"/>
      <c r="AK96" s="81" t="s">
        <v>1674</v>
      </c>
      <c r="AL96" s="76" t="b">
        <v>0</v>
      </c>
      <c r="AM96" s="76">
        <v>0</v>
      </c>
      <c r="AN96" s="81" t="s">
        <v>1674</v>
      </c>
      <c r="AO96" s="81" t="s">
        <v>1808</v>
      </c>
      <c r="AP96" s="76" t="b">
        <v>0</v>
      </c>
      <c r="AQ96" s="81" t="s">
        <v>1593</v>
      </c>
      <c r="AR96" s="76" t="s">
        <v>219</v>
      </c>
      <c r="AS96" s="76">
        <v>0</v>
      </c>
      <c r="AT96" s="76">
        <v>0</v>
      </c>
      <c r="AU96" s="76"/>
      <c r="AV96" s="76"/>
      <c r="AW96" s="76"/>
      <c r="AX96" s="76"/>
      <c r="AY96" s="76"/>
      <c r="AZ96" s="76"/>
      <c r="BA96" s="76"/>
      <c r="BB96" s="76"/>
      <c r="BC96">
        <v>1</v>
      </c>
      <c r="BD96" s="75" t="str">
        <f>REPLACE(INDEX(GroupVertices[Group],MATCH(Edges25[[#This Row],[Vertex 1]],GroupVertices[Vertex],0)),1,1,"")</f>
        <v>9</v>
      </c>
      <c r="BE96" s="75" t="str">
        <f>REPLACE(INDEX(GroupVertices[Group],MATCH(Edges25[[#This Row],[Vertex 2]],GroupVertices[Vertex],0)),1,1,"")</f>
        <v>9</v>
      </c>
      <c r="BF96" s="45"/>
      <c r="BG96" s="46"/>
      <c r="BH96" s="45"/>
      <c r="BI96" s="46"/>
      <c r="BJ96" s="45"/>
      <c r="BK96" s="46"/>
      <c r="BL96" s="45"/>
      <c r="BM96" s="46"/>
      <c r="BN96" s="45"/>
    </row>
    <row r="97" spans="1:66" ht="15">
      <c r="A97" s="61" t="s">
        <v>328</v>
      </c>
      <c r="B97" s="61" t="s">
        <v>492</v>
      </c>
      <c r="C97" s="62"/>
      <c r="D97" s="63"/>
      <c r="E97" s="62"/>
      <c r="F97" s="65"/>
      <c r="G97" s="62"/>
      <c r="H97" s="66"/>
      <c r="I97" s="67"/>
      <c r="J97" s="67"/>
      <c r="K97" s="31" t="s">
        <v>65</v>
      </c>
      <c r="L97" s="68">
        <v>150</v>
      </c>
      <c r="M97" s="68"/>
      <c r="N97" s="69"/>
      <c r="O97" s="76" t="s">
        <v>588</v>
      </c>
      <c r="P97" s="78">
        <v>44815.72153935185</v>
      </c>
      <c r="Q97" s="76" t="s">
        <v>649</v>
      </c>
      <c r="R97" s="76"/>
      <c r="S97" s="76"/>
      <c r="T97" s="81" t="s">
        <v>795</v>
      </c>
      <c r="U97" s="79" t="str">
        <f>HYPERLINK("https://pbs.twimg.com/media/FcZArrDXEAAEzjK.jpg")</f>
        <v>https://pbs.twimg.com/media/FcZArrDXEAAEzjK.jpg</v>
      </c>
      <c r="V97" s="79" t="str">
        <f>HYPERLINK("https://pbs.twimg.com/media/FcZArrDXEAAEzjK.jpg")</f>
        <v>https://pbs.twimg.com/media/FcZArrDXEAAEzjK.jpg</v>
      </c>
      <c r="W97" s="78">
        <v>44815.72153935185</v>
      </c>
      <c r="X97" s="84">
        <v>44815</v>
      </c>
      <c r="Y97" s="81" t="s">
        <v>989</v>
      </c>
      <c r="Z97" s="79" t="str">
        <f>HYPERLINK("https://twitter.com/kakukktakukta/status/1569012650608136192")</f>
        <v>https://twitter.com/kakukktakukta/status/1569012650608136192</v>
      </c>
      <c r="AA97" s="76"/>
      <c r="AB97" s="76"/>
      <c r="AC97" s="81" t="s">
        <v>1320</v>
      </c>
      <c r="AD97" s="81" t="s">
        <v>1594</v>
      </c>
      <c r="AE97" s="76" t="b">
        <v>0</v>
      </c>
      <c r="AF97" s="76">
        <v>0</v>
      </c>
      <c r="AG97" s="81" t="s">
        <v>1704</v>
      </c>
      <c r="AH97" s="76" t="b">
        <v>0</v>
      </c>
      <c r="AI97" s="76" t="s">
        <v>1772</v>
      </c>
      <c r="AJ97" s="76"/>
      <c r="AK97" s="81" t="s">
        <v>1674</v>
      </c>
      <c r="AL97" s="76" t="b">
        <v>0</v>
      </c>
      <c r="AM97" s="76">
        <v>0</v>
      </c>
      <c r="AN97" s="81" t="s">
        <v>1674</v>
      </c>
      <c r="AO97" s="81" t="s">
        <v>1808</v>
      </c>
      <c r="AP97" s="76" t="b">
        <v>0</v>
      </c>
      <c r="AQ97" s="81" t="s">
        <v>1594</v>
      </c>
      <c r="AR97" s="76" t="s">
        <v>219</v>
      </c>
      <c r="AS97" s="76">
        <v>0</v>
      </c>
      <c r="AT97" s="76">
        <v>0</v>
      </c>
      <c r="AU97" s="76"/>
      <c r="AV97" s="76"/>
      <c r="AW97" s="76"/>
      <c r="AX97" s="76"/>
      <c r="AY97" s="76"/>
      <c r="AZ97" s="76"/>
      <c r="BA97" s="76"/>
      <c r="BB97" s="76"/>
      <c r="BC97">
        <v>2</v>
      </c>
      <c r="BD97" s="75" t="str">
        <f>REPLACE(INDEX(GroupVertices[Group],MATCH(Edges25[[#This Row],[Vertex 1]],GroupVertices[Vertex],0)),1,1,"")</f>
        <v>9</v>
      </c>
      <c r="BE97" s="75" t="str">
        <f>REPLACE(INDEX(GroupVertices[Group],MATCH(Edges25[[#This Row],[Vertex 2]],GroupVertices[Vertex],0)),1,1,"")</f>
        <v>9</v>
      </c>
      <c r="BF97" s="45"/>
      <c r="BG97" s="46"/>
      <c r="BH97" s="45"/>
      <c r="BI97" s="46"/>
      <c r="BJ97" s="45"/>
      <c r="BK97" s="46"/>
      <c r="BL97" s="45"/>
      <c r="BM97" s="46"/>
      <c r="BN97" s="45"/>
    </row>
    <row r="98" spans="1:66" ht="15">
      <c r="A98" s="61" t="s">
        <v>328</v>
      </c>
      <c r="B98" s="61" t="s">
        <v>328</v>
      </c>
      <c r="C98" s="62"/>
      <c r="D98" s="63"/>
      <c r="E98" s="62"/>
      <c r="F98" s="65"/>
      <c r="G98" s="62"/>
      <c r="H98" s="66"/>
      <c r="I98" s="67"/>
      <c r="J98" s="67"/>
      <c r="K98" s="31" t="s">
        <v>65</v>
      </c>
      <c r="L98" s="68">
        <v>152</v>
      </c>
      <c r="M98" s="68"/>
      <c r="N98" s="69"/>
      <c r="O98" s="76" t="s">
        <v>219</v>
      </c>
      <c r="P98" s="78">
        <v>44815.605462962965</v>
      </c>
      <c r="Q98" s="76" t="s">
        <v>650</v>
      </c>
      <c r="R98" s="76"/>
      <c r="S98" s="76"/>
      <c r="T98" s="81" t="s">
        <v>795</v>
      </c>
      <c r="U98" s="79" t="str">
        <f>HYPERLINK("https://pbs.twimg.com/media/FcYaa-2XkAEFimw.jpg")</f>
        <v>https://pbs.twimg.com/media/FcYaa-2XkAEFimw.jpg</v>
      </c>
      <c r="V98" s="79" t="str">
        <f>HYPERLINK("https://pbs.twimg.com/media/FcYaa-2XkAEFimw.jpg")</f>
        <v>https://pbs.twimg.com/media/FcYaa-2XkAEFimw.jpg</v>
      </c>
      <c r="W98" s="78">
        <v>44815.605462962965</v>
      </c>
      <c r="X98" s="84">
        <v>44815</v>
      </c>
      <c r="Y98" s="81" t="s">
        <v>990</v>
      </c>
      <c r="Z98" s="79" t="str">
        <f>HYPERLINK("https://twitter.com/kakukktakukta/status/1568970586373910530")</f>
        <v>https://twitter.com/kakukktakukta/status/1568970586373910530</v>
      </c>
      <c r="AA98" s="76"/>
      <c r="AB98" s="76"/>
      <c r="AC98" s="81" t="s">
        <v>1321</v>
      </c>
      <c r="AD98" s="81" t="s">
        <v>1595</v>
      </c>
      <c r="AE98" s="76" t="b">
        <v>0</v>
      </c>
      <c r="AF98" s="76">
        <v>1</v>
      </c>
      <c r="AG98" s="81" t="s">
        <v>1705</v>
      </c>
      <c r="AH98" s="76" t="b">
        <v>0</v>
      </c>
      <c r="AI98" s="76" t="s">
        <v>1772</v>
      </c>
      <c r="AJ98" s="76"/>
      <c r="AK98" s="81" t="s">
        <v>1674</v>
      </c>
      <c r="AL98" s="76" t="b">
        <v>0</v>
      </c>
      <c r="AM98" s="76">
        <v>0</v>
      </c>
      <c r="AN98" s="81" t="s">
        <v>1674</v>
      </c>
      <c r="AO98" s="81" t="s">
        <v>1808</v>
      </c>
      <c r="AP98" s="76" t="b">
        <v>0</v>
      </c>
      <c r="AQ98" s="81" t="s">
        <v>1595</v>
      </c>
      <c r="AR98" s="76" t="s">
        <v>219</v>
      </c>
      <c r="AS98" s="76">
        <v>0</v>
      </c>
      <c r="AT98" s="76">
        <v>0</v>
      </c>
      <c r="AU98" s="76"/>
      <c r="AV98" s="76"/>
      <c r="AW98" s="76"/>
      <c r="AX98" s="76"/>
      <c r="AY98" s="76"/>
      <c r="AZ98" s="76"/>
      <c r="BA98" s="76"/>
      <c r="BB98" s="76"/>
      <c r="BC98">
        <v>1</v>
      </c>
      <c r="BD98" s="75" t="str">
        <f>REPLACE(INDEX(GroupVertices[Group],MATCH(Edges25[[#This Row],[Vertex 1]],GroupVertices[Vertex],0)),1,1,"")</f>
        <v>9</v>
      </c>
      <c r="BE98" s="75" t="str">
        <f>REPLACE(INDEX(GroupVertices[Group],MATCH(Edges25[[#This Row],[Vertex 2]],GroupVertices[Vertex],0)),1,1,"")</f>
        <v>9</v>
      </c>
      <c r="BF98" s="45">
        <v>0</v>
      </c>
      <c r="BG98" s="46">
        <v>0</v>
      </c>
      <c r="BH98" s="45">
        <v>0</v>
      </c>
      <c r="BI98" s="46">
        <v>0</v>
      </c>
      <c r="BJ98" s="45">
        <v>0</v>
      </c>
      <c r="BK98" s="46">
        <v>0</v>
      </c>
      <c r="BL98" s="45">
        <v>9</v>
      </c>
      <c r="BM98" s="46">
        <v>100</v>
      </c>
      <c r="BN98" s="45">
        <v>9</v>
      </c>
    </row>
    <row r="99" spans="1:66" ht="15">
      <c r="A99" s="61" t="s">
        <v>329</v>
      </c>
      <c r="B99" s="61" t="s">
        <v>337</v>
      </c>
      <c r="C99" s="62"/>
      <c r="D99" s="63"/>
      <c r="E99" s="62"/>
      <c r="F99" s="65"/>
      <c r="G99" s="62"/>
      <c r="H99" s="66"/>
      <c r="I99" s="67"/>
      <c r="J99" s="67"/>
      <c r="K99" s="31" t="s">
        <v>65</v>
      </c>
      <c r="L99" s="68">
        <v>155</v>
      </c>
      <c r="M99" s="68"/>
      <c r="N99" s="69"/>
      <c r="O99" s="76" t="s">
        <v>586</v>
      </c>
      <c r="P99" s="78">
        <v>44815.74118055555</v>
      </c>
      <c r="Q99" s="76" t="s">
        <v>641</v>
      </c>
      <c r="R99" s="79" t="str">
        <f>HYPERLINK("https://www.lesechos.fr/monde/enjeux-internationaux/les-etats-unis-reclament-lunite-des-allies-contre-la-russie-1787144?xtor=CS4-6235")</f>
        <v>https://www.lesechos.fr/monde/enjeux-internationaux/les-etats-unis-reclament-lunite-des-allies-contre-la-russie-1787144?xtor=CS4-6235</v>
      </c>
      <c r="S99" s="76" t="s">
        <v>785</v>
      </c>
      <c r="T99" s="81" t="s">
        <v>822</v>
      </c>
      <c r="U99" s="76"/>
      <c r="V99" s="79" t="str">
        <f>HYPERLINK("https://pbs.twimg.com/profile_images/1520408393265074176/vW9q5Oxl_normal.jpg")</f>
        <v>https://pbs.twimg.com/profile_images/1520408393265074176/vW9q5Oxl_normal.jpg</v>
      </c>
      <c r="W99" s="78">
        <v>44815.74118055555</v>
      </c>
      <c r="X99" s="84">
        <v>44815</v>
      </c>
      <c r="Y99" s="81" t="s">
        <v>991</v>
      </c>
      <c r="Z99" s="79" t="str">
        <f>HYPERLINK("https://twitter.com/carlistjc/status/1569019768417538050")</f>
        <v>https://twitter.com/carlistjc/status/1569019768417538050</v>
      </c>
      <c r="AA99" s="76"/>
      <c r="AB99" s="76"/>
      <c r="AC99" s="81" t="s">
        <v>1322</v>
      </c>
      <c r="AD99" s="76"/>
      <c r="AE99" s="76" t="b">
        <v>0</v>
      </c>
      <c r="AF99" s="76">
        <v>0</v>
      </c>
      <c r="AG99" s="81" t="s">
        <v>1674</v>
      </c>
      <c r="AH99" s="76" t="b">
        <v>0</v>
      </c>
      <c r="AI99" s="76" t="s">
        <v>1770</v>
      </c>
      <c r="AJ99" s="76"/>
      <c r="AK99" s="81" t="s">
        <v>1674</v>
      </c>
      <c r="AL99" s="76" t="b">
        <v>0</v>
      </c>
      <c r="AM99" s="76">
        <v>10</v>
      </c>
      <c r="AN99" s="81" t="s">
        <v>1332</v>
      </c>
      <c r="AO99" s="81" t="s">
        <v>1807</v>
      </c>
      <c r="AP99" s="76" t="b">
        <v>0</v>
      </c>
      <c r="AQ99" s="81" t="s">
        <v>1332</v>
      </c>
      <c r="AR99" s="76" t="s">
        <v>219</v>
      </c>
      <c r="AS99" s="76">
        <v>0</v>
      </c>
      <c r="AT99" s="76">
        <v>0</v>
      </c>
      <c r="AU99" s="76"/>
      <c r="AV99" s="76"/>
      <c r="AW99" s="76"/>
      <c r="AX99" s="76"/>
      <c r="AY99" s="76"/>
      <c r="AZ99" s="76"/>
      <c r="BA99" s="76"/>
      <c r="BB99" s="76"/>
      <c r="BC99">
        <v>1</v>
      </c>
      <c r="BD99" s="75" t="str">
        <f>REPLACE(INDEX(GroupVertices[Group],MATCH(Edges25[[#This Row],[Vertex 1]],GroupVertices[Vertex],0)),1,1,"")</f>
        <v>7</v>
      </c>
      <c r="BE99" s="75" t="str">
        <f>REPLACE(INDEX(GroupVertices[Group],MATCH(Edges25[[#This Row],[Vertex 2]],GroupVertices[Vertex],0)),1,1,"")</f>
        <v>7</v>
      </c>
      <c r="BF99" s="45">
        <v>0</v>
      </c>
      <c r="BG99" s="46">
        <v>0</v>
      </c>
      <c r="BH99" s="45">
        <v>0</v>
      </c>
      <c r="BI99" s="46">
        <v>0</v>
      </c>
      <c r="BJ99" s="45">
        <v>0</v>
      </c>
      <c r="BK99" s="46">
        <v>0</v>
      </c>
      <c r="BL99" s="45">
        <v>27</v>
      </c>
      <c r="BM99" s="46">
        <v>100</v>
      </c>
      <c r="BN99" s="45">
        <v>27</v>
      </c>
    </row>
    <row r="100" spans="1:66" ht="15">
      <c r="A100" s="61" t="s">
        <v>330</v>
      </c>
      <c r="B100" s="61" t="s">
        <v>337</v>
      </c>
      <c r="C100" s="62"/>
      <c r="D100" s="63"/>
      <c r="E100" s="62"/>
      <c r="F100" s="65"/>
      <c r="G100" s="62"/>
      <c r="H100" s="66"/>
      <c r="I100" s="67"/>
      <c r="J100" s="67"/>
      <c r="K100" s="31" t="s">
        <v>65</v>
      </c>
      <c r="L100" s="68">
        <v>156</v>
      </c>
      <c r="M100" s="68"/>
      <c r="N100" s="69"/>
      <c r="O100" s="76" t="s">
        <v>586</v>
      </c>
      <c r="P100" s="78">
        <v>44815.74568287037</v>
      </c>
      <c r="Q100" s="76" t="s">
        <v>641</v>
      </c>
      <c r="R100" s="79" t="str">
        <f>HYPERLINK("https://www.lesechos.fr/monde/enjeux-internationaux/les-etats-unis-reclament-lunite-des-allies-contre-la-russie-1787144?xtor=CS4-6235")</f>
        <v>https://www.lesechos.fr/monde/enjeux-internationaux/les-etats-unis-reclament-lunite-des-allies-contre-la-russie-1787144?xtor=CS4-6235</v>
      </c>
      <c r="S100" s="76" t="s">
        <v>785</v>
      </c>
      <c r="T100" s="81" t="s">
        <v>822</v>
      </c>
      <c r="U100" s="76"/>
      <c r="V100" s="79" t="str">
        <f>HYPERLINK("https://pbs.twimg.com/profile_images/1510599865126072329/tqpg6AR6_normal.jpg")</f>
        <v>https://pbs.twimg.com/profile_images/1510599865126072329/tqpg6AR6_normal.jpg</v>
      </c>
      <c r="W100" s="78">
        <v>44815.74568287037</v>
      </c>
      <c r="X100" s="84">
        <v>44815</v>
      </c>
      <c r="Y100" s="81" t="s">
        <v>992</v>
      </c>
      <c r="Z100" s="79" t="str">
        <f>HYPERLINK("https://twitter.com/ogach_69/status/1569021400350101506")</f>
        <v>https://twitter.com/ogach_69/status/1569021400350101506</v>
      </c>
      <c r="AA100" s="76"/>
      <c r="AB100" s="76"/>
      <c r="AC100" s="81" t="s">
        <v>1323</v>
      </c>
      <c r="AD100" s="76"/>
      <c r="AE100" s="76" t="b">
        <v>0</v>
      </c>
      <c r="AF100" s="76">
        <v>0</v>
      </c>
      <c r="AG100" s="81" t="s">
        <v>1674</v>
      </c>
      <c r="AH100" s="76" t="b">
        <v>0</v>
      </c>
      <c r="AI100" s="76" t="s">
        <v>1770</v>
      </c>
      <c r="AJ100" s="76"/>
      <c r="AK100" s="81" t="s">
        <v>1674</v>
      </c>
      <c r="AL100" s="76" t="b">
        <v>0</v>
      </c>
      <c r="AM100" s="76">
        <v>10</v>
      </c>
      <c r="AN100" s="81" t="s">
        <v>1332</v>
      </c>
      <c r="AO100" s="81" t="s">
        <v>1809</v>
      </c>
      <c r="AP100" s="76" t="b">
        <v>0</v>
      </c>
      <c r="AQ100" s="81" t="s">
        <v>1332</v>
      </c>
      <c r="AR100" s="76" t="s">
        <v>219</v>
      </c>
      <c r="AS100" s="76">
        <v>0</v>
      </c>
      <c r="AT100" s="76">
        <v>0</v>
      </c>
      <c r="AU100" s="76"/>
      <c r="AV100" s="76"/>
      <c r="AW100" s="76"/>
      <c r="AX100" s="76"/>
      <c r="AY100" s="76"/>
      <c r="AZ100" s="76"/>
      <c r="BA100" s="76"/>
      <c r="BB100" s="76"/>
      <c r="BC100">
        <v>1</v>
      </c>
      <c r="BD100" s="75" t="str">
        <f>REPLACE(INDEX(GroupVertices[Group],MATCH(Edges25[[#This Row],[Vertex 1]],GroupVertices[Vertex],0)),1,1,"")</f>
        <v>7</v>
      </c>
      <c r="BE100" s="75" t="str">
        <f>REPLACE(INDEX(GroupVertices[Group],MATCH(Edges25[[#This Row],[Vertex 2]],GroupVertices[Vertex],0)),1,1,"")</f>
        <v>7</v>
      </c>
      <c r="BF100" s="45">
        <v>0</v>
      </c>
      <c r="BG100" s="46">
        <v>0</v>
      </c>
      <c r="BH100" s="45">
        <v>0</v>
      </c>
      <c r="BI100" s="46">
        <v>0</v>
      </c>
      <c r="BJ100" s="45">
        <v>0</v>
      </c>
      <c r="BK100" s="46">
        <v>0</v>
      </c>
      <c r="BL100" s="45">
        <v>27</v>
      </c>
      <c r="BM100" s="46">
        <v>100</v>
      </c>
      <c r="BN100" s="45">
        <v>27</v>
      </c>
    </row>
    <row r="101" spans="1:66" ht="15">
      <c r="A101" s="61" t="s">
        <v>331</v>
      </c>
      <c r="B101" s="61" t="s">
        <v>337</v>
      </c>
      <c r="C101" s="62"/>
      <c r="D101" s="63"/>
      <c r="E101" s="62"/>
      <c r="F101" s="65"/>
      <c r="G101" s="62"/>
      <c r="H101" s="66"/>
      <c r="I101" s="67"/>
      <c r="J101" s="67"/>
      <c r="K101" s="31" t="s">
        <v>65</v>
      </c>
      <c r="L101" s="68">
        <v>157</v>
      </c>
      <c r="M101" s="68"/>
      <c r="N101" s="69"/>
      <c r="O101" s="76" t="s">
        <v>586</v>
      </c>
      <c r="P101" s="78">
        <v>44815.74767361111</v>
      </c>
      <c r="Q101" s="76" t="s">
        <v>641</v>
      </c>
      <c r="R101" s="79" t="str">
        <f>HYPERLINK("https://www.lesechos.fr/monde/enjeux-internationaux/les-etats-unis-reclament-lunite-des-allies-contre-la-russie-1787144?xtor=CS4-6235")</f>
        <v>https://www.lesechos.fr/monde/enjeux-internationaux/les-etats-unis-reclament-lunite-des-allies-contre-la-russie-1787144?xtor=CS4-6235</v>
      </c>
      <c r="S101" s="76" t="s">
        <v>785</v>
      </c>
      <c r="T101" s="81" t="s">
        <v>822</v>
      </c>
      <c r="U101" s="76"/>
      <c r="V101" s="79" t="str">
        <f>HYPERLINK("https://pbs.twimg.com/profile_images/1566369161697271810/aFN9Snll_normal.jpg")</f>
        <v>https://pbs.twimg.com/profile_images/1566369161697271810/aFN9Snll_normal.jpg</v>
      </c>
      <c r="W101" s="78">
        <v>44815.74767361111</v>
      </c>
      <c r="X101" s="84">
        <v>44815</v>
      </c>
      <c r="Y101" s="81" t="s">
        <v>993</v>
      </c>
      <c r="Z101" s="79" t="str">
        <f>HYPERLINK("https://twitter.com/ancient_caxotte/status/1569022120654475264")</f>
        <v>https://twitter.com/ancient_caxotte/status/1569022120654475264</v>
      </c>
      <c r="AA101" s="76"/>
      <c r="AB101" s="76"/>
      <c r="AC101" s="81" t="s">
        <v>1324</v>
      </c>
      <c r="AD101" s="76"/>
      <c r="AE101" s="76" t="b">
        <v>0</v>
      </c>
      <c r="AF101" s="76">
        <v>0</v>
      </c>
      <c r="AG101" s="81" t="s">
        <v>1674</v>
      </c>
      <c r="AH101" s="76" t="b">
        <v>0</v>
      </c>
      <c r="AI101" s="76" t="s">
        <v>1770</v>
      </c>
      <c r="AJ101" s="76"/>
      <c r="AK101" s="81" t="s">
        <v>1674</v>
      </c>
      <c r="AL101" s="76" t="b">
        <v>0</v>
      </c>
      <c r="AM101" s="76">
        <v>10</v>
      </c>
      <c r="AN101" s="81" t="s">
        <v>1332</v>
      </c>
      <c r="AO101" s="81" t="s">
        <v>1808</v>
      </c>
      <c r="AP101" s="76" t="b">
        <v>0</v>
      </c>
      <c r="AQ101" s="81" t="s">
        <v>1332</v>
      </c>
      <c r="AR101" s="76" t="s">
        <v>219</v>
      </c>
      <c r="AS101" s="76">
        <v>0</v>
      </c>
      <c r="AT101" s="76">
        <v>0</v>
      </c>
      <c r="AU101" s="76"/>
      <c r="AV101" s="76"/>
      <c r="AW101" s="76"/>
      <c r="AX101" s="76"/>
      <c r="AY101" s="76"/>
      <c r="AZ101" s="76"/>
      <c r="BA101" s="76"/>
      <c r="BB101" s="76"/>
      <c r="BC101">
        <v>1</v>
      </c>
      <c r="BD101" s="75" t="str">
        <f>REPLACE(INDEX(GroupVertices[Group],MATCH(Edges25[[#This Row],[Vertex 1]],GroupVertices[Vertex],0)),1,1,"")</f>
        <v>7</v>
      </c>
      <c r="BE101" s="75" t="str">
        <f>REPLACE(INDEX(GroupVertices[Group],MATCH(Edges25[[#This Row],[Vertex 2]],GroupVertices[Vertex],0)),1,1,"")</f>
        <v>7</v>
      </c>
      <c r="BF101" s="45">
        <v>0</v>
      </c>
      <c r="BG101" s="46">
        <v>0</v>
      </c>
      <c r="BH101" s="45">
        <v>0</v>
      </c>
      <c r="BI101" s="46">
        <v>0</v>
      </c>
      <c r="BJ101" s="45">
        <v>0</v>
      </c>
      <c r="BK101" s="46">
        <v>0</v>
      </c>
      <c r="BL101" s="45">
        <v>27</v>
      </c>
      <c r="BM101" s="46">
        <v>100</v>
      </c>
      <c r="BN101" s="45">
        <v>27</v>
      </c>
    </row>
    <row r="102" spans="1:66" ht="15">
      <c r="A102" s="61" t="s">
        <v>332</v>
      </c>
      <c r="B102" s="61" t="s">
        <v>337</v>
      </c>
      <c r="C102" s="62"/>
      <c r="D102" s="63"/>
      <c r="E102" s="62"/>
      <c r="F102" s="65"/>
      <c r="G102" s="62"/>
      <c r="H102" s="66"/>
      <c r="I102" s="67"/>
      <c r="J102" s="67"/>
      <c r="K102" s="31" t="s">
        <v>65</v>
      </c>
      <c r="L102" s="68">
        <v>158</v>
      </c>
      <c r="M102" s="68"/>
      <c r="N102" s="69"/>
      <c r="O102" s="76" t="s">
        <v>586</v>
      </c>
      <c r="P102" s="78">
        <v>44815.74959490741</v>
      </c>
      <c r="Q102" s="76" t="s">
        <v>641</v>
      </c>
      <c r="R102" s="79" t="str">
        <f>HYPERLINK("https://www.lesechos.fr/monde/enjeux-internationaux/les-etats-unis-reclament-lunite-des-allies-contre-la-russie-1787144?xtor=CS4-6235")</f>
        <v>https://www.lesechos.fr/monde/enjeux-internationaux/les-etats-unis-reclament-lunite-des-allies-contre-la-russie-1787144?xtor=CS4-6235</v>
      </c>
      <c r="S102" s="76" t="s">
        <v>785</v>
      </c>
      <c r="T102" s="81" t="s">
        <v>822</v>
      </c>
      <c r="U102" s="76"/>
      <c r="V102" s="79" t="str">
        <f>HYPERLINK("https://pbs.twimg.com/profile_images/1211863236569686018/G2GGjEGf_normal.jpg")</f>
        <v>https://pbs.twimg.com/profile_images/1211863236569686018/G2GGjEGf_normal.jpg</v>
      </c>
      <c r="W102" s="78">
        <v>44815.74959490741</v>
      </c>
      <c r="X102" s="84">
        <v>44815</v>
      </c>
      <c r="Y102" s="81" t="s">
        <v>994</v>
      </c>
      <c r="Z102" s="79" t="str">
        <f>HYPERLINK("https://twitter.com/bretag_romantiq/status/1569022819136053248")</f>
        <v>https://twitter.com/bretag_romantiq/status/1569022819136053248</v>
      </c>
      <c r="AA102" s="76"/>
      <c r="AB102" s="76"/>
      <c r="AC102" s="81" t="s">
        <v>1325</v>
      </c>
      <c r="AD102" s="76"/>
      <c r="AE102" s="76" t="b">
        <v>0</v>
      </c>
      <c r="AF102" s="76">
        <v>0</v>
      </c>
      <c r="AG102" s="81" t="s">
        <v>1674</v>
      </c>
      <c r="AH102" s="76" t="b">
        <v>0</v>
      </c>
      <c r="AI102" s="76" t="s">
        <v>1770</v>
      </c>
      <c r="AJ102" s="76"/>
      <c r="AK102" s="81" t="s">
        <v>1674</v>
      </c>
      <c r="AL102" s="76" t="b">
        <v>0</v>
      </c>
      <c r="AM102" s="76">
        <v>10</v>
      </c>
      <c r="AN102" s="81" t="s">
        <v>1332</v>
      </c>
      <c r="AO102" s="81" t="s">
        <v>1809</v>
      </c>
      <c r="AP102" s="76" t="b">
        <v>0</v>
      </c>
      <c r="AQ102" s="81" t="s">
        <v>1332</v>
      </c>
      <c r="AR102" s="76" t="s">
        <v>219</v>
      </c>
      <c r="AS102" s="76">
        <v>0</v>
      </c>
      <c r="AT102" s="76">
        <v>0</v>
      </c>
      <c r="AU102" s="76"/>
      <c r="AV102" s="76"/>
      <c r="AW102" s="76"/>
      <c r="AX102" s="76"/>
      <c r="AY102" s="76"/>
      <c r="AZ102" s="76"/>
      <c r="BA102" s="76"/>
      <c r="BB102" s="76"/>
      <c r="BC102">
        <v>1</v>
      </c>
      <c r="BD102" s="75" t="str">
        <f>REPLACE(INDEX(GroupVertices[Group],MATCH(Edges25[[#This Row],[Vertex 1]],GroupVertices[Vertex],0)),1,1,"")</f>
        <v>7</v>
      </c>
      <c r="BE102" s="75" t="str">
        <f>REPLACE(INDEX(GroupVertices[Group],MATCH(Edges25[[#This Row],[Vertex 2]],GroupVertices[Vertex],0)),1,1,"")</f>
        <v>7</v>
      </c>
      <c r="BF102" s="45">
        <v>0</v>
      </c>
      <c r="BG102" s="46">
        <v>0</v>
      </c>
      <c r="BH102" s="45">
        <v>0</v>
      </c>
      <c r="BI102" s="46">
        <v>0</v>
      </c>
      <c r="BJ102" s="45">
        <v>0</v>
      </c>
      <c r="BK102" s="46">
        <v>0</v>
      </c>
      <c r="BL102" s="45">
        <v>27</v>
      </c>
      <c r="BM102" s="46">
        <v>100</v>
      </c>
      <c r="BN102" s="45">
        <v>27</v>
      </c>
    </row>
    <row r="103" spans="1:66" ht="15">
      <c r="A103" s="61" t="s">
        <v>333</v>
      </c>
      <c r="B103" s="61" t="s">
        <v>337</v>
      </c>
      <c r="C103" s="62"/>
      <c r="D103" s="63"/>
      <c r="E103" s="62"/>
      <c r="F103" s="65"/>
      <c r="G103" s="62"/>
      <c r="H103" s="66"/>
      <c r="I103" s="67"/>
      <c r="J103" s="67"/>
      <c r="K103" s="31" t="s">
        <v>65</v>
      </c>
      <c r="L103" s="68">
        <v>159</v>
      </c>
      <c r="M103" s="68"/>
      <c r="N103" s="69"/>
      <c r="O103" s="76" t="s">
        <v>586</v>
      </c>
      <c r="P103" s="78">
        <v>44815.74988425926</v>
      </c>
      <c r="Q103" s="76" t="s">
        <v>641</v>
      </c>
      <c r="R103" s="79" t="str">
        <f>HYPERLINK("https://www.lesechos.fr/monde/enjeux-internationaux/les-etats-unis-reclament-lunite-des-allies-contre-la-russie-1787144?xtor=CS4-6235")</f>
        <v>https://www.lesechos.fr/monde/enjeux-internationaux/les-etats-unis-reclament-lunite-des-allies-contre-la-russie-1787144?xtor=CS4-6235</v>
      </c>
      <c r="S103" s="76" t="s">
        <v>785</v>
      </c>
      <c r="T103" s="81" t="s">
        <v>822</v>
      </c>
      <c r="U103" s="76"/>
      <c r="V103" s="79" t="str">
        <f>HYPERLINK("https://pbs.twimg.com/profile_images/1535530694344056832/Kwb1wGFw_normal.jpg")</f>
        <v>https://pbs.twimg.com/profile_images/1535530694344056832/Kwb1wGFw_normal.jpg</v>
      </c>
      <c r="W103" s="78">
        <v>44815.74988425926</v>
      </c>
      <c r="X103" s="84">
        <v>44815</v>
      </c>
      <c r="Y103" s="81" t="s">
        <v>995</v>
      </c>
      <c r="Z103" s="79" t="str">
        <f>HYPERLINK("https://twitter.com/marcvin40543445/status/1569022921695285256")</f>
        <v>https://twitter.com/marcvin40543445/status/1569022921695285256</v>
      </c>
      <c r="AA103" s="76"/>
      <c r="AB103" s="76"/>
      <c r="AC103" s="81" t="s">
        <v>1326</v>
      </c>
      <c r="AD103" s="76"/>
      <c r="AE103" s="76" t="b">
        <v>0</v>
      </c>
      <c r="AF103" s="76">
        <v>0</v>
      </c>
      <c r="AG103" s="81" t="s">
        <v>1674</v>
      </c>
      <c r="AH103" s="76" t="b">
        <v>0</v>
      </c>
      <c r="AI103" s="76" t="s">
        <v>1770</v>
      </c>
      <c r="AJ103" s="76"/>
      <c r="AK103" s="81" t="s">
        <v>1674</v>
      </c>
      <c r="AL103" s="76" t="b">
        <v>0</v>
      </c>
      <c r="AM103" s="76">
        <v>10</v>
      </c>
      <c r="AN103" s="81" t="s">
        <v>1332</v>
      </c>
      <c r="AO103" s="81" t="s">
        <v>1810</v>
      </c>
      <c r="AP103" s="76" t="b">
        <v>0</v>
      </c>
      <c r="AQ103" s="81" t="s">
        <v>1332</v>
      </c>
      <c r="AR103" s="76" t="s">
        <v>219</v>
      </c>
      <c r="AS103" s="76">
        <v>0</v>
      </c>
      <c r="AT103" s="76">
        <v>0</v>
      </c>
      <c r="AU103" s="76"/>
      <c r="AV103" s="76"/>
      <c r="AW103" s="76"/>
      <c r="AX103" s="76"/>
      <c r="AY103" s="76"/>
      <c r="AZ103" s="76"/>
      <c r="BA103" s="76"/>
      <c r="BB103" s="76"/>
      <c r="BC103">
        <v>1</v>
      </c>
      <c r="BD103" s="75" t="str">
        <f>REPLACE(INDEX(GroupVertices[Group],MATCH(Edges25[[#This Row],[Vertex 1]],GroupVertices[Vertex],0)),1,1,"")</f>
        <v>7</v>
      </c>
      <c r="BE103" s="75" t="str">
        <f>REPLACE(INDEX(GroupVertices[Group],MATCH(Edges25[[#This Row],[Vertex 2]],GroupVertices[Vertex],0)),1,1,"")</f>
        <v>7</v>
      </c>
      <c r="BF103" s="45">
        <v>0</v>
      </c>
      <c r="BG103" s="46">
        <v>0</v>
      </c>
      <c r="BH103" s="45">
        <v>0</v>
      </c>
      <c r="BI103" s="46">
        <v>0</v>
      </c>
      <c r="BJ103" s="45">
        <v>0</v>
      </c>
      <c r="BK103" s="46">
        <v>0</v>
      </c>
      <c r="BL103" s="45">
        <v>27</v>
      </c>
      <c r="BM103" s="46">
        <v>100</v>
      </c>
      <c r="BN103" s="45">
        <v>27</v>
      </c>
    </row>
    <row r="104" spans="1:66" ht="15">
      <c r="A104" s="61" t="s">
        <v>334</v>
      </c>
      <c r="B104" s="61" t="s">
        <v>418</v>
      </c>
      <c r="C104" s="62"/>
      <c r="D104" s="63"/>
      <c r="E104" s="62"/>
      <c r="F104" s="65"/>
      <c r="G104" s="62"/>
      <c r="H104" s="66"/>
      <c r="I104" s="67"/>
      <c r="J104" s="67"/>
      <c r="K104" s="31" t="s">
        <v>65</v>
      </c>
      <c r="L104" s="68">
        <v>160</v>
      </c>
      <c r="M104" s="68"/>
      <c r="N104" s="69"/>
      <c r="O104" s="76" t="s">
        <v>586</v>
      </c>
      <c r="P104" s="78">
        <v>44815.75293981482</v>
      </c>
      <c r="Q104" s="76" t="s">
        <v>651</v>
      </c>
      <c r="R104" s="76"/>
      <c r="S104" s="76"/>
      <c r="T104" s="81" t="s">
        <v>823</v>
      </c>
      <c r="U104" s="76"/>
      <c r="V104" s="79" t="str">
        <f>HYPERLINK("https://pbs.twimg.com/profile_images/1182403956175245322/ppwvxDE6_normal.jpg")</f>
        <v>https://pbs.twimg.com/profile_images/1182403956175245322/ppwvxDE6_normal.jpg</v>
      </c>
      <c r="W104" s="78">
        <v>44815.75293981482</v>
      </c>
      <c r="X104" s="84">
        <v>44815</v>
      </c>
      <c r="Y104" s="81" t="s">
        <v>996</v>
      </c>
      <c r="Z104" s="79" t="str">
        <f>HYPERLINK("https://twitter.com/gospodinnebojsa/status/1569024030425944065")</f>
        <v>https://twitter.com/gospodinnebojsa/status/1569024030425944065</v>
      </c>
      <c r="AA104" s="76"/>
      <c r="AB104" s="76"/>
      <c r="AC104" s="81" t="s">
        <v>1327</v>
      </c>
      <c r="AD104" s="76"/>
      <c r="AE104" s="76" t="b">
        <v>0</v>
      </c>
      <c r="AF104" s="76">
        <v>0</v>
      </c>
      <c r="AG104" s="81" t="s">
        <v>1674</v>
      </c>
      <c r="AH104" s="76" t="b">
        <v>0</v>
      </c>
      <c r="AI104" s="76" t="s">
        <v>1772</v>
      </c>
      <c r="AJ104" s="76"/>
      <c r="AK104" s="81" t="s">
        <v>1674</v>
      </c>
      <c r="AL104" s="76" t="b">
        <v>0</v>
      </c>
      <c r="AM104" s="76">
        <v>1</v>
      </c>
      <c r="AN104" s="81" t="s">
        <v>1467</v>
      </c>
      <c r="AO104" s="81" t="s">
        <v>1808</v>
      </c>
      <c r="AP104" s="76" t="b">
        <v>0</v>
      </c>
      <c r="AQ104" s="81" t="s">
        <v>1467</v>
      </c>
      <c r="AR104" s="76" t="s">
        <v>219</v>
      </c>
      <c r="AS104" s="76">
        <v>0</v>
      </c>
      <c r="AT104" s="76">
        <v>0</v>
      </c>
      <c r="AU104" s="76"/>
      <c r="AV104" s="76"/>
      <c r="AW104" s="76"/>
      <c r="AX104" s="76"/>
      <c r="AY104" s="76"/>
      <c r="AZ104" s="76"/>
      <c r="BA104" s="76"/>
      <c r="BB104" s="76"/>
      <c r="BC104">
        <v>1</v>
      </c>
      <c r="BD104" s="75" t="str">
        <f>REPLACE(INDEX(GroupVertices[Group],MATCH(Edges25[[#This Row],[Vertex 1]],GroupVertices[Vertex],0)),1,1,"")</f>
        <v>4</v>
      </c>
      <c r="BE104" s="75" t="str">
        <f>REPLACE(INDEX(GroupVertices[Group],MATCH(Edges25[[#This Row],[Vertex 2]],GroupVertices[Vertex],0)),1,1,"")</f>
        <v>4</v>
      </c>
      <c r="BF104" s="45"/>
      <c r="BG104" s="46"/>
      <c r="BH104" s="45"/>
      <c r="BI104" s="46"/>
      <c r="BJ104" s="45"/>
      <c r="BK104" s="46"/>
      <c r="BL104" s="45"/>
      <c r="BM104" s="46"/>
      <c r="BN104" s="45"/>
    </row>
    <row r="105" spans="1:66" ht="15">
      <c r="A105" s="61" t="s">
        <v>335</v>
      </c>
      <c r="B105" s="61" t="s">
        <v>337</v>
      </c>
      <c r="C105" s="62"/>
      <c r="D105" s="63"/>
      <c r="E105" s="62"/>
      <c r="F105" s="65"/>
      <c r="G105" s="62"/>
      <c r="H105" s="66"/>
      <c r="I105" s="67"/>
      <c r="J105" s="67"/>
      <c r="K105" s="31" t="s">
        <v>65</v>
      </c>
      <c r="L105" s="68">
        <v>162</v>
      </c>
      <c r="M105" s="68"/>
      <c r="N105" s="69"/>
      <c r="O105" s="76" t="s">
        <v>586</v>
      </c>
      <c r="P105" s="78">
        <v>44815.76598379629</v>
      </c>
      <c r="Q105" s="76" t="s">
        <v>641</v>
      </c>
      <c r="R105" s="79" t="str">
        <f>HYPERLINK("https://www.lesechos.fr/monde/enjeux-internationaux/les-etats-unis-reclament-lunite-des-allies-contre-la-russie-1787144?xtor=CS4-6235")</f>
        <v>https://www.lesechos.fr/monde/enjeux-internationaux/les-etats-unis-reclament-lunite-des-allies-contre-la-russie-1787144?xtor=CS4-6235</v>
      </c>
      <c r="S105" s="76" t="s">
        <v>785</v>
      </c>
      <c r="T105" s="81" t="s">
        <v>822</v>
      </c>
      <c r="U105" s="76"/>
      <c r="V105" s="79" t="str">
        <f>HYPERLINK("https://pbs.twimg.com/profile_images/1560940207804977158/d2xhjQoG_normal.jpg")</f>
        <v>https://pbs.twimg.com/profile_images/1560940207804977158/d2xhjQoG_normal.jpg</v>
      </c>
      <c r="W105" s="78">
        <v>44815.76598379629</v>
      </c>
      <c r="X105" s="84">
        <v>44815</v>
      </c>
      <c r="Y105" s="81" t="s">
        <v>997</v>
      </c>
      <c r="Z105" s="79" t="str">
        <f>HYPERLINK("https://twitter.com/jfaix13/status/1569028756265930754")</f>
        <v>https://twitter.com/jfaix13/status/1569028756265930754</v>
      </c>
      <c r="AA105" s="76"/>
      <c r="AB105" s="76"/>
      <c r="AC105" s="81" t="s">
        <v>1328</v>
      </c>
      <c r="AD105" s="76"/>
      <c r="AE105" s="76" t="b">
        <v>0</v>
      </c>
      <c r="AF105" s="76">
        <v>0</v>
      </c>
      <c r="AG105" s="81" t="s">
        <v>1674</v>
      </c>
      <c r="AH105" s="76" t="b">
        <v>0</v>
      </c>
      <c r="AI105" s="76" t="s">
        <v>1770</v>
      </c>
      <c r="AJ105" s="76"/>
      <c r="AK105" s="81" t="s">
        <v>1674</v>
      </c>
      <c r="AL105" s="76" t="b">
        <v>0</v>
      </c>
      <c r="AM105" s="76">
        <v>10</v>
      </c>
      <c r="AN105" s="81" t="s">
        <v>1332</v>
      </c>
      <c r="AO105" s="81" t="s">
        <v>1809</v>
      </c>
      <c r="AP105" s="76" t="b">
        <v>0</v>
      </c>
      <c r="AQ105" s="81" t="s">
        <v>1332</v>
      </c>
      <c r="AR105" s="76" t="s">
        <v>219</v>
      </c>
      <c r="AS105" s="76">
        <v>0</v>
      </c>
      <c r="AT105" s="76">
        <v>0</v>
      </c>
      <c r="AU105" s="76"/>
      <c r="AV105" s="76"/>
      <c r="AW105" s="76"/>
      <c r="AX105" s="76"/>
      <c r="AY105" s="76"/>
      <c r="AZ105" s="76"/>
      <c r="BA105" s="76"/>
      <c r="BB105" s="76"/>
      <c r="BC105">
        <v>1</v>
      </c>
      <c r="BD105" s="75" t="str">
        <f>REPLACE(INDEX(GroupVertices[Group],MATCH(Edges25[[#This Row],[Vertex 1]],GroupVertices[Vertex],0)),1,1,"")</f>
        <v>7</v>
      </c>
      <c r="BE105" s="75" t="str">
        <f>REPLACE(INDEX(GroupVertices[Group],MATCH(Edges25[[#This Row],[Vertex 2]],GroupVertices[Vertex],0)),1,1,"")</f>
        <v>7</v>
      </c>
      <c r="BF105" s="45">
        <v>0</v>
      </c>
      <c r="BG105" s="46">
        <v>0</v>
      </c>
      <c r="BH105" s="45">
        <v>0</v>
      </c>
      <c r="BI105" s="46">
        <v>0</v>
      </c>
      <c r="BJ105" s="45">
        <v>0</v>
      </c>
      <c r="BK105" s="46">
        <v>0</v>
      </c>
      <c r="BL105" s="45">
        <v>27</v>
      </c>
      <c r="BM105" s="46">
        <v>100</v>
      </c>
      <c r="BN105" s="45">
        <v>27</v>
      </c>
    </row>
    <row r="106" spans="1:66" ht="15">
      <c r="A106" s="61" t="s">
        <v>336</v>
      </c>
      <c r="B106" s="61" t="s">
        <v>337</v>
      </c>
      <c r="C106" s="62"/>
      <c r="D106" s="63"/>
      <c r="E106" s="62"/>
      <c r="F106" s="65"/>
      <c r="G106" s="62"/>
      <c r="H106" s="66"/>
      <c r="I106" s="67"/>
      <c r="J106" s="67"/>
      <c r="K106" s="31" t="s">
        <v>65</v>
      </c>
      <c r="L106" s="68">
        <v>163</v>
      </c>
      <c r="M106" s="68"/>
      <c r="N106" s="69"/>
      <c r="O106" s="76" t="s">
        <v>586</v>
      </c>
      <c r="P106" s="78">
        <v>44815.771527777775</v>
      </c>
      <c r="Q106" s="76" t="s">
        <v>641</v>
      </c>
      <c r="R106" s="79" t="str">
        <f>HYPERLINK("https://www.lesechos.fr/monde/enjeux-internationaux/les-etats-unis-reclament-lunite-des-allies-contre-la-russie-1787144?xtor=CS4-6235")</f>
        <v>https://www.lesechos.fr/monde/enjeux-internationaux/les-etats-unis-reclament-lunite-des-allies-contre-la-russie-1787144?xtor=CS4-6235</v>
      </c>
      <c r="S106" s="76" t="s">
        <v>785</v>
      </c>
      <c r="T106" s="81" t="s">
        <v>822</v>
      </c>
      <c r="U106" s="76"/>
      <c r="V106" s="79" t="str">
        <f>HYPERLINK("https://pbs.twimg.com/profile_images/554217681268662272/I8KaAJ92_normal.jpeg")</f>
        <v>https://pbs.twimg.com/profile_images/554217681268662272/I8KaAJ92_normal.jpeg</v>
      </c>
      <c r="W106" s="78">
        <v>44815.771527777775</v>
      </c>
      <c r="X106" s="84">
        <v>44815</v>
      </c>
      <c r="Y106" s="81" t="s">
        <v>998</v>
      </c>
      <c r="Z106" s="79" t="str">
        <f>HYPERLINK("https://twitter.com/ophiuse/status/1569030766364950528")</f>
        <v>https://twitter.com/ophiuse/status/1569030766364950528</v>
      </c>
      <c r="AA106" s="76"/>
      <c r="AB106" s="76"/>
      <c r="AC106" s="81" t="s">
        <v>1329</v>
      </c>
      <c r="AD106" s="76"/>
      <c r="AE106" s="76" t="b">
        <v>0</v>
      </c>
      <c r="AF106" s="76">
        <v>0</v>
      </c>
      <c r="AG106" s="81" t="s">
        <v>1674</v>
      </c>
      <c r="AH106" s="76" t="b">
        <v>0</v>
      </c>
      <c r="AI106" s="76" t="s">
        <v>1770</v>
      </c>
      <c r="AJ106" s="76"/>
      <c r="AK106" s="81" t="s">
        <v>1674</v>
      </c>
      <c r="AL106" s="76" t="b">
        <v>0</v>
      </c>
      <c r="AM106" s="76">
        <v>10</v>
      </c>
      <c r="AN106" s="81" t="s">
        <v>1332</v>
      </c>
      <c r="AO106" s="81" t="s">
        <v>1807</v>
      </c>
      <c r="AP106" s="76" t="b">
        <v>0</v>
      </c>
      <c r="AQ106" s="81" t="s">
        <v>1332</v>
      </c>
      <c r="AR106" s="76" t="s">
        <v>219</v>
      </c>
      <c r="AS106" s="76">
        <v>0</v>
      </c>
      <c r="AT106" s="76">
        <v>0</v>
      </c>
      <c r="AU106" s="76"/>
      <c r="AV106" s="76"/>
      <c r="AW106" s="76"/>
      <c r="AX106" s="76"/>
      <c r="AY106" s="76"/>
      <c r="AZ106" s="76"/>
      <c r="BA106" s="76"/>
      <c r="BB106" s="76"/>
      <c r="BC106">
        <v>1</v>
      </c>
      <c r="BD106" s="75" t="str">
        <f>REPLACE(INDEX(GroupVertices[Group],MATCH(Edges25[[#This Row],[Vertex 1]],GroupVertices[Vertex],0)),1,1,"")</f>
        <v>7</v>
      </c>
      <c r="BE106" s="75" t="str">
        <f>REPLACE(INDEX(GroupVertices[Group],MATCH(Edges25[[#This Row],[Vertex 2]],GroupVertices[Vertex],0)),1,1,"")</f>
        <v>7</v>
      </c>
      <c r="BF106" s="45">
        <v>0</v>
      </c>
      <c r="BG106" s="46">
        <v>0</v>
      </c>
      <c r="BH106" s="45">
        <v>0</v>
      </c>
      <c r="BI106" s="46">
        <v>0</v>
      </c>
      <c r="BJ106" s="45">
        <v>0</v>
      </c>
      <c r="BK106" s="46">
        <v>0</v>
      </c>
      <c r="BL106" s="45">
        <v>27</v>
      </c>
      <c r="BM106" s="46">
        <v>100</v>
      </c>
      <c r="BN106" s="45">
        <v>27</v>
      </c>
    </row>
    <row r="107" spans="1:66" ht="15">
      <c r="A107" s="61" t="s">
        <v>337</v>
      </c>
      <c r="B107" s="61" t="s">
        <v>496</v>
      </c>
      <c r="C107" s="62"/>
      <c r="D107" s="63"/>
      <c r="E107" s="62"/>
      <c r="F107" s="65"/>
      <c r="G107" s="62"/>
      <c r="H107" s="66"/>
      <c r="I107" s="67"/>
      <c r="J107" s="67"/>
      <c r="K107" s="31" t="s">
        <v>65</v>
      </c>
      <c r="L107" s="68">
        <v>164</v>
      </c>
      <c r="M107" s="68"/>
      <c r="N107" s="69"/>
      <c r="O107" s="76" t="s">
        <v>588</v>
      </c>
      <c r="P107" s="78">
        <v>44814.76493055555</v>
      </c>
      <c r="Q107" s="76" t="s">
        <v>652</v>
      </c>
      <c r="R107" s="76"/>
      <c r="S107" s="76"/>
      <c r="T107" s="81" t="s">
        <v>824</v>
      </c>
      <c r="U107" s="79" t="str">
        <f>HYPERLINK("https://pbs.twimg.com/media/FcUES4iXgAAbkOA.png")</f>
        <v>https://pbs.twimg.com/media/FcUES4iXgAAbkOA.png</v>
      </c>
      <c r="V107" s="79" t="str">
        <f>HYPERLINK("https://pbs.twimg.com/media/FcUES4iXgAAbkOA.png")</f>
        <v>https://pbs.twimg.com/media/FcUES4iXgAAbkOA.png</v>
      </c>
      <c r="W107" s="78">
        <v>44814.76493055555</v>
      </c>
      <c r="X107" s="84">
        <v>44814</v>
      </c>
      <c r="Y107" s="81" t="s">
        <v>999</v>
      </c>
      <c r="Z107" s="79" t="str">
        <f>HYPERLINK("https://twitter.com/brutionnepnm/status/1568665988467687424")</f>
        <v>https://twitter.com/brutionnepnm/status/1568665988467687424</v>
      </c>
      <c r="AA107" s="76"/>
      <c r="AB107" s="76"/>
      <c r="AC107" s="81" t="s">
        <v>1330</v>
      </c>
      <c r="AD107" s="81" t="s">
        <v>1596</v>
      </c>
      <c r="AE107" s="76" t="b">
        <v>0</v>
      </c>
      <c r="AF107" s="76">
        <v>0</v>
      </c>
      <c r="AG107" s="81" t="s">
        <v>1706</v>
      </c>
      <c r="AH107" s="76" t="b">
        <v>0</v>
      </c>
      <c r="AI107" s="76" t="s">
        <v>1772</v>
      </c>
      <c r="AJ107" s="76"/>
      <c r="AK107" s="81" t="s">
        <v>1674</v>
      </c>
      <c r="AL107" s="76" t="b">
        <v>0</v>
      </c>
      <c r="AM107" s="76">
        <v>0</v>
      </c>
      <c r="AN107" s="81" t="s">
        <v>1674</v>
      </c>
      <c r="AO107" s="81" t="s">
        <v>1808</v>
      </c>
      <c r="AP107" s="76" t="b">
        <v>0</v>
      </c>
      <c r="AQ107" s="81" t="s">
        <v>1596</v>
      </c>
      <c r="AR107" s="76" t="s">
        <v>219</v>
      </c>
      <c r="AS107" s="76">
        <v>0</v>
      </c>
      <c r="AT107" s="76">
        <v>0</v>
      </c>
      <c r="AU107" s="76"/>
      <c r="AV107" s="76"/>
      <c r="AW107" s="76"/>
      <c r="AX107" s="76"/>
      <c r="AY107" s="76"/>
      <c r="AZ107" s="76"/>
      <c r="BA107" s="76"/>
      <c r="BB107" s="76"/>
      <c r="BC107">
        <v>1</v>
      </c>
      <c r="BD107" s="75" t="str">
        <f>REPLACE(INDEX(GroupVertices[Group],MATCH(Edges25[[#This Row],[Vertex 1]],GroupVertices[Vertex],0)),1,1,"")</f>
        <v>7</v>
      </c>
      <c r="BE107" s="75" t="str">
        <f>REPLACE(INDEX(GroupVertices[Group],MATCH(Edges25[[#This Row],[Vertex 2]],GroupVertices[Vertex],0)),1,1,"")</f>
        <v>1</v>
      </c>
      <c r="BF107" s="45"/>
      <c r="BG107" s="46"/>
      <c r="BH107" s="45"/>
      <c r="BI107" s="46"/>
      <c r="BJ107" s="45"/>
      <c r="BK107" s="46"/>
      <c r="BL107" s="45"/>
      <c r="BM107" s="46"/>
      <c r="BN107" s="45"/>
    </row>
    <row r="108" spans="1:66" ht="15">
      <c r="A108" s="61" t="s">
        <v>337</v>
      </c>
      <c r="B108" s="61" t="s">
        <v>337</v>
      </c>
      <c r="C108" s="62"/>
      <c r="D108" s="63"/>
      <c r="E108" s="62"/>
      <c r="F108" s="65"/>
      <c r="G108" s="62"/>
      <c r="H108" s="66"/>
      <c r="I108" s="67"/>
      <c r="J108" s="67"/>
      <c r="K108" s="31" t="s">
        <v>65</v>
      </c>
      <c r="L108" s="68">
        <v>166</v>
      </c>
      <c r="M108" s="68"/>
      <c r="N108" s="69"/>
      <c r="O108" s="76" t="s">
        <v>219</v>
      </c>
      <c r="P108" s="78">
        <v>44814.76582175926</v>
      </c>
      <c r="Q108" s="76" t="s">
        <v>653</v>
      </c>
      <c r="R108" s="79" t="str">
        <f>HYPERLINK("https://twitter.com/ZelenskyyUa/status/1568608679871537153")</f>
        <v>https://twitter.com/ZelenskyyUa/status/1568608679871537153</v>
      </c>
      <c r="S108" s="76" t="s">
        <v>783</v>
      </c>
      <c r="T108" s="81" t="s">
        <v>824</v>
      </c>
      <c r="U108" s="79" t="str">
        <f>HYPERLINK("https://pbs.twimg.com/media/FcUFhlQXwAI28X9.png")</f>
        <v>https://pbs.twimg.com/media/FcUFhlQXwAI28X9.png</v>
      </c>
      <c r="V108" s="79" t="str">
        <f>HYPERLINK("https://pbs.twimg.com/media/FcUFhlQXwAI28X9.png")</f>
        <v>https://pbs.twimg.com/media/FcUFhlQXwAI28X9.png</v>
      </c>
      <c r="W108" s="78">
        <v>44814.76582175926</v>
      </c>
      <c r="X108" s="84">
        <v>44814</v>
      </c>
      <c r="Y108" s="81" t="s">
        <v>1000</v>
      </c>
      <c r="Z108" s="79" t="str">
        <f>HYPERLINK("https://twitter.com/brutionnepnm/status/1568666310342500358")</f>
        <v>https://twitter.com/brutionnepnm/status/1568666310342500358</v>
      </c>
      <c r="AA108" s="76"/>
      <c r="AB108" s="76"/>
      <c r="AC108" s="81" t="s">
        <v>1331</v>
      </c>
      <c r="AD108" s="76"/>
      <c r="AE108" s="76" t="b">
        <v>0</v>
      </c>
      <c r="AF108" s="76">
        <v>0</v>
      </c>
      <c r="AG108" s="81" t="s">
        <v>1674</v>
      </c>
      <c r="AH108" s="76" t="b">
        <v>1</v>
      </c>
      <c r="AI108" s="76" t="s">
        <v>1772</v>
      </c>
      <c r="AJ108" s="76"/>
      <c r="AK108" s="81" t="s">
        <v>1596</v>
      </c>
      <c r="AL108" s="76" t="b">
        <v>0</v>
      </c>
      <c r="AM108" s="76">
        <v>0</v>
      </c>
      <c r="AN108" s="81" t="s">
        <v>1674</v>
      </c>
      <c r="AO108" s="81" t="s">
        <v>1808</v>
      </c>
      <c r="AP108" s="76" t="b">
        <v>0</v>
      </c>
      <c r="AQ108" s="81" t="s">
        <v>1331</v>
      </c>
      <c r="AR108" s="76" t="s">
        <v>219</v>
      </c>
      <c r="AS108" s="76">
        <v>0</v>
      </c>
      <c r="AT108" s="76">
        <v>0</v>
      </c>
      <c r="AU108" s="76"/>
      <c r="AV108" s="76"/>
      <c r="AW108" s="76"/>
      <c r="AX108" s="76"/>
      <c r="AY108" s="76"/>
      <c r="AZ108" s="76"/>
      <c r="BA108" s="76"/>
      <c r="BB108" s="76"/>
      <c r="BC108">
        <v>2</v>
      </c>
      <c r="BD108" s="75" t="str">
        <f>REPLACE(INDEX(GroupVertices[Group],MATCH(Edges25[[#This Row],[Vertex 1]],GroupVertices[Vertex],0)),1,1,"")</f>
        <v>7</v>
      </c>
      <c r="BE108" s="75" t="str">
        <f>REPLACE(INDEX(GroupVertices[Group],MATCH(Edges25[[#This Row],[Vertex 2]],GroupVertices[Vertex],0)),1,1,"")</f>
        <v>7</v>
      </c>
      <c r="BF108" s="45">
        <v>0</v>
      </c>
      <c r="BG108" s="46">
        <v>0</v>
      </c>
      <c r="BH108" s="45">
        <v>2</v>
      </c>
      <c r="BI108" s="46">
        <v>13.333333333333334</v>
      </c>
      <c r="BJ108" s="45">
        <v>0</v>
      </c>
      <c r="BK108" s="46">
        <v>0</v>
      </c>
      <c r="BL108" s="45">
        <v>13</v>
      </c>
      <c r="BM108" s="46">
        <v>86.66666666666667</v>
      </c>
      <c r="BN108" s="45">
        <v>15</v>
      </c>
    </row>
    <row r="109" spans="1:66" ht="15">
      <c r="A109" s="61" t="s">
        <v>337</v>
      </c>
      <c r="B109" s="61" t="s">
        <v>337</v>
      </c>
      <c r="C109" s="62"/>
      <c r="D109" s="63"/>
      <c r="E109" s="62"/>
      <c r="F109" s="65"/>
      <c r="G109" s="62"/>
      <c r="H109" s="66"/>
      <c r="I109" s="67"/>
      <c r="J109" s="67"/>
      <c r="K109" s="31" t="s">
        <v>65</v>
      </c>
      <c r="L109" s="68">
        <v>167</v>
      </c>
      <c r="M109" s="68"/>
      <c r="N109" s="69"/>
      <c r="O109" s="76" t="s">
        <v>219</v>
      </c>
      <c r="P109" s="78">
        <v>44815.583506944444</v>
      </c>
      <c r="Q109" s="76" t="s">
        <v>641</v>
      </c>
      <c r="R109" s="79" t="str">
        <f>HYPERLINK("https://www.lesechos.fr/monde/enjeux-internationaux/les-etats-unis-reclament-lunite-des-allies-contre-la-russie-1787144?xtor=CS4-6235")</f>
        <v>https://www.lesechos.fr/monde/enjeux-internationaux/les-etats-unis-reclament-lunite-des-allies-contre-la-russie-1787144?xtor=CS4-6235</v>
      </c>
      <c r="S109" s="76" t="s">
        <v>785</v>
      </c>
      <c r="T109" s="81" t="s">
        <v>822</v>
      </c>
      <c r="U109" s="76"/>
      <c r="V109" s="79" t="str">
        <f>HYPERLINK("https://pbs.twimg.com/profile_images/1564567919417298946/6MJU1pFB_normal.jpg")</f>
        <v>https://pbs.twimg.com/profile_images/1564567919417298946/6MJU1pFB_normal.jpg</v>
      </c>
      <c r="W109" s="78">
        <v>44815.583506944444</v>
      </c>
      <c r="X109" s="84">
        <v>44815</v>
      </c>
      <c r="Y109" s="81" t="s">
        <v>1001</v>
      </c>
      <c r="Z109" s="79" t="str">
        <f>HYPERLINK("https://twitter.com/brutionnepnm/status/1568962631435952131")</f>
        <v>https://twitter.com/brutionnepnm/status/1568962631435952131</v>
      </c>
      <c r="AA109" s="76"/>
      <c r="AB109" s="76"/>
      <c r="AC109" s="81" t="s">
        <v>1332</v>
      </c>
      <c r="AD109" s="76"/>
      <c r="AE109" s="76" t="b">
        <v>0</v>
      </c>
      <c r="AF109" s="76">
        <v>12</v>
      </c>
      <c r="AG109" s="81" t="s">
        <v>1674</v>
      </c>
      <c r="AH109" s="76" t="b">
        <v>0</v>
      </c>
      <c r="AI109" s="76" t="s">
        <v>1770</v>
      </c>
      <c r="AJ109" s="76"/>
      <c r="AK109" s="81" t="s">
        <v>1674</v>
      </c>
      <c r="AL109" s="76" t="b">
        <v>0</v>
      </c>
      <c r="AM109" s="76">
        <v>10</v>
      </c>
      <c r="AN109" s="81" t="s">
        <v>1674</v>
      </c>
      <c r="AO109" s="81" t="s">
        <v>1808</v>
      </c>
      <c r="AP109" s="76" t="b">
        <v>0</v>
      </c>
      <c r="AQ109" s="81" t="s">
        <v>1332</v>
      </c>
      <c r="AR109" s="76" t="s">
        <v>219</v>
      </c>
      <c r="AS109" s="76">
        <v>0</v>
      </c>
      <c r="AT109" s="76">
        <v>0</v>
      </c>
      <c r="AU109" s="76"/>
      <c r="AV109" s="76"/>
      <c r="AW109" s="76"/>
      <c r="AX109" s="76"/>
      <c r="AY109" s="76"/>
      <c r="AZ109" s="76"/>
      <c r="BA109" s="76"/>
      <c r="BB109" s="76"/>
      <c r="BC109">
        <v>2</v>
      </c>
      <c r="BD109" s="75" t="str">
        <f>REPLACE(INDEX(GroupVertices[Group],MATCH(Edges25[[#This Row],[Vertex 1]],GroupVertices[Vertex],0)),1,1,"")</f>
        <v>7</v>
      </c>
      <c r="BE109" s="75" t="str">
        <f>REPLACE(INDEX(GroupVertices[Group],MATCH(Edges25[[#This Row],[Vertex 2]],GroupVertices[Vertex],0)),1,1,"")</f>
        <v>7</v>
      </c>
      <c r="BF109" s="45">
        <v>0</v>
      </c>
      <c r="BG109" s="46">
        <v>0</v>
      </c>
      <c r="BH109" s="45">
        <v>0</v>
      </c>
      <c r="BI109" s="46">
        <v>0</v>
      </c>
      <c r="BJ109" s="45">
        <v>0</v>
      </c>
      <c r="BK109" s="46">
        <v>0</v>
      </c>
      <c r="BL109" s="45">
        <v>27</v>
      </c>
      <c r="BM109" s="46">
        <v>100</v>
      </c>
      <c r="BN109" s="45">
        <v>27</v>
      </c>
    </row>
    <row r="110" spans="1:66" ht="15">
      <c r="A110" s="61" t="s">
        <v>338</v>
      </c>
      <c r="B110" s="61" t="s">
        <v>337</v>
      </c>
      <c r="C110" s="62"/>
      <c r="D110" s="63"/>
      <c r="E110" s="62"/>
      <c r="F110" s="65"/>
      <c r="G110" s="62"/>
      <c r="H110" s="66"/>
      <c r="I110" s="67"/>
      <c r="J110" s="67"/>
      <c r="K110" s="31" t="s">
        <v>65</v>
      </c>
      <c r="L110" s="68">
        <v>168</v>
      </c>
      <c r="M110" s="68"/>
      <c r="N110" s="69"/>
      <c r="O110" s="76" t="s">
        <v>586</v>
      </c>
      <c r="P110" s="78">
        <v>44815.77458333333</v>
      </c>
      <c r="Q110" s="76" t="s">
        <v>641</v>
      </c>
      <c r="R110" s="79" t="str">
        <f>HYPERLINK("https://www.lesechos.fr/monde/enjeux-internationaux/les-etats-unis-reclament-lunite-des-allies-contre-la-russie-1787144?xtor=CS4-6235")</f>
        <v>https://www.lesechos.fr/monde/enjeux-internationaux/les-etats-unis-reclament-lunite-des-allies-contre-la-russie-1787144?xtor=CS4-6235</v>
      </c>
      <c r="S110" s="76" t="s">
        <v>785</v>
      </c>
      <c r="T110" s="81" t="s">
        <v>822</v>
      </c>
      <c r="U110" s="76"/>
      <c r="V110" s="79" t="str">
        <f>HYPERLINK("https://pbs.twimg.com/profile_images/1560875137486016513/fpVisRaj_normal.jpg")</f>
        <v>https://pbs.twimg.com/profile_images/1560875137486016513/fpVisRaj_normal.jpg</v>
      </c>
      <c r="W110" s="78">
        <v>44815.77458333333</v>
      </c>
      <c r="X110" s="84">
        <v>44815</v>
      </c>
      <c r="Y110" s="81" t="s">
        <v>1002</v>
      </c>
      <c r="Z110" s="79" t="str">
        <f>HYPERLINK("https://twitter.com/xav0621/status/1569031875074686977")</f>
        <v>https://twitter.com/xav0621/status/1569031875074686977</v>
      </c>
      <c r="AA110" s="76"/>
      <c r="AB110" s="76"/>
      <c r="AC110" s="81" t="s">
        <v>1333</v>
      </c>
      <c r="AD110" s="76"/>
      <c r="AE110" s="76" t="b">
        <v>0</v>
      </c>
      <c r="AF110" s="76">
        <v>0</v>
      </c>
      <c r="AG110" s="81" t="s">
        <v>1674</v>
      </c>
      <c r="AH110" s="76" t="b">
        <v>0</v>
      </c>
      <c r="AI110" s="76" t="s">
        <v>1770</v>
      </c>
      <c r="AJ110" s="76"/>
      <c r="AK110" s="81" t="s">
        <v>1674</v>
      </c>
      <c r="AL110" s="76" t="b">
        <v>0</v>
      </c>
      <c r="AM110" s="76">
        <v>10</v>
      </c>
      <c r="AN110" s="81" t="s">
        <v>1332</v>
      </c>
      <c r="AO110" s="81" t="s">
        <v>1808</v>
      </c>
      <c r="AP110" s="76" t="b">
        <v>0</v>
      </c>
      <c r="AQ110" s="81" t="s">
        <v>1332</v>
      </c>
      <c r="AR110" s="76" t="s">
        <v>219</v>
      </c>
      <c r="AS110" s="76">
        <v>0</v>
      </c>
      <c r="AT110" s="76">
        <v>0</v>
      </c>
      <c r="AU110" s="76"/>
      <c r="AV110" s="76"/>
      <c r="AW110" s="76"/>
      <c r="AX110" s="76"/>
      <c r="AY110" s="76"/>
      <c r="AZ110" s="76"/>
      <c r="BA110" s="76"/>
      <c r="BB110" s="76"/>
      <c r="BC110">
        <v>1</v>
      </c>
      <c r="BD110" s="75" t="str">
        <f>REPLACE(INDEX(GroupVertices[Group],MATCH(Edges25[[#This Row],[Vertex 1]],GroupVertices[Vertex],0)),1,1,"")</f>
        <v>7</v>
      </c>
      <c r="BE110" s="75" t="str">
        <f>REPLACE(INDEX(GroupVertices[Group],MATCH(Edges25[[#This Row],[Vertex 2]],GroupVertices[Vertex],0)),1,1,"")</f>
        <v>7</v>
      </c>
      <c r="BF110" s="45">
        <v>0</v>
      </c>
      <c r="BG110" s="46">
        <v>0</v>
      </c>
      <c r="BH110" s="45">
        <v>0</v>
      </c>
      <c r="BI110" s="46">
        <v>0</v>
      </c>
      <c r="BJ110" s="45">
        <v>0</v>
      </c>
      <c r="BK110" s="46">
        <v>0</v>
      </c>
      <c r="BL110" s="45">
        <v>27</v>
      </c>
      <c r="BM110" s="46">
        <v>100</v>
      </c>
      <c r="BN110" s="45">
        <v>27</v>
      </c>
    </row>
    <row r="111" spans="1:66" ht="15">
      <c r="A111" s="61" t="s">
        <v>339</v>
      </c>
      <c r="B111" s="61" t="s">
        <v>498</v>
      </c>
      <c r="C111" s="62"/>
      <c r="D111" s="63"/>
      <c r="E111" s="62"/>
      <c r="F111" s="65"/>
      <c r="G111" s="62"/>
      <c r="H111" s="66"/>
      <c r="I111" s="67"/>
      <c r="J111" s="67"/>
      <c r="K111" s="31" t="s">
        <v>65</v>
      </c>
      <c r="L111" s="68">
        <v>169</v>
      </c>
      <c r="M111" s="68"/>
      <c r="N111" s="69"/>
      <c r="O111" s="76" t="s">
        <v>587</v>
      </c>
      <c r="P111" s="78">
        <v>44815.80226851852</v>
      </c>
      <c r="Q111" s="76" t="s">
        <v>654</v>
      </c>
      <c r="R111" s="76"/>
      <c r="S111" s="76"/>
      <c r="T111" s="81" t="s">
        <v>795</v>
      </c>
      <c r="U111" s="76"/>
      <c r="V111" s="79" t="str">
        <f>HYPERLINK("https://pbs.twimg.com/profile_images/1416503095249494017/Qv3htsYe_normal.jpg")</f>
        <v>https://pbs.twimg.com/profile_images/1416503095249494017/Qv3htsYe_normal.jpg</v>
      </c>
      <c r="W111" s="78">
        <v>44815.80226851852</v>
      </c>
      <c r="X111" s="84">
        <v>44815</v>
      </c>
      <c r="Y111" s="81" t="s">
        <v>1003</v>
      </c>
      <c r="Z111" s="79" t="str">
        <f>HYPERLINK("https://twitter.com/ludwig04796864/status/1569041907963002880")</f>
        <v>https://twitter.com/ludwig04796864/status/1569041907963002880</v>
      </c>
      <c r="AA111" s="76"/>
      <c r="AB111" s="76"/>
      <c r="AC111" s="81" t="s">
        <v>1334</v>
      </c>
      <c r="AD111" s="81" t="s">
        <v>1597</v>
      </c>
      <c r="AE111" s="76" t="b">
        <v>0</v>
      </c>
      <c r="AF111" s="76">
        <v>2</v>
      </c>
      <c r="AG111" s="81" t="s">
        <v>1707</v>
      </c>
      <c r="AH111" s="76" t="b">
        <v>0</v>
      </c>
      <c r="AI111" s="76" t="s">
        <v>1770</v>
      </c>
      <c r="AJ111" s="76"/>
      <c r="AK111" s="81" t="s">
        <v>1674</v>
      </c>
      <c r="AL111" s="76" t="b">
        <v>0</v>
      </c>
      <c r="AM111" s="76">
        <v>0</v>
      </c>
      <c r="AN111" s="81" t="s">
        <v>1674</v>
      </c>
      <c r="AO111" s="81" t="s">
        <v>1808</v>
      </c>
      <c r="AP111" s="76" t="b">
        <v>0</v>
      </c>
      <c r="AQ111" s="81" t="s">
        <v>1597</v>
      </c>
      <c r="AR111" s="76" t="s">
        <v>219</v>
      </c>
      <c r="AS111" s="76">
        <v>0</v>
      </c>
      <c r="AT111" s="76">
        <v>0</v>
      </c>
      <c r="AU111" s="76"/>
      <c r="AV111" s="76"/>
      <c r="AW111" s="76"/>
      <c r="AX111" s="76"/>
      <c r="AY111" s="76"/>
      <c r="AZ111" s="76"/>
      <c r="BA111" s="76"/>
      <c r="BB111" s="76"/>
      <c r="BC111">
        <v>1</v>
      </c>
      <c r="BD111" s="75" t="str">
        <f>REPLACE(INDEX(GroupVertices[Group],MATCH(Edges25[[#This Row],[Vertex 1]],GroupVertices[Vertex],0)),1,1,"")</f>
        <v>51</v>
      </c>
      <c r="BE111" s="75" t="str">
        <f>REPLACE(INDEX(GroupVertices[Group],MATCH(Edges25[[#This Row],[Vertex 2]],GroupVertices[Vertex],0)),1,1,"")</f>
        <v>51</v>
      </c>
      <c r="BF111" s="45">
        <v>0</v>
      </c>
      <c r="BG111" s="46">
        <v>0</v>
      </c>
      <c r="BH111" s="45">
        <v>1</v>
      </c>
      <c r="BI111" s="46">
        <v>2.2222222222222223</v>
      </c>
      <c r="BJ111" s="45">
        <v>0</v>
      </c>
      <c r="BK111" s="46">
        <v>0</v>
      </c>
      <c r="BL111" s="45">
        <v>44</v>
      </c>
      <c r="BM111" s="46">
        <v>97.77777777777777</v>
      </c>
      <c r="BN111" s="45">
        <v>45</v>
      </c>
    </row>
    <row r="112" spans="1:66" ht="15">
      <c r="A112" s="61" t="s">
        <v>340</v>
      </c>
      <c r="B112" s="61" t="s">
        <v>340</v>
      </c>
      <c r="C112" s="62"/>
      <c r="D112" s="63"/>
      <c r="E112" s="62"/>
      <c r="F112" s="65"/>
      <c r="G112" s="62"/>
      <c r="H112" s="66"/>
      <c r="I112" s="67"/>
      <c r="J112" s="67"/>
      <c r="K112" s="31" t="s">
        <v>65</v>
      </c>
      <c r="L112" s="68">
        <v>170</v>
      </c>
      <c r="M112" s="68"/>
      <c r="N112" s="69"/>
      <c r="O112" s="76" t="s">
        <v>219</v>
      </c>
      <c r="P112" s="78">
        <v>44814.496875</v>
      </c>
      <c r="Q112" s="76" t="s">
        <v>630</v>
      </c>
      <c r="R112" s="76"/>
      <c r="S112" s="76"/>
      <c r="T112" s="81" t="s">
        <v>818</v>
      </c>
      <c r="U112" s="79" t="str">
        <f>HYPERLINK("https://pbs.twimg.com/ext_tw_video_thumb/1568550609225138178/pu/img/-GqFQP2LKjYRZ4Kw.jpg")</f>
        <v>https://pbs.twimg.com/ext_tw_video_thumb/1568550609225138178/pu/img/-GqFQP2LKjYRZ4Kw.jpg</v>
      </c>
      <c r="V112" s="79" t="str">
        <f>HYPERLINK("https://pbs.twimg.com/ext_tw_video_thumb/1568550609225138178/pu/img/-GqFQP2LKjYRZ4Kw.jpg")</f>
        <v>https://pbs.twimg.com/ext_tw_video_thumb/1568550609225138178/pu/img/-GqFQP2LKjYRZ4Kw.jpg</v>
      </c>
      <c r="W112" s="78">
        <v>44814.496875</v>
      </c>
      <c r="X112" s="84">
        <v>44814</v>
      </c>
      <c r="Y112" s="81" t="s">
        <v>1004</v>
      </c>
      <c r="Z112" s="79" t="str">
        <f>HYPERLINK("https://twitter.com/readovkaworld/status/1568568846495240192")</f>
        <v>https://twitter.com/readovkaworld/status/1568568846495240192</v>
      </c>
      <c r="AA112" s="76"/>
      <c r="AB112" s="76"/>
      <c r="AC112" s="81" t="s">
        <v>1335</v>
      </c>
      <c r="AD112" s="76"/>
      <c r="AE112" s="76" t="b">
        <v>0</v>
      </c>
      <c r="AF112" s="76">
        <v>8</v>
      </c>
      <c r="AG112" s="81" t="s">
        <v>1674</v>
      </c>
      <c r="AH112" s="76" t="b">
        <v>0</v>
      </c>
      <c r="AI112" s="76" t="s">
        <v>1772</v>
      </c>
      <c r="AJ112" s="76"/>
      <c r="AK112" s="81" t="s">
        <v>1674</v>
      </c>
      <c r="AL112" s="76" t="b">
        <v>0</v>
      </c>
      <c r="AM112" s="76">
        <v>3</v>
      </c>
      <c r="AN112" s="81" t="s">
        <v>1674</v>
      </c>
      <c r="AO112" s="81" t="s">
        <v>1808</v>
      </c>
      <c r="AP112" s="76" t="b">
        <v>0</v>
      </c>
      <c r="AQ112" s="81" t="s">
        <v>1335</v>
      </c>
      <c r="AR112" s="76" t="s">
        <v>219</v>
      </c>
      <c r="AS112" s="76">
        <v>0</v>
      </c>
      <c r="AT112" s="76">
        <v>0</v>
      </c>
      <c r="AU112" s="76"/>
      <c r="AV112" s="76"/>
      <c r="AW112" s="76"/>
      <c r="AX112" s="76"/>
      <c r="AY112" s="76"/>
      <c r="AZ112" s="76"/>
      <c r="BA112" s="76"/>
      <c r="BB112" s="76"/>
      <c r="BC112">
        <v>1</v>
      </c>
      <c r="BD112" s="75" t="str">
        <f>REPLACE(INDEX(GroupVertices[Group],MATCH(Edges25[[#This Row],[Vertex 1]],GroupVertices[Vertex],0)),1,1,"")</f>
        <v>28</v>
      </c>
      <c r="BE112" s="75" t="str">
        <f>REPLACE(INDEX(GroupVertices[Group],MATCH(Edges25[[#This Row],[Vertex 2]],GroupVertices[Vertex],0)),1,1,"")</f>
        <v>28</v>
      </c>
      <c r="BF112" s="45">
        <v>0</v>
      </c>
      <c r="BG112" s="46">
        <v>0</v>
      </c>
      <c r="BH112" s="45">
        <v>0</v>
      </c>
      <c r="BI112" s="46">
        <v>0</v>
      </c>
      <c r="BJ112" s="45">
        <v>0</v>
      </c>
      <c r="BK112" s="46">
        <v>0</v>
      </c>
      <c r="BL112" s="45">
        <v>24</v>
      </c>
      <c r="BM112" s="46">
        <v>100</v>
      </c>
      <c r="BN112" s="45">
        <v>24</v>
      </c>
    </row>
    <row r="113" spans="1:66" ht="15">
      <c r="A113" s="61" t="s">
        <v>341</v>
      </c>
      <c r="B113" s="61" t="s">
        <v>340</v>
      </c>
      <c r="C113" s="62"/>
      <c r="D113" s="63"/>
      <c r="E113" s="62"/>
      <c r="F113" s="65"/>
      <c r="G113" s="62"/>
      <c r="H113" s="66"/>
      <c r="I113" s="67"/>
      <c r="J113" s="67"/>
      <c r="K113" s="31" t="s">
        <v>65</v>
      </c>
      <c r="L113" s="68">
        <v>171</v>
      </c>
      <c r="M113" s="68"/>
      <c r="N113" s="69"/>
      <c r="O113" s="76" t="s">
        <v>586</v>
      </c>
      <c r="P113" s="78">
        <v>44815.81055555555</v>
      </c>
      <c r="Q113" s="76" t="s">
        <v>630</v>
      </c>
      <c r="R113" s="76"/>
      <c r="S113" s="76"/>
      <c r="T113" s="81" t="s">
        <v>818</v>
      </c>
      <c r="U113" s="79" t="str">
        <f>HYPERLINK("https://pbs.twimg.com/ext_tw_video_thumb/1568550609225138178/pu/img/-GqFQP2LKjYRZ4Kw.jpg")</f>
        <v>https://pbs.twimg.com/ext_tw_video_thumb/1568550609225138178/pu/img/-GqFQP2LKjYRZ4Kw.jpg</v>
      </c>
      <c r="V113" s="79" t="str">
        <f>HYPERLINK("https://pbs.twimg.com/ext_tw_video_thumb/1568550609225138178/pu/img/-GqFQP2LKjYRZ4Kw.jpg")</f>
        <v>https://pbs.twimg.com/ext_tw_video_thumb/1568550609225138178/pu/img/-GqFQP2LKjYRZ4Kw.jpg</v>
      </c>
      <c r="W113" s="78">
        <v>44815.81055555555</v>
      </c>
      <c r="X113" s="84">
        <v>44815</v>
      </c>
      <c r="Y113" s="81" t="s">
        <v>1005</v>
      </c>
      <c r="Z113" s="79" t="str">
        <f>HYPERLINK("https://twitter.com/edisabela1/status/1569044909780336643")</f>
        <v>https://twitter.com/edisabela1/status/1569044909780336643</v>
      </c>
      <c r="AA113" s="76"/>
      <c r="AB113" s="76"/>
      <c r="AC113" s="81" t="s">
        <v>1336</v>
      </c>
      <c r="AD113" s="76"/>
      <c r="AE113" s="76" t="b">
        <v>0</v>
      </c>
      <c r="AF113" s="76">
        <v>0</v>
      </c>
      <c r="AG113" s="81" t="s">
        <v>1674</v>
      </c>
      <c r="AH113" s="76" t="b">
        <v>0</v>
      </c>
      <c r="AI113" s="76" t="s">
        <v>1772</v>
      </c>
      <c r="AJ113" s="76"/>
      <c r="AK113" s="81" t="s">
        <v>1674</v>
      </c>
      <c r="AL113" s="76" t="b">
        <v>0</v>
      </c>
      <c r="AM113" s="76">
        <v>3</v>
      </c>
      <c r="AN113" s="81" t="s">
        <v>1335</v>
      </c>
      <c r="AO113" s="81" t="s">
        <v>1808</v>
      </c>
      <c r="AP113" s="76" t="b">
        <v>0</v>
      </c>
      <c r="AQ113" s="81" t="s">
        <v>1335</v>
      </c>
      <c r="AR113" s="76" t="s">
        <v>219</v>
      </c>
      <c r="AS113" s="76">
        <v>0</v>
      </c>
      <c r="AT113" s="76">
        <v>0</v>
      </c>
      <c r="AU113" s="76"/>
      <c r="AV113" s="76"/>
      <c r="AW113" s="76"/>
      <c r="AX113" s="76"/>
      <c r="AY113" s="76"/>
      <c r="AZ113" s="76"/>
      <c r="BA113" s="76"/>
      <c r="BB113" s="76"/>
      <c r="BC113">
        <v>1</v>
      </c>
      <c r="BD113" s="75" t="str">
        <f>REPLACE(INDEX(GroupVertices[Group],MATCH(Edges25[[#This Row],[Vertex 1]],GroupVertices[Vertex],0)),1,1,"")</f>
        <v>28</v>
      </c>
      <c r="BE113" s="75" t="str">
        <f>REPLACE(INDEX(GroupVertices[Group],MATCH(Edges25[[#This Row],[Vertex 2]],GroupVertices[Vertex],0)),1,1,"")</f>
        <v>28</v>
      </c>
      <c r="BF113" s="45">
        <v>0</v>
      </c>
      <c r="BG113" s="46">
        <v>0</v>
      </c>
      <c r="BH113" s="45">
        <v>0</v>
      </c>
      <c r="BI113" s="46">
        <v>0</v>
      </c>
      <c r="BJ113" s="45">
        <v>0</v>
      </c>
      <c r="BK113" s="46">
        <v>0</v>
      </c>
      <c r="BL113" s="45">
        <v>24</v>
      </c>
      <c r="BM113" s="46">
        <v>100</v>
      </c>
      <c r="BN113" s="45">
        <v>24</v>
      </c>
    </row>
    <row r="114" spans="1:66" ht="15">
      <c r="A114" s="61" t="s">
        <v>342</v>
      </c>
      <c r="B114" s="61" t="s">
        <v>342</v>
      </c>
      <c r="C114" s="62"/>
      <c r="D114" s="63"/>
      <c r="E114" s="62"/>
      <c r="F114" s="65"/>
      <c r="G114" s="62"/>
      <c r="H114" s="66"/>
      <c r="I114" s="67"/>
      <c r="J114" s="67"/>
      <c r="K114" s="31" t="s">
        <v>65</v>
      </c>
      <c r="L114" s="68">
        <v>172</v>
      </c>
      <c r="M114" s="68"/>
      <c r="N114" s="69"/>
      <c r="O114" s="76" t="s">
        <v>219</v>
      </c>
      <c r="P114" s="78">
        <v>44815.83321759259</v>
      </c>
      <c r="Q114" s="76" t="s">
        <v>655</v>
      </c>
      <c r="R114" s="76"/>
      <c r="S114" s="76"/>
      <c r="T114" s="81" t="s">
        <v>825</v>
      </c>
      <c r="U114" s="79" t="str">
        <f>HYPERLINK("https://pbs.twimg.com/media/FcZkP2MWYAAz3Ln.jpg")</f>
        <v>https://pbs.twimg.com/media/FcZkP2MWYAAz3Ln.jpg</v>
      </c>
      <c r="V114" s="79" t="str">
        <f>HYPERLINK("https://pbs.twimg.com/media/FcZkP2MWYAAz3Ln.jpg")</f>
        <v>https://pbs.twimg.com/media/FcZkP2MWYAAz3Ln.jpg</v>
      </c>
      <c r="W114" s="78">
        <v>44815.83321759259</v>
      </c>
      <c r="X114" s="84">
        <v>44815</v>
      </c>
      <c r="Y114" s="81" t="s">
        <v>1006</v>
      </c>
      <c r="Z114" s="79" t="str">
        <f>HYPERLINK("https://twitter.com/gerasimos2016/status/1569053122416492550")</f>
        <v>https://twitter.com/gerasimos2016/status/1569053122416492550</v>
      </c>
      <c r="AA114" s="76"/>
      <c r="AB114" s="76"/>
      <c r="AC114" s="81" t="s">
        <v>1337</v>
      </c>
      <c r="AD114" s="76"/>
      <c r="AE114" s="76" t="b">
        <v>0</v>
      </c>
      <c r="AF114" s="76">
        <v>3</v>
      </c>
      <c r="AG114" s="81" t="s">
        <v>1674</v>
      </c>
      <c r="AH114" s="76" t="b">
        <v>0</v>
      </c>
      <c r="AI114" s="76" t="s">
        <v>1773</v>
      </c>
      <c r="AJ114" s="76"/>
      <c r="AK114" s="81" t="s">
        <v>1674</v>
      </c>
      <c r="AL114" s="76" t="b">
        <v>0</v>
      </c>
      <c r="AM114" s="76">
        <v>0</v>
      </c>
      <c r="AN114" s="81" t="s">
        <v>1674</v>
      </c>
      <c r="AO114" s="81" t="s">
        <v>1808</v>
      </c>
      <c r="AP114" s="76" t="b">
        <v>0</v>
      </c>
      <c r="AQ114" s="81" t="s">
        <v>1337</v>
      </c>
      <c r="AR114" s="76" t="s">
        <v>219</v>
      </c>
      <c r="AS114" s="76">
        <v>0</v>
      </c>
      <c r="AT114" s="76">
        <v>0</v>
      </c>
      <c r="AU114" s="76"/>
      <c r="AV114" s="76"/>
      <c r="AW114" s="76"/>
      <c r="AX114" s="76"/>
      <c r="AY114" s="76"/>
      <c r="AZ114" s="76"/>
      <c r="BA114" s="76"/>
      <c r="BB114" s="76"/>
      <c r="BC114">
        <v>1</v>
      </c>
      <c r="BD114" s="75" t="str">
        <f>REPLACE(INDEX(GroupVertices[Group],MATCH(Edges25[[#This Row],[Vertex 1]],GroupVertices[Vertex],0)),1,1,"")</f>
        <v>2</v>
      </c>
      <c r="BE114" s="75" t="str">
        <f>REPLACE(INDEX(GroupVertices[Group],MATCH(Edges25[[#This Row],[Vertex 2]],GroupVertices[Vertex],0)),1,1,"")</f>
        <v>2</v>
      </c>
      <c r="BF114" s="45">
        <v>0</v>
      </c>
      <c r="BG114" s="46">
        <v>0</v>
      </c>
      <c r="BH114" s="45">
        <v>0</v>
      </c>
      <c r="BI114" s="46">
        <v>0</v>
      </c>
      <c r="BJ114" s="45">
        <v>0</v>
      </c>
      <c r="BK114" s="46">
        <v>0</v>
      </c>
      <c r="BL114" s="45">
        <v>29</v>
      </c>
      <c r="BM114" s="46">
        <v>100</v>
      </c>
      <c r="BN114" s="45">
        <v>29</v>
      </c>
    </row>
    <row r="115" spans="1:66" ht="15">
      <c r="A115" s="61" t="s">
        <v>343</v>
      </c>
      <c r="B115" s="61" t="s">
        <v>499</v>
      </c>
      <c r="C115" s="62"/>
      <c r="D115" s="63"/>
      <c r="E115" s="62"/>
      <c r="F115" s="65"/>
      <c r="G115" s="62"/>
      <c r="H115" s="66"/>
      <c r="I115" s="67"/>
      <c r="J115" s="67"/>
      <c r="K115" s="31" t="s">
        <v>65</v>
      </c>
      <c r="L115" s="68">
        <v>173</v>
      </c>
      <c r="M115" s="68"/>
      <c r="N115" s="69"/>
      <c r="O115" s="76" t="s">
        <v>587</v>
      </c>
      <c r="P115" s="78">
        <v>44815.834189814814</v>
      </c>
      <c r="Q115" s="76" t="s">
        <v>656</v>
      </c>
      <c r="R115" s="76"/>
      <c r="S115" s="76"/>
      <c r="T115" s="81" t="s">
        <v>795</v>
      </c>
      <c r="U115" s="76"/>
      <c r="V115" s="79" t="str">
        <f>HYPERLINK("https://pbs.twimg.com/profile_images/1378351175867772930/4wwCmQbY_normal.jpg")</f>
        <v>https://pbs.twimg.com/profile_images/1378351175867772930/4wwCmQbY_normal.jpg</v>
      </c>
      <c r="W115" s="78">
        <v>44815.834189814814</v>
      </c>
      <c r="X115" s="84">
        <v>44815</v>
      </c>
      <c r="Y115" s="81" t="s">
        <v>1007</v>
      </c>
      <c r="Z115" s="79" t="str">
        <f>HYPERLINK("https://twitter.com/aleksandarcbl/status/1569053473823686656")</f>
        <v>https://twitter.com/aleksandarcbl/status/1569053473823686656</v>
      </c>
      <c r="AA115" s="76"/>
      <c r="AB115" s="76"/>
      <c r="AC115" s="81" t="s">
        <v>1338</v>
      </c>
      <c r="AD115" s="81" t="s">
        <v>1598</v>
      </c>
      <c r="AE115" s="76" t="b">
        <v>0</v>
      </c>
      <c r="AF115" s="76">
        <v>1</v>
      </c>
      <c r="AG115" s="81" t="s">
        <v>1708</v>
      </c>
      <c r="AH115" s="76" t="b">
        <v>0</v>
      </c>
      <c r="AI115" s="76" t="s">
        <v>1772</v>
      </c>
      <c r="AJ115" s="76"/>
      <c r="AK115" s="81" t="s">
        <v>1674</v>
      </c>
      <c r="AL115" s="76" t="b">
        <v>0</v>
      </c>
      <c r="AM115" s="76">
        <v>0</v>
      </c>
      <c r="AN115" s="81" t="s">
        <v>1674</v>
      </c>
      <c r="AO115" s="81" t="s">
        <v>1807</v>
      </c>
      <c r="AP115" s="76" t="b">
        <v>0</v>
      </c>
      <c r="AQ115" s="81" t="s">
        <v>1598</v>
      </c>
      <c r="AR115" s="76" t="s">
        <v>219</v>
      </c>
      <c r="AS115" s="76">
        <v>0</v>
      </c>
      <c r="AT115" s="76">
        <v>0</v>
      </c>
      <c r="AU115" s="76"/>
      <c r="AV115" s="76"/>
      <c r="AW115" s="76"/>
      <c r="AX115" s="76"/>
      <c r="AY115" s="76"/>
      <c r="AZ115" s="76"/>
      <c r="BA115" s="76"/>
      <c r="BB115" s="76"/>
      <c r="BC115">
        <v>1</v>
      </c>
      <c r="BD115" s="75" t="str">
        <f>REPLACE(INDEX(GroupVertices[Group],MATCH(Edges25[[#This Row],[Vertex 1]],GroupVertices[Vertex],0)),1,1,"")</f>
        <v>50</v>
      </c>
      <c r="BE115" s="75" t="str">
        <f>REPLACE(INDEX(GroupVertices[Group],MATCH(Edges25[[#This Row],[Vertex 2]],GroupVertices[Vertex],0)),1,1,"")</f>
        <v>50</v>
      </c>
      <c r="BF115" s="45">
        <v>3</v>
      </c>
      <c r="BG115" s="46">
        <v>30</v>
      </c>
      <c r="BH115" s="45">
        <v>0</v>
      </c>
      <c r="BI115" s="46">
        <v>0</v>
      </c>
      <c r="BJ115" s="45">
        <v>0</v>
      </c>
      <c r="BK115" s="46">
        <v>0</v>
      </c>
      <c r="BL115" s="45">
        <v>7</v>
      </c>
      <c r="BM115" s="46">
        <v>70</v>
      </c>
      <c r="BN115" s="45">
        <v>10</v>
      </c>
    </row>
    <row r="116" spans="1:66" ht="15">
      <c r="A116" s="61" t="s">
        <v>344</v>
      </c>
      <c r="B116" s="61" t="s">
        <v>414</v>
      </c>
      <c r="C116" s="62"/>
      <c r="D116" s="63"/>
      <c r="E116" s="62"/>
      <c r="F116" s="65"/>
      <c r="G116" s="62"/>
      <c r="H116" s="66"/>
      <c r="I116" s="67"/>
      <c r="J116" s="67"/>
      <c r="K116" s="31" t="s">
        <v>65</v>
      </c>
      <c r="L116" s="68">
        <v>174</v>
      </c>
      <c r="M116" s="68"/>
      <c r="N116" s="69"/>
      <c r="O116" s="76" t="s">
        <v>586</v>
      </c>
      <c r="P116" s="78">
        <v>44815.88743055556</v>
      </c>
      <c r="Q116" s="76" t="s">
        <v>657</v>
      </c>
      <c r="R116" s="76"/>
      <c r="S116" s="76"/>
      <c r="T116" s="81" t="s">
        <v>819</v>
      </c>
      <c r="U116" s="76"/>
      <c r="V116" s="79" t="str">
        <f>HYPERLINK("https://abs.twimg.com/sticky/default_profile_images/default_profile_normal.png")</f>
        <v>https://abs.twimg.com/sticky/default_profile_images/default_profile_normal.png</v>
      </c>
      <c r="W116" s="78">
        <v>44815.88743055556</v>
      </c>
      <c r="X116" s="84">
        <v>44815</v>
      </c>
      <c r="Y116" s="81" t="s">
        <v>1008</v>
      </c>
      <c r="Z116" s="79" t="str">
        <f>HYPERLINK("https://twitter.com/levent42402926/status/1569072767898640384")</f>
        <v>https://twitter.com/levent42402926/status/1569072767898640384</v>
      </c>
      <c r="AA116" s="76"/>
      <c r="AB116" s="76"/>
      <c r="AC116" s="81" t="s">
        <v>1339</v>
      </c>
      <c r="AD116" s="76"/>
      <c r="AE116" s="76" t="b">
        <v>0</v>
      </c>
      <c r="AF116" s="76">
        <v>0</v>
      </c>
      <c r="AG116" s="81" t="s">
        <v>1674</v>
      </c>
      <c r="AH116" s="76" t="b">
        <v>0</v>
      </c>
      <c r="AI116" s="76" t="s">
        <v>1771</v>
      </c>
      <c r="AJ116" s="76"/>
      <c r="AK116" s="81" t="s">
        <v>1674</v>
      </c>
      <c r="AL116" s="76" t="b">
        <v>0</v>
      </c>
      <c r="AM116" s="76">
        <v>2</v>
      </c>
      <c r="AN116" s="81" t="s">
        <v>1451</v>
      </c>
      <c r="AO116" s="81" t="s">
        <v>1807</v>
      </c>
      <c r="AP116" s="76" t="b">
        <v>0</v>
      </c>
      <c r="AQ116" s="81" t="s">
        <v>1451</v>
      </c>
      <c r="AR116" s="76" t="s">
        <v>219</v>
      </c>
      <c r="AS116" s="76">
        <v>0</v>
      </c>
      <c r="AT116" s="76">
        <v>0</v>
      </c>
      <c r="AU116" s="76"/>
      <c r="AV116" s="76"/>
      <c r="AW116" s="76"/>
      <c r="AX116" s="76"/>
      <c r="AY116" s="76"/>
      <c r="AZ116" s="76"/>
      <c r="BA116" s="76"/>
      <c r="BB116" s="76"/>
      <c r="BC116">
        <v>1</v>
      </c>
      <c r="BD116" s="75" t="str">
        <f>REPLACE(INDEX(GroupVertices[Group],MATCH(Edges25[[#This Row],[Vertex 1]],GroupVertices[Vertex],0)),1,1,"")</f>
        <v>3</v>
      </c>
      <c r="BE116" s="75" t="str">
        <f>REPLACE(INDEX(GroupVertices[Group],MATCH(Edges25[[#This Row],[Vertex 2]],GroupVertices[Vertex],0)),1,1,"")</f>
        <v>3</v>
      </c>
      <c r="BF116" s="45">
        <v>0</v>
      </c>
      <c r="BG116" s="46">
        <v>0</v>
      </c>
      <c r="BH116" s="45">
        <v>0</v>
      </c>
      <c r="BI116" s="46">
        <v>0</v>
      </c>
      <c r="BJ116" s="45">
        <v>0</v>
      </c>
      <c r="BK116" s="46">
        <v>0</v>
      </c>
      <c r="BL116" s="45">
        <v>20</v>
      </c>
      <c r="BM116" s="46">
        <v>100</v>
      </c>
      <c r="BN116" s="45">
        <v>20</v>
      </c>
    </row>
    <row r="117" spans="1:66" ht="15">
      <c r="A117" s="61" t="s">
        <v>345</v>
      </c>
      <c r="B117" s="61" t="s">
        <v>345</v>
      </c>
      <c r="C117" s="62"/>
      <c r="D117" s="63"/>
      <c r="E117" s="62"/>
      <c r="F117" s="65"/>
      <c r="G117" s="62"/>
      <c r="H117" s="66"/>
      <c r="I117" s="67"/>
      <c r="J117" s="67"/>
      <c r="K117" s="31" t="s">
        <v>65</v>
      </c>
      <c r="L117" s="68">
        <v>175</v>
      </c>
      <c r="M117" s="68"/>
      <c r="N117" s="69"/>
      <c r="O117" s="76" t="s">
        <v>219</v>
      </c>
      <c r="P117" s="78">
        <v>44815.97927083333</v>
      </c>
      <c r="Q117" s="76" t="s">
        <v>658</v>
      </c>
      <c r="R117" s="79" t="str">
        <f>HYPERLINK("https://www.adelaide.edu.au/newsroom/news/list/2022/09/08/bots-manipulate-public-opinion-in-russia-ukraine-conflict")</f>
        <v>https://www.adelaide.edu.au/newsroom/news/list/2022/09/08/bots-manipulate-public-opinion-in-russia-ukraine-conflict</v>
      </c>
      <c r="S117" s="76" t="s">
        <v>786</v>
      </c>
      <c r="T117" s="81" t="s">
        <v>795</v>
      </c>
      <c r="U117" s="79" t="str">
        <f>HYPERLINK("https://pbs.twimg.com/media/FcaVS3ZXEAElLV9.jpg")</f>
        <v>https://pbs.twimg.com/media/FcaVS3ZXEAElLV9.jpg</v>
      </c>
      <c r="V117" s="79" t="str">
        <f>HYPERLINK("https://pbs.twimg.com/media/FcaVS3ZXEAElLV9.jpg")</f>
        <v>https://pbs.twimg.com/media/FcaVS3ZXEAElLV9.jpg</v>
      </c>
      <c r="W117" s="78">
        <v>44815.97927083333</v>
      </c>
      <c r="X117" s="84">
        <v>44815</v>
      </c>
      <c r="Y117" s="81" t="s">
        <v>1009</v>
      </c>
      <c r="Z117" s="79" t="str">
        <f>HYPERLINK("https://twitter.com/urlodellavolpe/status/1569106050837610496")</f>
        <v>https://twitter.com/urlodellavolpe/status/1569106050837610496</v>
      </c>
      <c r="AA117" s="76"/>
      <c r="AB117" s="76"/>
      <c r="AC117" s="81" t="s">
        <v>1340</v>
      </c>
      <c r="AD117" s="76"/>
      <c r="AE117" s="76" t="b">
        <v>0</v>
      </c>
      <c r="AF117" s="76">
        <v>0</v>
      </c>
      <c r="AG117" s="81" t="s">
        <v>1674</v>
      </c>
      <c r="AH117" s="76" t="b">
        <v>0</v>
      </c>
      <c r="AI117" s="76" t="s">
        <v>1776</v>
      </c>
      <c r="AJ117" s="76"/>
      <c r="AK117" s="81" t="s">
        <v>1674</v>
      </c>
      <c r="AL117" s="76" t="b">
        <v>0</v>
      </c>
      <c r="AM117" s="76">
        <v>0</v>
      </c>
      <c r="AN117" s="81" t="s">
        <v>1674</v>
      </c>
      <c r="AO117" s="81" t="s">
        <v>1808</v>
      </c>
      <c r="AP117" s="76" t="b">
        <v>0</v>
      </c>
      <c r="AQ117" s="81" t="s">
        <v>1340</v>
      </c>
      <c r="AR117" s="76" t="s">
        <v>219</v>
      </c>
      <c r="AS117" s="76">
        <v>0</v>
      </c>
      <c r="AT117" s="76">
        <v>0</v>
      </c>
      <c r="AU117" s="76"/>
      <c r="AV117" s="76"/>
      <c r="AW117" s="76"/>
      <c r="AX117" s="76"/>
      <c r="AY117" s="76"/>
      <c r="AZ117" s="76"/>
      <c r="BA117" s="76"/>
      <c r="BB117" s="76"/>
      <c r="BC117">
        <v>1</v>
      </c>
      <c r="BD117" s="75" t="str">
        <f>REPLACE(INDEX(GroupVertices[Group],MATCH(Edges25[[#This Row],[Vertex 1]],GroupVertices[Vertex],0)),1,1,"")</f>
        <v>2</v>
      </c>
      <c r="BE117" s="75" t="str">
        <f>REPLACE(INDEX(GroupVertices[Group],MATCH(Edges25[[#This Row],[Vertex 2]],GroupVertices[Vertex],0)),1,1,"")</f>
        <v>2</v>
      </c>
      <c r="BF117" s="45">
        <v>0</v>
      </c>
      <c r="BG117" s="46">
        <v>0</v>
      </c>
      <c r="BH117" s="45">
        <v>0</v>
      </c>
      <c r="BI117" s="46">
        <v>0</v>
      </c>
      <c r="BJ117" s="45">
        <v>0</v>
      </c>
      <c r="BK117" s="46">
        <v>0</v>
      </c>
      <c r="BL117" s="45">
        <v>34</v>
      </c>
      <c r="BM117" s="46">
        <v>100</v>
      </c>
      <c r="BN117" s="45">
        <v>34</v>
      </c>
    </row>
    <row r="118" spans="1:66" ht="15">
      <c r="A118" s="61" t="s">
        <v>346</v>
      </c>
      <c r="B118" s="61" t="s">
        <v>346</v>
      </c>
      <c r="C118" s="62"/>
      <c r="D118" s="63"/>
      <c r="E118" s="62"/>
      <c r="F118" s="65"/>
      <c r="G118" s="62"/>
      <c r="H118" s="66"/>
      <c r="I118" s="67"/>
      <c r="J118" s="67"/>
      <c r="K118" s="31" t="s">
        <v>65</v>
      </c>
      <c r="L118" s="68">
        <v>176</v>
      </c>
      <c r="M118" s="68"/>
      <c r="N118" s="69"/>
      <c r="O118" s="76" t="s">
        <v>219</v>
      </c>
      <c r="P118" s="78">
        <v>44816.013333333336</v>
      </c>
      <c r="Q118" s="76" t="s">
        <v>659</v>
      </c>
      <c r="R118" s="76"/>
      <c r="S118" s="76"/>
      <c r="T118" s="81" t="s">
        <v>826</v>
      </c>
      <c r="U118" s="79" t="str">
        <f>HYPERLINK("https://pbs.twimg.com/media/Fcag0L1aAAEluRw.jpg")</f>
        <v>https://pbs.twimg.com/media/Fcag0L1aAAEluRw.jpg</v>
      </c>
      <c r="V118" s="79" t="str">
        <f>HYPERLINK("https://pbs.twimg.com/media/Fcag0L1aAAEluRw.jpg")</f>
        <v>https://pbs.twimg.com/media/Fcag0L1aAAEluRw.jpg</v>
      </c>
      <c r="W118" s="78">
        <v>44816.013333333336</v>
      </c>
      <c r="X118" s="84">
        <v>44816</v>
      </c>
      <c r="Y118" s="81" t="s">
        <v>1010</v>
      </c>
      <c r="Z118" s="79" t="str">
        <f>HYPERLINK("https://twitter.com/terrorsyndicate/status/1569118392589905925")</f>
        <v>https://twitter.com/terrorsyndicate/status/1569118392589905925</v>
      </c>
      <c r="AA118" s="76"/>
      <c r="AB118" s="76"/>
      <c r="AC118" s="81" t="s">
        <v>1341</v>
      </c>
      <c r="AD118" s="76"/>
      <c r="AE118" s="76" t="b">
        <v>0</v>
      </c>
      <c r="AF118" s="76">
        <v>0</v>
      </c>
      <c r="AG118" s="81" t="s">
        <v>1674</v>
      </c>
      <c r="AH118" s="76" t="b">
        <v>0</v>
      </c>
      <c r="AI118" s="76" t="s">
        <v>1772</v>
      </c>
      <c r="AJ118" s="76"/>
      <c r="AK118" s="81" t="s">
        <v>1674</v>
      </c>
      <c r="AL118" s="76" t="b">
        <v>0</v>
      </c>
      <c r="AM118" s="76">
        <v>0</v>
      </c>
      <c r="AN118" s="81" t="s">
        <v>1674</v>
      </c>
      <c r="AO118" s="81" t="s">
        <v>1807</v>
      </c>
      <c r="AP118" s="76" t="b">
        <v>0</v>
      </c>
      <c r="AQ118" s="81" t="s">
        <v>1341</v>
      </c>
      <c r="AR118" s="76" t="s">
        <v>219</v>
      </c>
      <c r="AS118" s="76">
        <v>0</v>
      </c>
      <c r="AT118" s="76">
        <v>0</v>
      </c>
      <c r="AU118" s="76"/>
      <c r="AV118" s="76"/>
      <c r="AW118" s="76"/>
      <c r="AX118" s="76"/>
      <c r="AY118" s="76"/>
      <c r="AZ118" s="76"/>
      <c r="BA118" s="76"/>
      <c r="BB118" s="76"/>
      <c r="BC118">
        <v>1</v>
      </c>
      <c r="BD118" s="75" t="str">
        <f>REPLACE(INDEX(GroupVertices[Group],MATCH(Edges25[[#This Row],[Vertex 1]],GroupVertices[Vertex],0)),1,1,"")</f>
        <v>2</v>
      </c>
      <c r="BE118" s="75" t="str">
        <f>REPLACE(INDEX(GroupVertices[Group],MATCH(Edges25[[#This Row],[Vertex 2]],GroupVertices[Vertex],0)),1,1,"")</f>
        <v>2</v>
      </c>
      <c r="BF118" s="45">
        <v>0</v>
      </c>
      <c r="BG118" s="46">
        <v>0</v>
      </c>
      <c r="BH118" s="45">
        <v>0</v>
      </c>
      <c r="BI118" s="46">
        <v>0</v>
      </c>
      <c r="BJ118" s="45">
        <v>0</v>
      </c>
      <c r="BK118" s="46">
        <v>0</v>
      </c>
      <c r="BL118" s="45">
        <v>7</v>
      </c>
      <c r="BM118" s="46">
        <v>100</v>
      </c>
      <c r="BN118" s="45">
        <v>7</v>
      </c>
    </row>
    <row r="119" spans="1:66" ht="15">
      <c r="A119" s="61" t="s">
        <v>347</v>
      </c>
      <c r="B119" s="61" t="s">
        <v>347</v>
      </c>
      <c r="C119" s="62"/>
      <c r="D119" s="63"/>
      <c r="E119" s="62"/>
      <c r="F119" s="65"/>
      <c r="G119" s="62"/>
      <c r="H119" s="66"/>
      <c r="I119" s="67"/>
      <c r="J119" s="67"/>
      <c r="K119" s="31" t="s">
        <v>65</v>
      </c>
      <c r="L119" s="68">
        <v>177</v>
      </c>
      <c r="M119" s="68"/>
      <c r="N119" s="69"/>
      <c r="O119" s="76" t="s">
        <v>219</v>
      </c>
      <c r="P119" s="78">
        <v>44816.024722222224</v>
      </c>
      <c r="Q119" s="76" t="s">
        <v>660</v>
      </c>
      <c r="R119" s="76"/>
      <c r="S119" s="76"/>
      <c r="T119" s="81" t="s">
        <v>827</v>
      </c>
      <c r="U119" s="76"/>
      <c r="V119" s="79" t="str">
        <f>HYPERLINK("https://pbs.twimg.com/profile_images/1327258725435006982/FoaJR013_normal.jpg")</f>
        <v>https://pbs.twimg.com/profile_images/1327258725435006982/FoaJR013_normal.jpg</v>
      </c>
      <c r="W119" s="78">
        <v>44816.024722222224</v>
      </c>
      <c r="X119" s="84">
        <v>44816</v>
      </c>
      <c r="Y119" s="81" t="s">
        <v>1011</v>
      </c>
      <c r="Z119" s="79" t="str">
        <f>HYPERLINK("https://twitter.com/jameswmoore/status/1569122521768759297")</f>
        <v>https://twitter.com/jameswmoore/status/1569122521768759297</v>
      </c>
      <c r="AA119" s="76"/>
      <c r="AB119" s="76"/>
      <c r="AC119" s="81" t="s">
        <v>1342</v>
      </c>
      <c r="AD119" s="76"/>
      <c r="AE119" s="76" t="b">
        <v>0</v>
      </c>
      <c r="AF119" s="76">
        <v>0</v>
      </c>
      <c r="AG119" s="81" t="s">
        <v>1674</v>
      </c>
      <c r="AH119" s="76" t="b">
        <v>0</v>
      </c>
      <c r="AI119" s="76" t="s">
        <v>1773</v>
      </c>
      <c r="AJ119" s="76"/>
      <c r="AK119" s="81" t="s">
        <v>1674</v>
      </c>
      <c r="AL119" s="76" t="b">
        <v>0</v>
      </c>
      <c r="AM119" s="76">
        <v>0</v>
      </c>
      <c r="AN119" s="81" t="s">
        <v>1674</v>
      </c>
      <c r="AO119" s="81" t="s">
        <v>1808</v>
      </c>
      <c r="AP119" s="76" t="b">
        <v>0</v>
      </c>
      <c r="AQ119" s="81" t="s">
        <v>1342</v>
      </c>
      <c r="AR119" s="76" t="s">
        <v>219</v>
      </c>
      <c r="AS119" s="76">
        <v>0</v>
      </c>
      <c r="AT119" s="76">
        <v>0</v>
      </c>
      <c r="AU119" s="76"/>
      <c r="AV119" s="76"/>
      <c r="AW119" s="76"/>
      <c r="AX119" s="76"/>
      <c r="AY119" s="76"/>
      <c r="AZ119" s="76"/>
      <c r="BA119" s="76"/>
      <c r="BB119" s="76"/>
      <c r="BC119">
        <v>1</v>
      </c>
      <c r="BD119" s="75" t="str">
        <f>REPLACE(INDEX(GroupVertices[Group],MATCH(Edges25[[#This Row],[Vertex 1]],GroupVertices[Vertex],0)),1,1,"")</f>
        <v>2</v>
      </c>
      <c r="BE119" s="75" t="str">
        <f>REPLACE(INDEX(GroupVertices[Group],MATCH(Edges25[[#This Row],[Vertex 2]],GroupVertices[Vertex],0)),1,1,"")</f>
        <v>2</v>
      </c>
      <c r="BF119" s="45">
        <v>0</v>
      </c>
      <c r="BG119" s="46">
        <v>0</v>
      </c>
      <c r="BH119" s="45">
        <v>0</v>
      </c>
      <c r="BI119" s="46">
        <v>0</v>
      </c>
      <c r="BJ119" s="45">
        <v>0</v>
      </c>
      <c r="BK119" s="46">
        <v>0</v>
      </c>
      <c r="BL119" s="45">
        <v>19</v>
      </c>
      <c r="BM119" s="46">
        <v>100</v>
      </c>
      <c r="BN119" s="45">
        <v>19</v>
      </c>
    </row>
    <row r="120" spans="1:66" ht="15">
      <c r="A120" s="61" t="s">
        <v>348</v>
      </c>
      <c r="B120" s="61" t="s">
        <v>500</v>
      </c>
      <c r="C120" s="62"/>
      <c r="D120" s="63"/>
      <c r="E120" s="62"/>
      <c r="F120" s="65"/>
      <c r="G120" s="62"/>
      <c r="H120" s="66"/>
      <c r="I120" s="67"/>
      <c r="J120" s="67"/>
      <c r="K120" s="31" t="s">
        <v>65</v>
      </c>
      <c r="L120" s="68">
        <v>178</v>
      </c>
      <c r="M120" s="68"/>
      <c r="N120" s="69"/>
      <c r="O120" s="76" t="s">
        <v>588</v>
      </c>
      <c r="P120" s="78">
        <v>44620.96212962963</v>
      </c>
      <c r="Q120" s="76" t="s">
        <v>661</v>
      </c>
      <c r="R120" s="76"/>
      <c r="S120" s="76"/>
      <c r="T120" s="81" t="s">
        <v>828</v>
      </c>
      <c r="U120" s="79" t="str">
        <f>HYPERLINK("https://pbs.twimg.com/media/FMuBznOagAQTSWL.jpg")</f>
        <v>https://pbs.twimg.com/media/FMuBznOagAQTSWL.jpg</v>
      </c>
      <c r="V120" s="79" t="str">
        <f>HYPERLINK("https://pbs.twimg.com/media/FMuBznOagAQTSWL.jpg")</f>
        <v>https://pbs.twimg.com/media/FMuBznOagAQTSWL.jpg</v>
      </c>
      <c r="W120" s="78">
        <v>44620.96212962963</v>
      </c>
      <c r="X120" s="84">
        <v>44620</v>
      </c>
      <c r="Y120" s="81" t="s">
        <v>1012</v>
      </c>
      <c r="Z120" s="79" t="str">
        <f>HYPERLINK("https://twitter.com/spicymanit/status/1498434204207841280")</f>
        <v>https://twitter.com/spicymanit/status/1498434204207841280</v>
      </c>
      <c r="AA120" s="76"/>
      <c r="AB120" s="76"/>
      <c r="AC120" s="81" t="s">
        <v>1343</v>
      </c>
      <c r="AD120" s="76"/>
      <c r="AE120" s="76" t="b">
        <v>0</v>
      </c>
      <c r="AF120" s="76">
        <v>22</v>
      </c>
      <c r="AG120" s="81" t="s">
        <v>1674</v>
      </c>
      <c r="AH120" s="76" t="b">
        <v>0</v>
      </c>
      <c r="AI120" s="76" t="s">
        <v>1772</v>
      </c>
      <c r="AJ120" s="76"/>
      <c r="AK120" s="81" t="s">
        <v>1674</v>
      </c>
      <c r="AL120" s="76" t="b">
        <v>0</v>
      </c>
      <c r="AM120" s="76">
        <v>4</v>
      </c>
      <c r="AN120" s="81" t="s">
        <v>1674</v>
      </c>
      <c r="AO120" s="81" t="s">
        <v>1808</v>
      </c>
      <c r="AP120" s="76" t="b">
        <v>0</v>
      </c>
      <c r="AQ120" s="81" t="s">
        <v>1343</v>
      </c>
      <c r="AR120" s="76" t="s">
        <v>586</v>
      </c>
      <c r="AS120" s="76">
        <v>0</v>
      </c>
      <c r="AT120" s="76">
        <v>0</v>
      </c>
      <c r="AU120" s="76"/>
      <c r="AV120" s="76"/>
      <c r="AW120" s="76"/>
      <c r="AX120" s="76"/>
      <c r="AY120" s="76"/>
      <c r="AZ120" s="76"/>
      <c r="BA120" s="76"/>
      <c r="BB120" s="76"/>
      <c r="BC120">
        <v>1</v>
      </c>
      <c r="BD120" s="75" t="str">
        <f>REPLACE(INDEX(GroupVertices[Group],MATCH(Edges25[[#This Row],[Vertex 1]],GroupVertices[Vertex],0)),1,1,"")</f>
        <v>23</v>
      </c>
      <c r="BE120" s="75" t="str">
        <f>REPLACE(INDEX(GroupVertices[Group],MATCH(Edges25[[#This Row],[Vertex 2]],GroupVertices[Vertex],0)),1,1,"")</f>
        <v>23</v>
      </c>
      <c r="BF120" s="45"/>
      <c r="BG120" s="46"/>
      <c r="BH120" s="45"/>
      <c r="BI120" s="46"/>
      <c r="BJ120" s="45"/>
      <c r="BK120" s="46"/>
      <c r="BL120" s="45"/>
      <c r="BM120" s="46"/>
      <c r="BN120" s="45"/>
    </row>
    <row r="121" spans="1:66" ht="15">
      <c r="A121" s="61" t="s">
        <v>349</v>
      </c>
      <c r="B121" s="61" t="s">
        <v>500</v>
      </c>
      <c r="C121" s="62"/>
      <c r="D121" s="63"/>
      <c r="E121" s="62"/>
      <c r="F121" s="65"/>
      <c r="G121" s="62"/>
      <c r="H121" s="66"/>
      <c r="I121" s="67"/>
      <c r="J121" s="67"/>
      <c r="K121" s="31" t="s">
        <v>65</v>
      </c>
      <c r="L121" s="68">
        <v>179</v>
      </c>
      <c r="M121" s="68"/>
      <c r="N121" s="69"/>
      <c r="O121" s="76" t="s">
        <v>585</v>
      </c>
      <c r="P121" s="78">
        <v>44816.075</v>
      </c>
      <c r="Q121" s="76" t="s">
        <v>661</v>
      </c>
      <c r="R121" s="76"/>
      <c r="S121" s="76"/>
      <c r="T121" s="81" t="s">
        <v>828</v>
      </c>
      <c r="U121" s="79" t="str">
        <f>HYPERLINK("https://pbs.twimg.com/media/FMuBznOagAQTSWL.jpg")</f>
        <v>https://pbs.twimg.com/media/FMuBznOagAQTSWL.jpg</v>
      </c>
      <c r="V121" s="79" t="str">
        <f>HYPERLINK("https://pbs.twimg.com/media/FMuBznOagAQTSWL.jpg")</f>
        <v>https://pbs.twimg.com/media/FMuBznOagAQTSWL.jpg</v>
      </c>
      <c r="W121" s="78">
        <v>44816.075</v>
      </c>
      <c r="X121" s="84">
        <v>44816</v>
      </c>
      <c r="Y121" s="81" t="s">
        <v>1013</v>
      </c>
      <c r="Z121" s="79" t="str">
        <f>HYPERLINK("https://twitter.com/maier_maier8/status/1569140739912630276")</f>
        <v>https://twitter.com/maier_maier8/status/1569140739912630276</v>
      </c>
      <c r="AA121" s="76"/>
      <c r="AB121" s="76"/>
      <c r="AC121" s="81" t="s">
        <v>1344</v>
      </c>
      <c r="AD121" s="76"/>
      <c r="AE121" s="76" t="b">
        <v>0</v>
      </c>
      <c r="AF121" s="76">
        <v>0</v>
      </c>
      <c r="AG121" s="81" t="s">
        <v>1674</v>
      </c>
      <c r="AH121" s="76" t="b">
        <v>0</v>
      </c>
      <c r="AI121" s="76" t="s">
        <v>1772</v>
      </c>
      <c r="AJ121" s="76"/>
      <c r="AK121" s="81" t="s">
        <v>1674</v>
      </c>
      <c r="AL121" s="76" t="b">
        <v>0</v>
      </c>
      <c r="AM121" s="76">
        <v>4</v>
      </c>
      <c r="AN121" s="81" t="s">
        <v>1343</v>
      </c>
      <c r="AO121" s="81" t="s">
        <v>1809</v>
      </c>
      <c r="AP121" s="76" t="b">
        <v>0</v>
      </c>
      <c r="AQ121" s="81" t="s">
        <v>1343</v>
      </c>
      <c r="AR121" s="76" t="s">
        <v>219</v>
      </c>
      <c r="AS121" s="76">
        <v>0</v>
      </c>
      <c r="AT121" s="76">
        <v>0</v>
      </c>
      <c r="AU121" s="76"/>
      <c r="AV121" s="76"/>
      <c r="AW121" s="76"/>
      <c r="AX121" s="76"/>
      <c r="AY121" s="76"/>
      <c r="AZ121" s="76"/>
      <c r="BA121" s="76"/>
      <c r="BB121" s="76"/>
      <c r="BC121">
        <v>1</v>
      </c>
      <c r="BD121" s="75" t="str">
        <f>REPLACE(INDEX(GroupVertices[Group],MATCH(Edges25[[#This Row],[Vertex 1]],GroupVertices[Vertex],0)),1,1,"")</f>
        <v>23</v>
      </c>
      <c r="BE121" s="75" t="str">
        <f>REPLACE(INDEX(GroupVertices[Group],MATCH(Edges25[[#This Row],[Vertex 2]],GroupVertices[Vertex],0)),1,1,"")</f>
        <v>23</v>
      </c>
      <c r="BF121" s="45"/>
      <c r="BG121" s="46"/>
      <c r="BH121" s="45"/>
      <c r="BI121" s="46"/>
      <c r="BJ121" s="45"/>
      <c r="BK121" s="46"/>
      <c r="BL121" s="45"/>
      <c r="BM121" s="46"/>
      <c r="BN121" s="45"/>
    </row>
    <row r="122" spans="1:66" ht="15">
      <c r="A122" s="61" t="s">
        <v>350</v>
      </c>
      <c r="B122" s="61" t="s">
        <v>350</v>
      </c>
      <c r="C122" s="62"/>
      <c r="D122" s="63"/>
      <c r="E122" s="62"/>
      <c r="F122" s="65"/>
      <c r="G122" s="62"/>
      <c r="H122" s="66"/>
      <c r="I122" s="67"/>
      <c r="J122" s="67"/>
      <c r="K122" s="31" t="s">
        <v>65</v>
      </c>
      <c r="L122" s="68">
        <v>183</v>
      </c>
      <c r="M122" s="68"/>
      <c r="N122" s="69"/>
      <c r="O122" s="76" t="s">
        <v>219</v>
      </c>
      <c r="P122" s="78">
        <v>44816.246875</v>
      </c>
      <c r="Q122" s="76" t="s">
        <v>662</v>
      </c>
      <c r="R122" s="76"/>
      <c r="S122" s="76"/>
      <c r="T122" s="81" t="s">
        <v>829</v>
      </c>
      <c r="U122" s="76"/>
      <c r="V122" s="79" t="str">
        <f>HYPERLINK("https://pbs.twimg.com/profile_images/1348253593166622722/BNCnH0Ev_normal.jpg")</f>
        <v>https://pbs.twimg.com/profile_images/1348253593166622722/BNCnH0Ev_normal.jpg</v>
      </c>
      <c r="W122" s="78">
        <v>44816.246875</v>
      </c>
      <c r="X122" s="84">
        <v>44816</v>
      </c>
      <c r="Y122" s="81" t="s">
        <v>1014</v>
      </c>
      <c r="Z122" s="79" t="str">
        <f>HYPERLINK("https://twitter.com/freescotsman92/status/1569203025440276480")</f>
        <v>https://twitter.com/freescotsman92/status/1569203025440276480</v>
      </c>
      <c r="AA122" s="76"/>
      <c r="AB122" s="76"/>
      <c r="AC122" s="81" t="s">
        <v>1345</v>
      </c>
      <c r="AD122" s="76"/>
      <c r="AE122" s="76" t="b">
        <v>0</v>
      </c>
      <c r="AF122" s="76">
        <v>1</v>
      </c>
      <c r="AG122" s="81" t="s">
        <v>1674</v>
      </c>
      <c r="AH122" s="76" t="b">
        <v>0</v>
      </c>
      <c r="AI122" s="76" t="s">
        <v>1772</v>
      </c>
      <c r="AJ122" s="76"/>
      <c r="AK122" s="81" t="s">
        <v>1674</v>
      </c>
      <c r="AL122" s="76" t="b">
        <v>0</v>
      </c>
      <c r="AM122" s="76">
        <v>0</v>
      </c>
      <c r="AN122" s="81" t="s">
        <v>1674</v>
      </c>
      <c r="AO122" s="81" t="s">
        <v>1809</v>
      </c>
      <c r="AP122" s="76" t="b">
        <v>0</v>
      </c>
      <c r="AQ122" s="81" t="s">
        <v>1345</v>
      </c>
      <c r="AR122" s="76" t="s">
        <v>219</v>
      </c>
      <c r="AS122" s="76">
        <v>0</v>
      </c>
      <c r="AT122" s="76">
        <v>0</v>
      </c>
      <c r="AU122" s="76"/>
      <c r="AV122" s="76"/>
      <c r="AW122" s="76"/>
      <c r="AX122" s="76"/>
      <c r="AY122" s="76"/>
      <c r="AZ122" s="76"/>
      <c r="BA122" s="76"/>
      <c r="BB122" s="76"/>
      <c r="BC122">
        <v>1</v>
      </c>
      <c r="BD122" s="75" t="str">
        <f>REPLACE(INDEX(GroupVertices[Group],MATCH(Edges25[[#This Row],[Vertex 1]],GroupVertices[Vertex],0)),1,1,"")</f>
        <v>2</v>
      </c>
      <c r="BE122" s="75" t="str">
        <f>REPLACE(INDEX(GroupVertices[Group],MATCH(Edges25[[#This Row],[Vertex 2]],GroupVertices[Vertex],0)),1,1,"")</f>
        <v>2</v>
      </c>
      <c r="BF122" s="45">
        <v>1</v>
      </c>
      <c r="BG122" s="46">
        <v>2.4390243902439024</v>
      </c>
      <c r="BH122" s="45">
        <v>3</v>
      </c>
      <c r="BI122" s="46">
        <v>7.317073170731708</v>
      </c>
      <c r="BJ122" s="45">
        <v>0</v>
      </c>
      <c r="BK122" s="46">
        <v>0</v>
      </c>
      <c r="BL122" s="45">
        <v>37</v>
      </c>
      <c r="BM122" s="46">
        <v>90.2439024390244</v>
      </c>
      <c r="BN122" s="45">
        <v>41</v>
      </c>
    </row>
    <row r="123" spans="1:66" ht="15">
      <c r="A123" s="61" t="s">
        <v>351</v>
      </c>
      <c r="B123" s="61" t="s">
        <v>502</v>
      </c>
      <c r="C123" s="62"/>
      <c r="D123" s="63"/>
      <c r="E123" s="62"/>
      <c r="F123" s="65"/>
      <c r="G123" s="62"/>
      <c r="H123" s="66"/>
      <c r="I123" s="67"/>
      <c r="J123" s="67"/>
      <c r="K123" s="31" t="s">
        <v>65</v>
      </c>
      <c r="L123" s="68">
        <v>184</v>
      </c>
      <c r="M123" s="68"/>
      <c r="N123" s="69"/>
      <c r="O123" s="76" t="s">
        <v>587</v>
      </c>
      <c r="P123" s="78">
        <v>44816.32098379629</v>
      </c>
      <c r="Q123" s="76" t="s">
        <v>663</v>
      </c>
      <c r="R123" s="76"/>
      <c r="S123" s="76"/>
      <c r="T123" s="81" t="s">
        <v>795</v>
      </c>
      <c r="U123" s="76"/>
      <c r="V123" s="79" t="str">
        <f>HYPERLINK("https://pbs.twimg.com/profile_images/1427318110927851522/gy4hztPs_normal.png")</f>
        <v>https://pbs.twimg.com/profile_images/1427318110927851522/gy4hztPs_normal.png</v>
      </c>
      <c r="W123" s="78">
        <v>44816.32098379629</v>
      </c>
      <c r="X123" s="84">
        <v>44816</v>
      </c>
      <c r="Y123" s="81" t="s">
        <v>1015</v>
      </c>
      <c r="Z123" s="79" t="str">
        <f>HYPERLINK("https://twitter.com/selpermer/status/1569229881803960320")</f>
        <v>https://twitter.com/selpermer/status/1569229881803960320</v>
      </c>
      <c r="AA123" s="76"/>
      <c r="AB123" s="76"/>
      <c r="AC123" s="81" t="s">
        <v>1346</v>
      </c>
      <c r="AD123" s="81" t="s">
        <v>1599</v>
      </c>
      <c r="AE123" s="76" t="b">
        <v>0</v>
      </c>
      <c r="AF123" s="76">
        <v>0</v>
      </c>
      <c r="AG123" s="81" t="s">
        <v>1709</v>
      </c>
      <c r="AH123" s="76" t="b">
        <v>0</v>
      </c>
      <c r="AI123" s="76" t="s">
        <v>1773</v>
      </c>
      <c r="AJ123" s="76"/>
      <c r="AK123" s="81" t="s">
        <v>1674</v>
      </c>
      <c r="AL123" s="76" t="b">
        <v>0</v>
      </c>
      <c r="AM123" s="76">
        <v>0</v>
      </c>
      <c r="AN123" s="81" t="s">
        <v>1674</v>
      </c>
      <c r="AO123" s="81" t="s">
        <v>1807</v>
      </c>
      <c r="AP123" s="76" t="b">
        <v>0</v>
      </c>
      <c r="AQ123" s="81" t="s">
        <v>1599</v>
      </c>
      <c r="AR123" s="76" t="s">
        <v>219</v>
      </c>
      <c r="AS123" s="76">
        <v>0</v>
      </c>
      <c r="AT123" s="76">
        <v>0</v>
      </c>
      <c r="AU123" s="76"/>
      <c r="AV123" s="76"/>
      <c r="AW123" s="76"/>
      <c r="AX123" s="76"/>
      <c r="AY123" s="76"/>
      <c r="AZ123" s="76"/>
      <c r="BA123" s="76"/>
      <c r="BB123" s="76"/>
      <c r="BC123">
        <v>1</v>
      </c>
      <c r="BD123" s="75" t="str">
        <f>REPLACE(INDEX(GroupVertices[Group],MATCH(Edges25[[#This Row],[Vertex 1]],GroupVertices[Vertex],0)),1,1,"")</f>
        <v>49</v>
      </c>
      <c r="BE123" s="75" t="str">
        <f>REPLACE(INDEX(GroupVertices[Group],MATCH(Edges25[[#This Row],[Vertex 2]],GroupVertices[Vertex],0)),1,1,"")</f>
        <v>49</v>
      </c>
      <c r="BF123" s="45">
        <v>0</v>
      </c>
      <c r="BG123" s="46">
        <v>0</v>
      </c>
      <c r="BH123" s="45">
        <v>0</v>
      </c>
      <c r="BI123" s="46">
        <v>0</v>
      </c>
      <c r="BJ123" s="45">
        <v>0</v>
      </c>
      <c r="BK123" s="46">
        <v>0</v>
      </c>
      <c r="BL123" s="45">
        <v>2</v>
      </c>
      <c r="BM123" s="46">
        <v>100</v>
      </c>
      <c r="BN123" s="45">
        <v>2</v>
      </c>
    </row>
    <row r="124" spans="1:66" ht="15">
      <c r="A124" s="61" t="s">
        <v>352</v>
      </c>
      <c r="B124" s="61" t="s">
        <v>503</v>
      </c>
      <c r="C124" s="62"/>
      <c r="D124" s="63"/>
      <c r="E124" s="62"/>
      <c r="F124" s="65"/>
      <c r="G124" s="62"/>
      <c r="H124" s="66"/>
      <c r="I124" s="67"/>
      <c r="J124" s="67"/>
      <c r="K124" s="31" t="s">
        <v>65</v>
      </c>
      <c r="L124" s="68">
        <v>185</v>
      </c>
      <c r="M124" s="68"/>
      <c r="N124" s="69"/>
      <c r="O124" s="76" t="s">
        <v>588</v>
      </c>
      <c r="P124" s="78">
        <v>44816.3353587963</v>
      </c>
      <c r="Q124" s="76" t="s">
        <v>664</v>
      </c>
      <c r="R124" s="76"/>
      <c r="S124" s="76"/>
      <c r="T124" s="81" t="s">
        <v>795</v>
      </c>
      <c r="U124" s="76"/>
      <c r="V124" s="79" t="str">
        <f>HYPERLINK("https://pbs.twimg.com/profile_images/1413157286462181378/gUP4dkZt_normal.jpg")</f>
        <v>https://pbs.twimg.com/profile_images/1413157286462181378/gUP4dkZt_normal.jpg</v>
      </c>
      <c r="W124" s="78">
        <v>44816.3353587963</v>
      </c>
      <c r="X124" s="84">
        <v>44816</v>
      </c>
      <c r="Y124" s="81" t="s">
        <v>1016</v>
      </c>
      <c r="Z124" s="79" t="str">
        <f>HYPERLINK("https://twitter.com/khairulazzwa1/status/1569235093591564288")</f>
        <v>https://twitter.com/khairulazzwa1/status/1569235093591564288</v>
      </c>
      <c r="AA124" s="76"/>
      <c r="AB124" s="76"/>
      <c r="AC124" s="81" t="s">
        <v>1347</v>
      </c>
      <c r="AD124" s="81" t="s">
        <v>1600</v>
      </c>
      <c r="AE124" s="76" t="b">
        <v>0</v>
      </c>
      <c r="AF124" s="76">
        <v>0</v>
      </c>
      <c r="AG124" s="81" t="s">
        <v>1710</v>
      </c>
      <c r="AH124" s="76" t="b">
        <v>0</v>
      </c>
      <c r="AI124" s="76" t="s">
        <v>1773</v>
      </c>
      <c r="AJ124" s="76"/>
      <c r="AK124" s="81" t="s">
        <v>1674</v>
      </c>
      <c r="AL124" s="76" t="b">
        <v>0</v>
      </c>
      <c r="AM124" s="76">
        <v>0</v>
      </c>
      <c r="AN124" s="81" t="s">
        <v>1674</v>
      </c>
      <c r="AO124" s="81" t="s">
        <v>1807</v>
      </c>
      <c r="AP124" s="76" t="b">
        <v>0</v>
      </c>
      <c r="AQ124" s="81" t="s">
        <v>1600</v>
      </c>
      <c r="AR124" s="76" t="s">
        <v>219</v>
      </c>
      <c r="AS124" s="76">
        <v>0</v>
      </c>
      <c r="AT124" s="76">
        <v>0</v>
      </c>
      <c r="AU124" s="76"/>
      <c r="AV124" s="76"/>
      <c r="AW124" s="76"/>
      <c r="AX124" s="76"/>
      <c r="AY124" s="76"/>
      <c r="AZ124" s="76"/>
      <c r="BA124" s="76"/>
      <c r="BB124" s="76"/>
      <c r="BC124">
        <v>1</v>
      </c>
      <c r="BD124" s="75" t="str">
        <f>REPLACE(INDEX(GroupVertices[Group],MATCH(Edges25[[#This Row],[Vertex 1]],GroupVertices[Vertex],0)),1,1,"")</f>
        <v>35</v>
      </c>
      <c r="BE124" s="75" t="str">
        <f>REPLACE(INDEX(GroupVertices[Group],MATCH(Edges25[[#This Row],[Vertex 2]],GroupVertices[Vertex],0)),1,1,"")</f>
        <v>35</v>
      </c>
      <c r="BF124" s="45"/>
      <c r="BG124" s="46"/>
      <c r="BH124" s="45"/>
      <c r="BI124" s="46"/>
      <c r="BJ124" s="45"/>
      <c r="BK124" s="46"/>
      <c r="BL124" s="45"/>
      <c r="BM124" s="46"/>
      <c r="BN124" s="45"/>
    </row>
    <row r="125" spans="1:66" ht="15">
      <c r="A125" s="61" t="s">
        <v>353</v>
      </c>
      <c r="B125" s="61" t="s">
        <v>355</v>
      </c>
      <c r="C125" s="62"/>
      <c r="D125" s="63"/>
      <c r="E125" s="62"/>
      <c r="F125" s="65"/>
      <c r="G125" s="62"/>
      <c r="H125" s="66"/>
      <c r="I125" s="67"/>
      <c r="J125" s="67"/>
      <c r="K125" s="31" t="s">
        <v>65</v>
      </c>
      <c r="L125" s="68">
        <v>187</v>
      </c>
      <c r="M125" s="68"/>
      <c r="N125" s="69"/>
      <c r="O125" s="76" t="s">
        <v>586</v>
      </c>
      <c r="P125" s="78">
        <v>44816.34731481481</v>
      </c>
      <c r="Q125" s="76" t="s">
        <v>665</v>
      </c>
      <c r="R125" s="76"/>
      <c r="S125" s="76"/>
      <c r="T125" s="81" t="s">
        <v>830</v>
      </c>
      <c r="U125" s="79" t="str">
        <f>HYPERLINK("https://pbs.twimg.com/media/FccOqeBX0AUNXZY.jpg")</f>
        <v>https://pbs.twimg.com/media/FccOqeBX0AUNXZY.jpg</v>
      </c>
      <c r="V125" s="79" t="str">
        <f>HYPERLINK("https://pbs.twimg.com/media/FccOqeBX0AUNXZY.jpg")</f>
        <v>https://pbs.twimg.com/media/FccOqeBX0AUNXZY.jpg</v>
      </c>
      <c r="W125" s="78">
        <v>44816.34731481481</v>
      </c>
      <c r="X125" s="84">
        <v>44816</v>
      </c>
      <c r="Y125" s="81" t="s">
        <v>1017</v>
      </c>
      <c r="Z125" s="79" t="str">
        <f>HYPERLINK("https://twitter.com/luckystrike2030/status/1569239425128841216")</f>
        <v>https://twitter.com/luckystrike2030/status/1569239425128841216</v>
      </c>
      <c r="AA125" s="76"/>
      <c r="AB125" s="76"/>
      <c r="AC125" s="81" t="s">
        <v>1348</v>
      </c>
      <c r="AD125" s="76"/>
      <c r="AE125" s="76" t="b">
        <v>0</v>
      </c>
      <c r="AF125" s="76">
        <v>0</v>
      </c>
      <c r="AG125" s="81" t="s">
        <v>1674</v>
      </c>
      <c r="AH125" s="76" t="b">
        <v>0</v>
      </c>
      <c r="AI125" s="76" t="s">
        <v>1776</v>
      </c>
      <c r="AJ125" s="76"/>
      <c r="AK125" s="81" t="s">
        <v>1674</v>
      </c>
      <c r="AL125" s="76" t="b">
        <v>0</v>
      </c>
      <c r="AM125" s="76">
        <v>3</v>
      </c>
      <c r="AN125" s="81" t="s">
        <v>1351</v>
      </c>
      <c r="AO125" s="81" t="s">
        <v>1807</v>
      </c>
      <c r="AP125" s="76" t="b">
        <v>0</v>
      </c>
      <c r="AQ125" s="81" t="s">
        <v>1351</v>
      </c>
      <c r="AR125" s="76" t="s">
        <v>219</v>
      </c>
      <c r="AS125" s="76">
        <v>0</v>
      </c>
      <c r="AT125" s="76">
        <v>0</v>
      </c>
      <c r="AU125" s="76"/>
      <c r="AV125" s="76"/>
      <c r="AW125" s="76"/>
      <c r="AX125" s="76"/>
      <c r="AY125" s="76"/>
      <c r="AZ125" s="76"/>
      <c r="BA125" s="76"/>
      <c r="BB125" s="76"/>
      <c r="BC125">
        <v>1</v>
      </c>
      <c r="BD125" s="75" t="str">
        <f>REPLACE(INDEX(GroupVertices[Group],MATCH(Edges25[[#This Row],[Vertex 1]],GroupVertices[Vertex],0)),1,1,"")</f>
        <v>27</v>
      </c>
      <c r="BE125" s="75" t="str">
        <f>REPLACE(INDEX(GroupVertices[Group],MATCH(Edges25[[#This Row],[Vertex 2]],GroupVertices[Vertex],0)),1,1,"")</f>
        <v>27</v>
      </c>
      <c r="BF125" s="45">
        <v>0</v>
      </c>
      <c r="BG125" s="46">
        <v>0</v>
      </c>
      <c r="BH125" s="45">
        <v>0</v>
      </c>
      <c r="BI125" s="46">
        <v>0</v>
      </c>
      <c r="BJ125" s="45">
        <v>0</v>
      </c>
      <c r="BK125" s="46">
        <v>0</v>
      </c>
      <c r="BL125" s="45">
        <v>24</v>
      </c>
      <c r="BM125" s="46">
        <v>100</v>
      </c>
      <c r="BN125" s="45">
        <v>24</v>
      </c>
    </row>
    <row r="126" spans="1:66" ht="15">
      <c r="A126" s="61" t="s">
        <v>354</v>
      </c>
      <c r="B126" s="61" t="s">
        <v>355</v>
      </c>
      <c r="C126" s="62"/>
      <c r="D126" s="63"/>
      <c r="E126" s="62"/>
      <c r="F126" s="65"/>
      <c r="G126" s="62"/>
      <c r="H126" s="66"/>
      <c r="I126" s="67"/>
      <c r="J126" s="67"/>
      <c r="K126" s="31" t="s">
        <v>65</v>
      </c>
      <c r="L126" s="68">
        <v>188</v>
      </c>
      <c r="M126" s="68"/>
      <c r="N126" s="69"/>
      <c r="O126" s="76" t="s">
        <v>586</v>
      </c>
      <c r="P126" s="78">
        <v>44816.42731481481</v>
      </c>
      <c r="Q126" s="76" t="s">
        <v>665</v>
      </c>
      <c r="R126" s="76"/>
      <c r="S126" s="76"/>
      <c r="T126" s="81" t="s">
        <v>830</v>
      </c>
      <c r="U126" s="79" t="str">
        <f>HYPERLINK("https://pbs.twimg.com/media/FccOqeBX0AUNXZY.jpg")</f>
        <v>https://pbs.twimg.com/media/FccOqeBX0AUNXZY.jpg</v>
      </c>
      <c r="V126" s="79" t="str">
        <f>HYPERLINK("https://pbs.twimg.com/media/FccOqeBX0AUNXZY.jpg")</f>
        <v>https://pbs.twimg.com/media/FccOqeBX0AUNXZY.jpg</v>
      </c>
      <c r="W126" s="78">
        <v>44816.42731481481</v>
      </c>
      <c r="X126" s="84">
        <v>44816</v>
      </c>
      <c r="Y126" s="81" t="s">
        <v>1018</v>
      </c>
      <c r="Z126" s="79" t="str">
        <f>HYPERLINK("https://twitter.com/giovannicalcara/status/1569268417319911424")</f>
        <v>https://twitter.com/giovannicalcara/status/1569268417319911424</v>
      </c>
      <c r="AA126" s="76"/>
      <c r="AB126" s="76"/>
      <c r="AC126" s="81" t="s">
        <v>1349</v>
      </c>
      <c r="AD126" s="76"/>
      <c r="AE126" s="76" t="b">
        <v>0</v>
      </c>
      <c r="AF126" s="76">
        <v>0</v>
      </c>
      <c r="AG126" s="81" t="s">
        <v>1674</v>
      </c>
      <c r="AH126" s="76" t="b">
        <v>0</v>
      </c>
      <c r="AI126" s="76" t="s">
        <v>1776</v>
      </c>
      <c r="AJ126" s="76"/>
      <c r="AK126" s="81" t="s">
        <v>1674</v>
      </c>
      <c r="AL126" s="76" t="b">
        <v>0</v>
      </c>
      <c r="AM126" s="76">
        <v>3</v>
      </c>
      <c r="AN126" s="81" t="s">
        <v>1351</v>
      </c>
      <c r="AO126" s="81" t="s">
        <v>1809</v>
      </c>
      <c r="AP126" s="76" t="b">
        <v>0</v>
      </c>
      <c r="AQ126" s="81" t="s">
        <v>1351</v>
      </c>
      <c r="AR126" s="76" t="s">
        <v>219</v>
      </c>
      <c r="AS126" s="76">
        <v>0</v>
      </c>
      <c r="AT126" s="76">
        <v>0</v>
      </c>
      <c r="AU126" s="76"/>
      <c r="AV126" s="76"/>
      <c r="AW126" s="76"/>
      <c r="AX126" s="76"/>
      <c r="AY126" s="76"/>
      <c r="AZ126" s="76"/>
      <c r="BA126" s="76"/>
      <c r="BB126" s="76"/>
      <c r="BC126">
        <v>1</v>
      </c>
      <c r="BD126" s="75" t="str">
        <f>REPLACE(INDEX(GroupVertices[Group],MATCH(Edges25[[#This Row],[Vertex 1]],GroupVertices[Vertex],0)),1,1,"")</f>
        <v>27</v>
      </c>
      <c r="BE126" s="75" t="str">
        <f>REPLACE(INDEX(GroupVertices[Group],MATCH(Edges25[[#This Row],[Vertex 2]],GroupVertices[Vertex],0)),1,1,"")</f>
        <v>27</v>
      </c>
      <c r="BF126" s="45">
        <v>0</v>
      </c>
      <c r="BG126" s="46">
        <v>0</v>
      </c>
      <c r="BH126" s="45">
        <v>0</v>
      </c>
      <c r="BI126" s="46">
        <v>0</v>
      </c>
      <c r="BJ126" s="45">
        <v>0</v>
      </c>
      <c r="BK126" s="46">
        <v>0</v>
      </c>
      <c r="BL126" s="45">
        <v>24</v>
      </c>
      <c r="BM126" s="46">
        <v>100</v>
      </c>
      <c r="BN126" s="45">
        <v>24</v>
      </c>
    </row>
    <row r="127" spans="1:66" ht="15">
      <c r="A127" s="61" t="s">
        <v>355</v>
      </c>
      <c r="B127" s="61" t="s">
        <v>355</v>
      </c>
      <c r="C127" s="62"/>
      <c r="D127" s="63"/>
      <c r="E127" s="62"/>
      <c r="F127" s="65"/>
      <c r="G127" s="62"/>
      <c r="H127" s="66"/>
      <c r="I127" s="67"/>
      <c r="J127" s="67"/>
      <c r="K127" s="31" t="s">
        <v>65</v>
      </c>
      <c r="L127" s="68">
        <v>189</v>
      </c>
      <c r="M127" s="68"/>
      <c r="N127" s="69"/>
      <c r="O127" s="76" t="s">
        <v>219</v>
      </c>
      <c r="P127" s="78">
        <v>44812.336550925924</v>
      </c>
      <c r="Q127" s="76" t="s">
        <v>666</v>
      </c>
      <c r="R127" s="79" t="str">
        <f>HYPERLINK("https://twitter.com/Cambiacasacca/status/1567434742311567360")</f>
        <v>https://twitter.com/Cambiacasacca/status/1567434742311567360</v>
      </c>
      <c r="S127" s="76" t="s">
        <v>783</v>
      </c>
      <c r="T127" s="81" t="s">
        <v>831</v>
      </c>
      <c r="U127" s="76"/>
      <c r="V127" s="79" t="str">
        <f>HYPERLINK("https://pbs.twimg.com/profile_images/1502033880651554816/3-5eV5Eu_normal.jpg")</f>
        <v>https://pbs.twimg.com/profile_images/1502033880651554816/3-5eV5Eu_normal.jpg</v>
      </c>
      <c r="W127" s="78">
        <v>44812.336550925924</v>
      </c>
      <c r="X127" s="84">
        <v>44812</v>
      </c>
      <c r="Y127" s="81" t="s">
        <v>1019</v>
      </c>
      <c r="Z127" s="79" t="str">
        <f>HYPERLINK("https://twitter.com/palmenco08/status/1567785970434539520")</f>
        <v>https://twitter.com/palmenco08/status/1567785970434539520</v>
      </c>
      <c r="AA127" s="76"/>
      <c r="AB127" s="76"/>
      <c r="AC127" s="81" t="s">
        <v>1350</v>
      </c>
      <c r="AD127" s="76"/>
      <c r="AE127" s="76" t="b">
        <v>0</v>
      </c>
      <c r="AF127" s="76">
        <v>1</v>
      </c>
      <c r="AG127" s="81" t="s">
        <v>1674</v>
      </c>
      <c r="AH127" s="76" t="b">
        <v>1</v>
      </c>
      <c r="AI127" s="76" t="s">
        <v>1776</v>
      </c>
      <c r="AJ127" s="76"/>
      <c r="AK127" s="81" t="s">
        <v>1795</v>
      </c>
      <c r="AL127" s="76" t="b">
        <v>0</v>
      </c>
      <c r="AM127" s="76">
        <v>0</v>
      </c>
      <c r="AN127" s="81" t="s">
        <v>1674</v>
      </c>
      <c r="AO127" s="81" t="s">
        <v>1807</v>
      </c>
      <c r="AP127" s="76" t="b">
        <v>0</v>
      </c>
      <c r="AQ127" s="81" t="s">
        <v>1350</v>
      </c>
      <c r="AR127" s="76" t="s">
        <v>219</v>
      </c>
      <c r="AS127" s="76">
        <v>0</v>
      </c>
      <c r="AT127" s="76">
        <v>0</v>
      </c>
      <c r="AU127" s="76"/>
      <c r="AV127" s="76"/>
      <c r="AW127" s="76"/>
      <c r="AX127" s="76"/>
      <c r="AY127" s="76"/>
      <c r="AZ127" s="76"/>
      <c r="BA127" s="76"/>
      <c r="BB127" s="76"/>
      <c r="BC127">
        <v>2</v>
      </c>
      <c r="BD127" s="75" t="str">
        <f>REPLACE(INDEX(GroupVertices[Group],MATCH(Edges25[[#This Row],[Vertex 1]],GroupVertices[Vertex],0)),1,1,"")</f>
        <v>27</v>
      </c>
      <c r="BE127" s="75" t="str">
        <f>REPLACE(INDEX(GroupVertices[Group],MATCH(Edges25[[#This Row],[Vertex 2]],GroupVertices[Vertex],0)),1,1,"")</f>
        <v>27</v>
      </c>
      <c r="BF127" s="45">
        <v>0</v>
      </c>
      <c r="BG127" s="46">
        <v>0</v>
      </c>
      <c r="BH127" s="45">
        <v>0</v>
      </c>
      <c r="BI127" s="46">
        <v>0</v>
      </c>
      <c r="BJ127" s="45">
        <v>0</v>
      </c>
      <c r="BK127" s="46">
        <v>0</v>
      </c>
      <c r="BL127" s="45">
        <v>7</v>
      </c>
      <c r="BM127" s="46">
        <v>100</v>
      </c>
      <c r="BN127" s="45">
        <v>7</v>
      </c>
    </row>
    <row r="128" spans="1:66" ht="15">
      <c r="A128" s="61" t="s">
        <v>355</v>
      </c>
      <c r="B128" s="61" t="s">
        <v>355</v>
      </c>
      <c r="C128" s="62"/>
      <c r="D128" s="63"/>
      <c r="E128" s="62"/>
      <c r="F128" s="65"/>
      <c r="G128" s="62"/>
      <c r="H128" s="66"/>
      <c r="I128" s="67"/>
      <c r="J128" s="67"/>
      <c r="K128" s="31" t="s">
        <v>65</v>
      </c>
      <c r="L128" s="68">
        <v>190</v>
      </c>
      <c r="M128" s="68"/>
      <c r="N128" s="69"/>
      <c r="O128" s="76" t="s">
        <v>219</v>
      </c>
      <c r="P128" s="78">
        <v>44816.34648148148</v>
      </c>
      <c r="Q128" s="76" t="s">
        <v>665</v>
      </c>
      <c r="R128" s="76"/>
      <c r="S128" s="76"/>
      <c r="T128" s="81" t="s">
        <v>830</v>
      </c>
      <c r="U128" s="79" t="str">
        <f>HYPERLINK("https://pbs.twimg.com/media/FccOqeBX0AUNXZY.jpg")</f>
        <v>https://pbs.twimg.com/media/FccOqeBX0AUNXZY.jpg</v>
      </c>
      <c r="V128" s="79" t="str">
        <f>HYPERLINK("https://pbs.twimg.com/media/FccOqeBX0AUNXZY.jpg")</f>
        <v>https://pbs.twimg.com/media/FccOqeBX0AUNXZY.jpg</v>
      </c>
      <c r="W128" s="78">
        <v>44816.34648148148</v>
      </c>
      <c r="X128" s="84">
        <v>44816</v>
      </c>
      <c r="Y128" s="81" t="s">
        <v>1020</v>
      </c>
      <c r="Z128" s="79" t="str">
        <f>HYPERLINK("https://twitter.com/palmenco08/status/1569239123247906817")</f>
        <v>https://twitter.com/palmenco08/status/1569239123247906817</v>
      </c>
      <c r="AA128" s="76"/>
      <c r="AB128" s="76"/>
      <c r="AC128" s="81" t="s">
        <v>1351</v>
      </c>
      <c r="AD128" s="76"/>
      <c r="AE128" s="76" t="b">
        <v>0</v>
      </c>
      <c r="AF128" s="76">
        <v>11</v>
      </c>
      <c r="AG128" s="81" t="s">
        <v>1674</v>
      </c>
      <c r="AH128" s="76" t="b">
        <v>0</v>
      </c>
      <c r="AI128" s="76" t="s">
        <v>1776</v>
      </c>
      <c r="AJ128" s="76"/>
      <c r="AK128" s="81" t="s">
        <v>1674</v>
      </c>
      <c r="AL128" s="76" t="b">
        <v>0</v>
      </c>
      <c r="AM128" s="76">
        <v>3</v>
      </c>
      <c r="AN128" s="81" t="s">
        <v>1674</v>
      </c>
      <c r="AO128" s="81" t="s">
        <v>1807</v>
      </c>
      <c r="AP128" s="76" t="b">
        <v>0</v>
      </c>
      <c r="AQ128" s="81" t="s">
        <v>1351</v>
      </c>
      <c r="AR128" s="76" t="s">
        <v>219</v>
      </c>
      <c r="AS128" s="76">
        <v>0</v>
      </c>
      <c r="AT128" s="76">
        <v>0</v>
      </c>
      <c r="AU128" s="76"/>
      <c r="AV128" s="76"/>
      <c r="AW128" s="76"/>
      <c r="AX128" s="76"/>
      <c r="AY128" s="76"/>
      <c r="AZ128" s="76"/>
      <c r="BA128" s="76"/>
      <c r="BB128" s="76"/>
      <c r="BC128">
        <v>2</v>
      </c>
      <c r="BD128" s="75" t="str">
        <f>REPLACE(INDEX(GroupVertices[Group],MATCH(Edges25[[#This Row],[Vertex 1]],GroupVertices[Vertex],0)),1,1,"")</f>
        <v>27</v>
      </c>
      <c r="BE128" s="75" t="str">
        <f>REPLACE(INDEX(GroupVertices[Group],MATCH(Edges25[[#This Row],[Vertex 2]],GroupVertices[Vertex],0)),1,1,"")</f>
        <v>27</v>
      </c>
      <c r="BF128" s="45">
        <v>0</v>
      </c>
      <c r="BG128" s="46">
        <v>0</v>
      </c>
      <c r="BH128" s="45">
        <v>0</v>
      </c>
      <c r="BI128" s="46">
        <v>0</v>
      </c>
      <c r="BJ128" s="45">
        <v>0</v>
      </c>
      <c r="BK128" s="46">
        <v>0</v>
      </c>
      <c r="BL128" s="45">
        <v>24</v>
      </c>
      <c r="BM128" s="46">
        <v>100</v>
      </c>
      <c r="BN128" s="45">
        <v>24</v>
      </c>
    </row>
    <row r="129" spans="1:66" ht="15">
      <c r="A129" s="61" t="s">
        <v>356</v>
      </c>
      <c r="B129" s="61" t="s">
        <v>355</v>
      </c>
      <c r="C129" s="62"/>
      <c r="D129" s="63"/>
      <c r="E129" s="62"/>
      <c r="F129" s="65"/>
      <c r="G129" s="62"/>
      <c r="H129" s="66"/>
      <c r="I129" s="67"/>
      <c r="J129" s="67"/>
      <c r="K129" s="31" t="s">
        <v>65</v>
      </c>
      <c r="L129" s="68">
        <v>191</v>
      </c>
      <c r="M129" s="68"/>
      <c r="N129" s="69"/>
      <c r="O129" s="76" t="s">
        <v>586</v>
      </c>
      <c r="P129" s="78">
        <v>44816.43203703704</v>
      </c>
      <c r="Q129" s="76" t="s">
        <v>665</v>
      </c>
      <c r="R129" s="76"/>
      <c r="S129" s="76"/>
      <c r="T129" s="81" t="s">
        <v>830</v>
      </c>
      <c r="U129" s="79" t="str">
        <f>HYPERLINK("https://pbs.twimg.com/media/FccOqeBX0AUNXZY.jpg")</f>
        <v>https://pbs.twimg.com/media/FccOqeBX0AUNXZY.jpg</v>
      </c>
      <c r="V129" s="79" t="str">
        <f>HYPERLINK("https://pbs.twimg.com/media/FccOqeBX0AUNXZY.jpg")</f>
        <v>https://pbs.twimg.com/media/FccOqeBX0AUNXZY.jpg</v>
      </c>
      <c r="W129" s="78">
        <v>44816.43203703704</v>
      </c>
      <c r="X129" s="84">
        <v>44816</v>
      </c>
      <c r="Y129" s="81" t="s">
        <v>1021</v>
      </c>
      <c r="Z129" s="79" t="str">
        <f>HYPERLINK("https://twitter.com/robymark1/status/1569270126905823233")</f>
        <v>https://twitter.com/robymark1/status/1569270126905823233</v>
      </c>
      <c r="AA129" s="76"/>
      <c r="AB129" s="76"/>
      <c r="AC129" s="81" t="s">
        <v>1352</v>
      </c>
      <c r="AD129" s="76"/>
      <c r="AE129" s="76" t="b">
        <v>0</v>
      </c>
      <c r="AF129" s="76">
        <v>0</v>
      </c>
      <c r="AG129" s="81" t="s">
        <v>1674</v>
      </c>
      <c r="AH129" s="76" t="b">
        <v>0</v>
      </c>
      <c r="AI129" s="76" t="s">
        <v>1776</v>
      </c>
      <c r="AJ129" s="76"/>
      <c r="AK129" s="81" t="s">
        <v>1674</v>
      </c>
      <c r="AL129" s="76" t="b">
        <v>0</v>
      </c>
      <c r="AM129" s="76">
        <v>3</v>
      </c>
      <c r="AN129" s="81" t="s">
        <v>1351</v>
      </c>
      <c r="AO129" s="81" t="s">
        <v>1807</v>
      </c>
      <c r="AP129" s="76" t="b">
        <v>0</v>
      </c>
      <c r="AQ129" s="81" t="s">
        <v>1351</v>
      </c>
      <c r="AR129" s="76" t="s">
        <v>219</v>
      </c>
      <c r="AS129" s="76">
        <v>0</v>
      </c>
      <c r="AT129" s="76">
        <v>0</v>
      </c>
      <c r="AU129" s="76"/>
      <c r="AV129" s="76"/>
      <c r="AW129" s="76"/>
      <c r="AX129" s="76"/>
      <c r="AY129" s="76"/>
      <c r="AZ129" s="76"/>
      <c r="BA129" s="76"/>
      <c r="BB129" s="76"/>
      <c r="BC129">
        <v>1</v>
      </c>
      <c r="BD129" s="75" t="str">
        <f>REPLACE(INDEX(GroupVertices[Group],MATCH(Edges25[[#This Row],[Vertex 1]],GroupVertices[Vertex],0)),1,1,"")</f>
        <v>27</v>
      </c>
      <c r="BE129" s="75" t="str">
        <f>REPLACE(INDEX(GroupVertices[Group],MATCH(Edges25[[#This Row],[Vertex 2]],GroupVertices[Vertex],0)),1,1,"")</f>
        <v>27</v>
      </c>
      <c r="BF129" s="45">
        <v>0</v>
      </c>
      <c r="BG129" s="46">
        <v>0</v>
      </c>
      <c r="BH129" s="45">
        <v>0</v>
      </c>
      <c r="BI129" s="46">
        <v>0</v>
      </c>
      <c r="BJ129" s="45">
        <v>0</v>
      </c>
      <c r="BK129" s="46">
        <v>0</v>
      </c>
      <c r="BL129" s="45">
        <v>24</v>
      </c>
      <c r="BM129" s="46">
        <v>100</v>
      </c>
      <c r="BN129" s="45">
        <v>24</v>
      </c>
    </row>
    <row r="130" spans="1:66" ht="15">
      <c r="A130" s="61" t="s">
        <v>357</v>
      </c>
      <c r="B130" s="61" t="s">
        <v>505</v>
      </c>
      <c r="C130" s="62"/>
      <c r="D130" s="63"/>
      <c r="E130" s="62"/>
      <c r="F130" s="65"/>
      <c r="G130" s="62"/>
      <c r="H130" s="66"/>
      <c r="I130" s="67"/>
      <c r="J130" s="67"/>
      <c r="K130" s="31" t="s">
        <v>65</v>
      </c>
      <c r="L130" s="68">
        <v>192</v>
      </c>
      <c r="M130" s="68"/>
      <c r="N130" s="69"/>
      <c r="O130" s="76" t="s">
        <v>587</v>
      </c>
      <c r="P130" s="78">
        <v>44812.41212962963</v>
      </c>
      <c r="Q130" s="76" t="s">
        <v>667</v>
      </c>
      <c r="R130" s="76"/>
      <c r="S130" s="76"/>
      <c r="T130" s="81" t="s">
        <v>832</v>
      </c>
      <c r="U130" s="76"/>
      <c r="V130" s="79" t="str">
        <f>HYPERLINK("https://pbs.twimg.com/profile_images/1382752853865955330/I3PvsxEp_normal.jpg")</f>
        <v>https://pbs.twimg.com/profile_images/1382752853865955330/I3PvsxEp_normal.jpg</v>
      </c>
      <c r="W130" s="78">
        <v>44812.41212962963</v>
      </c>
      <c r="X130" s="84">
        <v>44812</v>
      </c>
      <c r="Y130" s="81" t="s">
        <v>1022</v>
      </c>
      <c r="Z130" s="79" t="str">
        <f>HYPERLINK("https://twitter.com/mark_dive/status/1567813361038942208")</f>
        <v>https://twitter.com/mark_dive/status/1567813361038942208</v>
      </c>
      <c r="AA130" s="76"/>
      <c r="AB130" s="76"/>
      <c r="AC130" s="81" t="s">
        <v>1353</v>
      </c>
      <c r="AD130" s="81" t="s">
        <v>1601</v>
      </c>
      <c r="AE130" s="76" t="b">
        <v>0</v>
      </c>
      <c r="AF130" s="76">
        <v>0</v>
      </c>
      <c r="AG130" s="81" t="s">
        <v>1711</v>
      </c>
      <c r="AH130" s="76" t="b">
        <v>0</v>
      </c>
      <c r="AI130" s="76" t="s">
        <v>1780</v>
      </c>
      <c r="AJ130" s="76"/>
      <c r="AK130" s="81" t="s">
        <v>1674</v>
      </c>
      <c r="AL130" s="76" t="b">
        <v>0</v>
      </c>
      <c r="AM130" s="76">
        <v>0</v>
      </c>
      <c r="AN130" s="81" t="s">
        <v>1674</v>
      </c>
      <c r="AO130" s="81" t="s">
        <v>1808</v>
      </c>
      <c r="AP130" s="76" t="b">
        <v>0</v>
      </c>
      <c r="AQ130" s="81" t="s">
        <v>1601</v>
      </c>
      <c r="AR130" s="76" t="s">
        <v>219</v>
      </c>
      <c r="AS130" s="76">
        <v>0</v>
      </c>
      <c r="AT130" s="76">
        <v>0</v>
      </c>
      <c r="AU130" s="76"/>
      <c r="AV130" s="76"/>
      <c r="AW130" s="76"/>
      <c r="AX130" s="76"/>
      <c r="AY130" s="76"/>
      <c r="AZ130" s="76"/>
      <c r="BA130" s="76"/>
      <c r="BB130" s="76"/>
      <c r="BC130">
        <v>1</v>
      </c>
      <c r="BD130" s="75" t="str">
        <f>REPLACE(INDEX(GroupVertices[Group],MATCH(Edges25[[#This Row],[Vertex 1]],GroupVertices[Vertex],0)),1,1,"")</f>
        <v>12</v>
      </c>
      <c r="BE130" s="75" t="str">
        <f>REPLACE(INDEX(GroupVertices[Group],MATCH(Edges25[[#This Row],[Vertex 2]],GroupVertices[Vertex],0)),1,1,"")</f>
        <v>12</v>
      </c>
      <c r="BF130" s="45">
        <v>0</v>
      </c>
      <c r="BG130" s="46">
        <v>0</v>
      </c>
      <c r="BH130" s="45">
        <v>0</v>
      </c>
      <c r="BI130" s="46">
        <v>0</v>
      </c>
      <c r="BJ130" s="45">
        <v>0</v>
      </c>
      <c r="BK130" s="46">
        <v>0</v>
      </c>
      <c r="BL130" s="45">
        <v>14</v>
      </c>
      <c r="BM130" s="46">
        <v>100</v>
      </c>
      <c r="BN130" s="45">
        <v>14</v>
      </c>
    </row>
    <row r="131" spans="1:66" ht="15">
      <c r="A131" s="61" t="s">
        <v>357</v>
      </c>
      <c r="B131" s="61" t="s">
        <v>506</v>
      </c>
      <c r="C131" s="62"/>
      <c r="D131" s="63"/>
      <c r="E131" s="62"/>
      <c r="F131" s="65"/>
      <c r="G131" s="62"/>
      <c r="H131" s="66"/>
      <c r="I131" s="67"/>
      <c r="J131" s="67"/>
      <c r="K131" s="31" t="s">
        <v>65</v>
      </c>
      <c r="L131" s="68">
        <v>193</v>
      </c>
      <c r="M131" s="68"/>
      <c r="N131" s="69"/>
      <c r="O131" s="76" t="s">
        <v>587</v>
      </c>
      <c r="P131" s="78">
        <v>44813.39240740741</v>
      </c>
      <c r="Q131" s="76" t="s">
        <v>668</v>
      </c>
      <c r="R131" s="76"/>
      <c r="S131" s="76"/>
      <c r="T131" s="81" t="s">
        <v>833</v>
      </c>
      <c r="U131" s="76"/>
      <c r="V131" s="79" t="str">
        <f>HYPERLINK("https://pbs.twimg.com/profile_images/1382752853865955330/I3PvsxEp_normal.jpg")</f>
        <v>https://pbs.twimg.com/profile_images/1382752853865955330/I3PvsxEp_normal.jpg</v>
      </c>
      <c r="W131" s="78">
        <v>44813.39240740741</v>
      </c>
      <c r="X131" s="84">
        <v>44813</v>
      </c>
      <c r="Y131" s="81" t="s">
        <v>1023</v>
      </c>
      <c r="Z131" s="79" t="str">
        <f>HYPERLINK("https://twitter.com/mark_dive/status/1568168601328254976")</f>
        <v>https://twitter.com/mark_dive/status/1568168601328254976</v>
      </c>
      <c r="AA131" s="76"/>
      <c r="AB131" s="76"/>
      <c r="AC131" s="81" t="s">
        <v>1354</v>
      </c>
      <c r="AD131" s="81" t="s">
        <v>1602</v>
      </c>
      <c r="AE131" s="76" t="b">
        <v>0</v>
      </c>
      <c r="AF131" s="76">
        <v>1</v>
      </c>
      <c r="AG131" s="81" t="s">
        <v>1712</v>
      </c>
      <c r="AH131" s="76" t="b">
        <v>0</v>
      </c>
      <c r="AI131" s="76" t="s">
        <v>1776</v>
      </c>
      <c r="AJ131" s="76"/>
      <c r="AK131" s="81" t="s">
        <v>1674</v>
      </c>
      <c r="AL131" s="76" t="b">
        <v>0</v>
      </c>
      <c r="AM131" s="76">
        <v>0</v>
      </c>
      <c r="AN131" s="81" t="s">
        <v>1674</v>
      </c>
      <c r="AO131" s="81" t="s">
        <v>1808</v>
      </c>
      <c r="AP131" s="76" t="b">
        <v>0</v>
      </c>
      <c r="AQ131" s="81" t="s">
        <v>1602</v>
      </c>
      <c r="AR131" s="76" t="s">
        <v>219</v>
      </c>
      <c r="AS131" s="76">
        <v>0</v>
      </c>
      <c r="AT131" s="76">
        <v>0</v>
      </c>
      <c r="AU131" s="76"/>
      <c r="AV131" s="76"/>
      <c r="AW131" s="76"/>
      <c r="AX131" s="76"/>
      <c r="AY131" s="76"/>
      <c r="AZ131" s="76"/>
      <c r="BA131" s="76"/>
      <c r="BB131" s="76"/>
      <c r="BC131">
        <v>1</v>
      </c>
      <c r="BD131" s="75" t="str">
        <f>REPLACE(INDEX(GroupVertices[Group],MATCH(Edges25[[#This Row],[Vertex 1]],GroupVertices[Vertex],0)),1,1,"")</f>
        <v>12</v>
      </c>
      <c r="BE131" s="75" t="str">
        <f>REPLACE(INDEX(GroupVertices[Group],MATCH(Edges25[[#This Row],[Vertex 2]],GroupVertices[Vertex],0)),1,1,"")</f>
        <v>12</v>
      </c>
      <c r="BF131" s="45">
        <v>0</v>
      </c>
      <c r="BG131" s="46">
        <v>0</v>
      </c>
      <c r="BH131" s="45">
        <v>0</v>
      </c>
      <c r="BI131" s="46">
        <v>0</v>
      </c>
      <c r="BJ131" s="45">
        <v>0</v>
      </c>
      <c r="BK131" s="46">
        <v>0</v>
      </c>
      <c r="BL131" s="45">
        <v>25</v>
      </c>
      <c r="BM131" s="46">
        <v>100</v>
      </c>
      <c r="BN131" s="45">
        <v>25</v>
      </c>
    </row>
    <row r="132" spans="1:66" ht="15">
      <c r="A132" s="61" t="s">
        <v>357</v>
      </c>
      <c r="B132" s="61" t="s">
        <v>507</v>
      </c>
      <c r="C132" s="62"/>
      <c r="D132" s="63"/>
      <c r="E132" s="62"/>
      <c r="F132" s="65"/>
      <c r="G132" s="62"/>
      <c r="H132" s="66"/>
      <c r="I132" s="67"/>
      <c r="J132" s="67"/>
      <c r="K132" s="31" t="s">
        <v>65</v>
      </c>
      <c r="L132" s="68">
        <v>194</v>
      </c>
      <c r="M132" s="68"/>
      <c r="N132" s="69"/>
      <c r="O132" s="76" t="s">
        <v>588</v>
      </c>
      <c r="P132" s="78">
        <v>44814.617418981485</v>
      </c>
      <c r="Q132" s="76" t="s">
        <v>669</v>
      </c>
      <c r="R132" s="76"/>
      <c r="S132" s="76"/>
      <c r="T132" s="81" t="s">
        <v>834</v>
      </c>
      <c r="U132" s="76"/>
      <c r="V132" s="79" t="str">
        <f>HYPERLINK("https://pbs.twimg.com/profile_images/1382752853865955330/I3PvsxEp_normal.jpg")</f>
        <v>https://pbs.twimg.com/profile_images/1382752853865955330/I3PvsxEp_normal.jpg</v>
      </c>
      <c r="W132" s="78">
        <v>44814.617418981485</v>
      </c>
      <c r="X132" s="84">
        <v>44814</v>
      </c>
      <c r="Y132" s="81" t="s">
        <v>1024</v>
      </c>
      <c r="Z132" s="79" t="str">
        <f>HYPERLINK("https://twitter.com/mark_dive/status/1568612530452316164")</f>
        <v>https://twitter.com/mark_dive/status/1568612530452316164</v>
      </c>
      <c r="AA132" s="76"/>
      <c r="AB132" s="76"/>
      <c r="AC132" s="81" t="s">
        <v>1355</v>
      </c>
      <c r="AD132" s="81" t="s">
        <v>1603</v>
      </c>
      <c r="AE132" s="76" t="b">
        <v>0</v>
      </c>
      <c r="AF132" s="76">
        <v>0</v>
      </c>
      <c r="AG132" s="81" t="s">
        <v>1713</v>
      </c>
      <c r="AH132" s="76" t="b">
        <v>0</v>
      </c>
      <c r="AI132" s="76" t="s">
        <v>1776</v>
      </c>
      <c r="AJ132" s="76"/>
      <c r="AK132" s="81" t="s">
        <v>1674</v>
      </c>
      <c r="AL132" s="76" t="b">
        <v>0</v>
      </c>
      <c r="AM132" s="76">
        <v>0</v>
      </c>
      <c r="AN132" s="81" t="s">
        <v>1674</v>
      </c>
      <c r="AO132" s="81" t="s">
        <v>1808</v>
      </c>
      <c r="AP132" s="76" t="b">
        <v>0</v>
      </c>
      <c r="AQ132" s="81" t="s">
        <v>1603</v>
      </c>
      <c r="AR132" s="76" t="s">
        <v>219</v>
      </c>
      <c r="AS132" s="76">
        <v>0</v>
      </c>
      <c r="AT132" s="76">
        <v>0</v>
      </c>
      <c r="AU132" s="76"/>
      <c r="AV132" s="76"/>
      <c r="AW132" s="76"/>
      <c r="AX132" s="76"/>
      <c r="AY132" s="76"/>
      <c r="AZ132" s="76"/>
      <c r="BA132" s="76"/>
      <c r="BB132" s="76"/>
      <c r="BC132">
        <v>1</v>
      </c>
      <c r="BD132" s="75" t="str">
        <f>REPLACE(INDEX(GroupVertices[Group],MATCH(Edges25[[#This Row],[Vertex 1]],GroupVertices[Vertex],0)),1,1,"")</f>
        <v>12</v>
      </c>
      <c r="BE132" s="75" t="str">
        <f>REPLACE(INDEX(GroupVertices[Group],MATCH(Edges25[[#This Row],[Vertex 2]],GroupVertices[Vertex],0)),1,1,"")</f>
        <v>12</v>
      </c>
      <c r="BF132" s="45"/>
      <c r="BG132" s="46"/>
      <c r="BH132" s="45"/>
      <c r="BI132" s="46"/>
      <c r="BJ132" s="45"/>
      <c r="BK132" s="46"/>
      <c r="BL132" s="45"/>
      <c r="BM132" s="46"/>
      <c r="BN132" s="45"/>
    </row>
    <row r="133" spans="1:66" ht="15">
      <c r="A133" s="61" t="s">
        <v>357</v>
      </c>
      <c r="B133" s="61" t="s">
        <v>509</v>
      </c>
      <c r="C133" s="62"/>
      <c r="D133" s="63"/>
      <c r="E133" s="62"/>
      <c r="F133" s="65"/>
      <c r="G133" s="62"/>
      <c r="H133" s="66"/>
      <c r="I133" s="67"/>
      <c r="J133" s="67"/>
      <c r="K133" s="31" t="s">
        <v>65</v>
      </c>
      <c r="L133" s="68">
        <v>196</v>
      </c>
      <c r="M133" s="68"/>
      <c r="N133" s="69"/>
      <c r="O133" s="76" t="s">
        <v>587</v>
      </c>
      <c r="P133" s="78">
        <v>44815.41884259259</v>
      </c>
      <c r="Q133" s="76" t="s">
        <v>670</v>
      </c>
      <c r="R133" s="76"/>
      <c r="S133" s="76"/>
      <c r="T133" s="81" t="s">
        <v>833</v>
      </c>
      <c r="U133" s="76"/>
      <c r="V133" s="79" t="str">
        <f>HYPERLINK("https://pbs.twimg.com/profile_images/1382752853865955330/I3PvsxEp_normal.jpg")</f>
        <v>https://pbs.twimg.com/profile_images/1382752853865955330/I3PvsxEp_normal.jpg</v>
      </c>
      <c r="W133" s="78">
        <v>44815.41884259259</v>
      </c>
      <c r="X133" s="84">
        <v>44815</v>
      </c>
      <c r="Y133" s="81" t="s">
        <v>1025</v>
      </c>
      <c r="Z133" s="79" t="str">
        <f>HYPERLINK("https://twitter.com/mark_dive/status/1568902956740759555")</f>
        <v>https://twitter.com/mark_dive/status/1568902956740759555</v>
      </c>
      <c r="AA133" s="76"/>
      <c r="AB133" s="76"/>
      <c r="AC133" s="81" t="s">
        <v>1356</v>
      </c>
      <c r="AD133" s="81" t="s">
        <v>1604</v>
      </c>
      <c r="AE133" s="76" t="b">
        <v>0</v>
      </c>
      <c r="AF133" s="76">
        <v>0</v>
      </c>
      <c r="AG133" s="81" t="s">
        <v>1714</v>
      </c>
      <c r="AH133" s="76" t="b">
        <v>0</v>
      </c>
      <c r="AI133" s="76" t="s">
        <v>1776</v>
      </c>
      <c r="AJ133" s="76"/>
      <c r="AK133" s="81" t="s">
        <v>1674</v>
      </c>
      <c r="AL133" s="76" t="b">
        <v>0</v>
      </c>
      <c r="AM133" s="76">
        <v>0</v>
      </c>
      <c r="AN133" s="81" t="s">
        <v>1674</v>
      </c>
      <c r="AO133" s="81" t="s">
        <v>1808</v>
      </c>
      <c r="AP133" s="76" t="b">
        <v>0</v>
      </c>
      <c r="AQ133" s="81" t="s">
        <v>1604</v>
      </c>
      <c r="AR133" s="76" t="s">
        <v>219</v>
      </c>
      <c r="AS133" s="76">
        <v>0</v>
      </c>
      <c r="AT133" s="76">
        <v>0</v>
      </c>
      <c r="AU133" s="76"/>
      <c r="AV133" s="76"/>
      <c r="AW133" s="76"/>
      <c r="AX133" s="76"/>
      <c r="AY133" s="76"/>
      <c r="AZ133" s="76"/>
      <c r="BA133" s="76"/>
      <c r="BB133" s="76"/>
      <c r="BC133">
        <v>1</v>
      </c>
      <c r="BD133" s="75" t="str">
        <f>REPLACE(INDEX(GroupVertices[Group],MATCH(Edges25[[#This Row],[Vertex 1]],GroupVertices[Vertex],0)),1,1,"")</f>
        <v>12</v>
      </c>
      <c r="BE133" s="75" t="str">
        <f>REPLACE(INDEX(GroupVertices[Group],MATCH(Edges25[[#This Row],[Vertex 2]],GroupVertices[Vertex],0)),1,1,"")</f>
        <v>12</v>
      </c>
      <c r="BF133" s="45">
        <v>0</v>
      </c>
      <c r="BG133" s="46">
        <v>0</v>
      </c>
      <c r="BH133" s="45">
        <v>0</v>
      </c>
      <c r="BI133" s="46">
        <v>0</v>
      </c>
      <c r="BJ133" s="45">
        <v>0</v>
      </c>
      <c r="BK133" s="46">
        <v>0</v>
      </c>
      <c r="BL133" s="45">
        <v>18</v>
      </c>
      <c r="BM133" s="46">
        <v>100</v>
      </c>
      <c r="BN133" s="45">
        <v>18</v>
      </c>
    </row>
    <row r="134" spans="1:66" ht="15">
      <c r="A134" s="61" t="s">
        <v>357</v>
      </c>
      <c r="B134" s="61" t="s">
        <v>510</v>
      </c>
      <c r="C134" s="62"/>
      <c r="D134" s="63"/>
      <c r="E134" s="62"/>
      <c r="F134" s="65"/>
      <c r="G134" s="62"/>
      <c r="H134" s="66"/>
      <c r="I134" s="67"/>
      <c r="J134" s="67"/>
      <c r="K134" s="31" t="s">
        <v>65</v>
      </c>
      <c r="L134" s="68">
        <v>197</v>
      </c>
      <c r="M134" s="68"/>
      <c r="N134" s="69"/>
      <c r="O134" s="76" t="s">
        <v>587</v>
      </c>
      <c r="P134" s="78">
        <v>44816.51896990741</v>
      </c>
      <c r="Q134" s="76" t="s">
        <v>671</v>
      </c>
      <c r="R134" s="76"/>
      <c r="S134" s="76"/>
      <c r="T134" s="81" t="s">
        <v>833</v>
      </c>
      <c r="U134" s="76"/>
      <c r="V134" s="79" t="str">
        <f>HYPERLINK("https://pbs.twimg.com/profile_images/1382752853865955330/I3PvsxEp_normal.jpg")</f>
        <v>https://pbs.twimg.com/profile_images/1382752853865955330/I3PvsxEp_normal.jpg</v>
      </c>
      <c r="W134" s="78">
        <v>44816.51896990741</v>
      </c>
      <c r="X134" s="84">
        <v>44816</v>
      </c>
      <c r="Y134" s="81" t="s">
        <v>1026</v>
      </c>
      <c r="Z134" s="79" t="str">
        <f>HYPERLINK("https://twitter.com/mark_dive/status/1569301632042549249")</f>
        <v>https://twitter.com/mark_dive/status/1569301632042549249</v>
      </c>
      <c r="AA134" s="76"/>
      <c r="AB134" s="76"/>
      <c r="AC134" s="81" t="s">
        <v>1357</v>
      </c>
      <c r="AD134" s="81" t="s">
        <v>1605</v>
      </c>
      <c r="AE134" s="76" t="b">
        <v>0</v>
      </c>
      <c r="AF134" s="76">
        <v>1</v>
      </c>
      <c r="AG134" s="81" t="s">
        <v>1715</v>
      </c>
      <c r="AH134" s="76" t="b">
        <v>0</v>
      </c>
      <c r="AI134" s="76" t="s">
        <v>1776</v>
      </c>
      <c r="AJ134" s="76"/>
      <c r="AK134" s="81" t="s">
        <v>1674</v>
      </c>
      <c r="AL134" s="76" t="b">
        <v>0</v>
      </c>
      <c r="AM134" s="76">
        <v>0</v>
      </c>
      <c r="AN134" s="81" t="s">
        <v>1674</v>
      </c>
      <c r="AO134" s="81" t="s">
        <v>1808</v>
      </c>
      <c r="AP134" s="76" t="b">
        <v>0</v>
      </c>
      <c r="AQ134" s="81" t="s">
        <v>1605</v>
      </c>
      <c r="AR134" s="76" t="s">
        <v>219</v>
      </c>
      <c r="AS134" s="76">
        <v>0</v>
      </c>
      <c r="AT134" s="76">
        <v>0</v>
      </c>
      <c r="AU134" s="76"/>
      <c r="AV134" s="76"/>
      <c r="AW134" s="76"/>
      <c r="AX134" s="76"/>
      <c r="AY134" s="76"/>
      <c r="AZ134" s="76"/>
      <c r="BA134" s="76"/>
      <c r="BB134" s="76"/>
      <c r="BC134">
        <v>1</v>
      </c>
      <c r="BD134" s="75" t="str">
        <f>REPLACE(INDEX(GroupVertices[Group],MATCH(Edges25[[#This Row],[Vertex 1]],GroupVertices[Vertex],0)),1,1,"")</f>
        <v>12</v>
      </c>
      <c r="BE134" s="75" t="str">
        <f>REPLACE(INDEX(GroupVertices[Group],MATCH(Edges25[[#This Row],[Vertex 2]],GroupVertices[Vertex],0)),1,1,"")</f>
        <v>12</v>
      </c>
      <c r="BF134" s="45">
        <v>0</v>
      </c>
      <c r="BG134" s="46">
        <v>0</v>
      </c>
      <c r="BH134" s="45">
        <v>0</v>
      </c>
      <c r="BI134" s="46">
        <v>0</v>
      </c>
      <c r="BJ134" s="45">
        <v>0</v>
      </c>
      <c r="BK134" s="46">
        <v>0</v>
      </c>
      <c r="BL134" s="45">
        <v>17</v>
      </c>
      <c r="BM134" s="46">
        <v>100</v>
      </c>
      <c r="BN134" s="45">
        <v>17</v>
      </c>
    </row>
    <row r="135" spans="1:66" ht="15">
      <c r="A135" s="61" t="s">
        <v>358</v>
      </c>
      <c r="B135" s="61" t="s">
        <v>364</v>
      </c>
      <c r="C135" s="62"/>
      <c r="D135" s="63"/>
      <c r="E135" s="62"/>
      <c r="F135" s="65"/>
      <c r="G135" s="62"/>
      <c r="H135" s="66"/>
      <c r="I135" s="67"/>
      <c r="J135" s="67"/>
      <c r="K135" s="31" t="s">
        <v>65</v>
      </c>
      <c r="L135" s="68">
        <v>198</v>
      </c>
      <c r="M135" s="68"/>
      <c r="N135" s="69"/>
      <c r="O135" s="76" t="s">
        <v>586</v>
      </c>
      <c r="P135" s="78">
        <v>44816.56186342592</v>
      </c>
      <c r="Q135" s="76" t="s">
        <v>672</v>
      </c>
      <c r="R135" s="79" t="str">
        <f>HYPERLINK("https://twitter.com/MaxDfelladius/status/1569308389137649669")</f>
        <v>https://twitter.com/MaxDfelladius/status/1569308389137649669</v>
      </c>
      <c r="S135" s="76" t="s">
        <v>783</v>
      </c>
      <c r="T135" s="81" t="s">
        <v>835</v>
      </c>
      <c r="U135" s="76"/>
      <c r="V135" s="79" t="str">
        <f>HYPERLINK("https://pbs.twimg.com/profile_images/1490317095183294464/1tjDF5N-_normal.jpg")</f>
        <v>https://pbs.twimg.com/profile_images/1490317095183294464/1tjDF5N-_normal.jpg</v>
      </c>
      <c r="W135" s="78">
        <v>44816.56186342592</v>
      </c>
      <c r="X135" s="84">
        <v>44816</v>
      </c>
      <c r="Y135" s="81" t="s">
        <v>1027</v>
      </c>
      <c r="Z135" s="79" t="str">
        <f>HYPERLINK("https://twitter.com/gamodana/status/1569317173545545728")</f>
        <v>https://twitter.com/gamodana/status/1569317173545545728</v>
      </c>
      <c r="AA135" s="76"/>
      <c r="AB135" s="76"/>
      <c r="AC135" s="81" t="s">
        <v>1358</v>
      </c>
      <c r="AD135" s="76"/>
      <c r="AE135" s="76" t="b">
        <v>0</v>
      </c>
      <c r="AF135" s="76">
        <v>0</v>
      </c>
      <c r="AG135" s="81" t="s">
        <v>1674</v>
      </c>
      <c r="AH135" s="76" t="b">
        <v>1</v>
      </c>
      <c r="AI135" s="76" t="s">
        <v>1772</v>
      </c>
      <c r="AJ135" s="76"/>
      <c r="AK135" s="81" t="s">
        <v>1796</v>
      </c>
      <c r="AL135" s="76" t="b">
        <v>0</v>
      </c>
      <c r="AM135" s="76">
        <v>4</v>
      </c>
      <c r="AN135" s="81" t="s">
        <v>1364</v>
      </c>
      <c r="AO135" s="81" t="s">
        <v>1807</v>
      </c>
      <c r="AP135" s="76" t="b">
        <v>0</v>
      </c>
      <c r="AQ135" s="81" t="s">
        <v>1364</v>
      </c>
      <c r="AR135" s="76" t="s">
        <v>219</v>
      </c>
      <c r="AS135" s="76">
        <v>0</v>
      </c>
      <c r="AT135" s="76">
        <v>0</v>
      </c>
      <c r="AU135" s="76"/>
      <c r="AV135" s="76"/>
      <c r="AW135" s="76"/>
      <c r="AX135" s="76"/>
      <c r="AY135" s="76"/>
      <c r="AZ135" s="76"/>
      <c r="BA135" s="76"/>
      <c r="BB135" s="76"/>
      <c r="BC135">
        <v>1</v>
      </c>
      <c r="BD135" s="75" t="str">
        <f>REPLACE(INDEX(GroupVertices[Group],MATCH(Edges25[[#This Row],[Vertex 1]],GroupVertices[Vertex],0)),1,1,"")</f>
        <v>17</v>
      </c>
      <c r="BE135" s="75" t="str">
        <f>REPLACE(INDEX(GroupVertices[Group],MATCH(Edges25[[#This Row],[Vertex 2]],GroupVertices[Vertex],0)),1,1,"")</f>
        <v>17</v>
      </c>
      <c r="BF135" s="45">
        <v>1</v>
      </c>
      <c r="BG135" s="46">
        <v>2.380952380952381</v>
      </c>
      <c r="BH135" s="45">
        <v>1</v>
      </c>
      <c r="BI135" s="46">
        <v>2.380952380952381</v>
      </c>
      <c r="BJ135" s="45">
        <v>0</v>
      </c>
      <c r="BK135" s="46">
        <v>0</v>
      </c>
      <c r="BL135" s="45">
        <v>40</v>
      </c>
      <c r="BM135" s="46">
        <v>95.23809523809524</v>
      </c>
      <c r="BN135" s="45">
        <v>42</v>
      </c>
    </row>
    <row r="136" spans="1:66" ht="15">
      <c r="A136" s="61" t="s">
        <v>359</v>
      </c>
      <c r="B136" s="61" t="s">
        <v>364</v>
      </c>
      <c r="C136" s="62"/>
      <c r="D136" s="63"/>
      <c r="E136" s="62"/>
      <c r="F136" s="65"/>
      <c r="G136" s="62"/>
      <c r="H136" s="66"/>
      <c r="I136" s="67"/>
      <c r="J136" s="67"/>
      <c r="K136" s="31" t="s">
        <v>65</v>
      </c>
      <c r="L136" s="68">
        <v>199</v>
      </c>
      <c r="M136" s="68"/>
      <c r="N136" s="69"/>
      <c r="O136" s="76" t="s">
        <v>587</v>
      </c>
      <c r="P136" s="78">
        <v>44816.584085648145</v>
      </c>
      <c r="Q136" s="76" t="s">
        <v>673</v>
      </c>
      <c r="R136" s="76"/>
      <c r="S136" s="76"/>
      <c r="T136" s="81" t="s">
        <v>795</v>
      </c>
      <c r="U136" s="76"/>
      <c r="V136" s="79" t="str">
        <f>HYPERLINK("https://pbs.twimg.com/profile_images/1565601273793155072/_ZBFA3xK_normal.jpg")</f>
        <v>https://pbs.twimg.com/profile_images/1565601273793155072/_ZBFA3xK_normal.jpg</v>
      </c>
      <c r="W136" s="78">
        <v>44816.584085648145</v>
      </c>
      <c r="X136" s="84">
        <v>44816</v>
      </c>
      <c r="Y136" s="81" t="s">
        <v>1028</v>
      </c>
      <c r="Z136" s="79" t="str">
        <f>HYPERLINK("https://twitter.com/solomon73155195/status/1569325225749217282")</f>
        <v>https://twitter.com/solomon73155195/status/1569325225749217282</v>
      </c>
      <c r="AA136" s="76"/>
      <c r="AB136" s="76"/>
      <c r="AC136" s="81" t="s">
        <v>1359</v>
      </c>
      <c r="AD136" s="81" t="s">
        <v>1364</v>
      </c>
      <c r="AE136" s="76" t="b">
        <v>0</v>
      </c>
      <c r="AF136" s="76">
        <v>0</v>
      </c>
      <c r="AG136" s="81" t="s">
        <v>1716</v>
      </c>
      <c r="AH136" s="76" t="b">
        <v>0</v>
      </c>
      <c r="AI136" s="76" t="s">
        <v>1773</v>
      </c>
      <c r="AJ136" s="76"/>
      <c r="AK136" s="81" t="s">
        <v>1674</v>
      </c>
      <c r="AL136" s="76" t="b">
        <v>0</v>
      </c>
      <c r="AM136" s="76">
        <v>0</v>
      </c>
      <c r="AN136" s="81" t="s">
        <v>1674</v>
      </c>
      <c r="AO136" s="81" t="s">
        <v>1807</v>
      </c>
      <c r="AP136" s="76" t="b">
        <v>0</v>
      </c>
      <c r="AQ136" s="81" t="s">
        <v>1364</v>
      </c>
      <c r="AR136" s="76" t="s">
        <v>219</v>
      </c>
      <c r="AS136" s="76">
        <v>0</v>
      </c>
      <c r="AT136" s="76">
        <v>0</v>
      </c>
      <c r="AU136" s="76"/>
      <c r="AV136" s="76"/>
      <c r="AW136" s="76"/>
      <c r="AX136" s="76"/>
      <c r="AY136" s="76"/>
      <c r="AZ136" s="76"/>
      <c r="BA136" s="76"/>
      <c r="BB136" s="76"/>
      <c r="BC136">
        <v>1</v>
      </c>
      <c r="BD136" s="75" t="str">
        <f>REPLACE(INDEX(GroupVertices[Group],MATCH(Edges25[[#This Row],[Vertex 1]],GroupVertices[Vertex],0)),1,1,"")</f>
        <v>17</v>
      </c>
      <c r="BE136" s="75" t="str">
        <f>REPLACE(INDEX(GroupVertices[Group],MATCH(Edges25[[#This Row],[Vertex 2]],GroupVertices[Vertex],0)),1,1,"")</f>
        <v>17</v>
      </c>
      <c r="BF136" s="45">
        <v>0</v>
      </c>
      <c r="BG136" s="46">
        <v>0</v>
      </c>
      <c r="BH136" s="45">
        <v>0</v>
      </c>
      <c r="BI136" s="46">
        <v>0</v>
      </c>
      <c r="BJ136" s="45">
        <v>0</v>
      </c>
      <c r="BK136" s="46">
        <v>0</v>
      </c>
      <c r="BL136" s="45">
        <v>2</v>
      </c>
      <c r="BM136" s="46">
        <v>100</v>
      </c>
      <c r="BN136" s="45">
        <v>2</v>
      </c>
    </row>
    <row r="137" spans="1:66" ht="15">
      <c r="A137" s="61" t="s">
        <v>360</v>
      </c>
      <c r="B137" s="61" t="s">
        <v>511</v>
      </c>
      <c r="C137" s="62"/>
      <c r="D137" s="63"/>
      <c r="E137" s="62"/>
      <c r="F137" s="65"/>
      <c r="G137" s="62"/>
      <c r="H137" s="66"/>
      <c r="I137" s="67"/>
      <c r="J137" s="67"/>
      <c r="K137" s="31" t="s">
        <v>65</v>
      </c>
      <c r="L137" s="68">
        <v>200</v>
      </c>
      <c r="M137" s="68"/>
      <c r="N137" s="69"/>
      <c r="O137" s="76" t="s">
        <v>588</v>
      </c>
      <c r="P137" s="78">
        <v>44816.60480324074</v>
      </c>
      <c r="Q137" s="76" t="s">
        <v>674</v>
      </c>
      <c r="R137" s="76"/>
      <c r="S137" s="76"/>
      <c r="T137" s="81" t="s">
        <v>836</v>
      </c>
      <c r="U137" s="76"/>
      <c r="V137" s="79" t="str">
        <f>HYPERLINK("https://pbs.twimg.com/profile_images/1544271154147385345/p1GlPOSh_normal.png")</f>
        <v>https://pbs.twimg.com/profile_images/1544271154147385345/p1GlPOSh_normal.png</v>
      </c>
      <c r="W137" s="78">
        <v>44816.60480324074</v>
      </c>
      <c r="X137" s="84">
        <v>44816</v>
      </c>
      <c r="Y137" s="81" t="s">
        <v>1029</v>
      </c>
      <c r="Z137" s="79" t="str">
        <f>HYPERLINK("https://twitter.com/mariusstannard/status/1569332733486268416")</f>
        <v>https://twitter.com/mariusstannard/status/1569332733486268416</v>
      </c>
      <c r="AA137" s="76"/>
      <c r="AB137" s="76"/>
      <c r="AC137" s="81" t="s">
        <v>1360</v>
      </c>
      <c r="AD137" s="81" t="s">
        <v>1606</v>
      </c>
      <c r="AE137" s="76" t="b">
        <v>0</v>
      </c>
      <c r="AF137" s="76">
        <v>0</v>
      </c>
      <c r="AG137" s="81" t="s">
        <v>1717</v>
      </c>
      <c r="AH137" s="76" t="b">
        <v>0</v>
      </c>
      <c r="AI137" s="76" t="s">
        <v>1772</v>
      </c>
      <c r="AJ137" s="76"/>
      <c r="AK137" s="81" t="s">
        <v>1674</v>
      </c>
      <c r="AL137" s="76" t="b">
        <v>0</v>
      </c>
      <c r="AM137" s="76">
        <v>0</v>
      </c>
      <c r="AN137" s="81" t="s">
        <v>1674</v>
      </c>
      <c r="AO137" s="81" t="s">
        <v>1808</v>
      </c>
      <c r="AP137" s="76" t="b">
        <v>0</v>
      </c>
      <c r="AQ137" s="81" t="s">
        <v>1606</v>
      </c>
      <c r="AR137" s="76" t="s">
        <v>219</v>
      </c>
      <c r="AS137" s="76">
        <v>0</v>
      </c>
      <c r="AT137" s="76">
        <v>0</v>
      </c>
      <c r="AU137" s="76"/>
      <c r="AV137" s="76"/>
      <c r="AW137" s="76"/>
      <c r="AX137" s="76"/>
      <c r="AY137" s="76"/>
      <c r="AZ137" s="76"/>
      <c r="BA137" s="76"/>
      <c r="BB137" s="76"/>
      <c r="BC137">
        <v>1</v>
      </c>
      <c r="BD137" s="75" t="str">
        <f>REPLACE(INDEX(GroupVertices[Group],MATCH(Edges25[[#This Row],[Vertex 1]],GroupVertices[Vertex],0)),1,1,"")</f>
        <v>1</v>
      </c>
      <c r="BE137" s="75" t="str">
        <f>REPLACE(INDEX(GroupVertices[Group],MATCH(Edges25[[#This Row],[Vertex 2]],GroupVertices[Vertex],0)),1,1,"")</f>
        <v>1</v>
      </c>
      <c r="BF137" s="45"/>
      <c r="BG137" s="46"/>
      <c r="BH137" s="45"/>
      <c r="BI137" s="46"/>
      <c r="BJ137" s="45"/>
      <c r="BK137" s="46"/>
      <c r="BL137" s="45"/>
      <c r="BM137" s="46"/>
      <c r="BN137" s="45"/>
    </row>
    <row r="138" spans="1:66" ht="15">
      <c r="A138" s="61" t="s">
        <v>361</v>
      </c>
      <c r="B138" s="61" t="s">
        <v>361</v>
      </c>
      <c r="C138" s="62"/>
      <c r="D138" s="63"/>
      <c r="E138" s="62"/>
      <c r="F138" s="65"/>
      <c r="G138" s="62"/>
      <c r="H138" s="66"/>
      <c r="I138" s="67"/>
      <c r="J138" s="67"/>
      <c r="K138" s="31" t="s">
        <v>65</v>
      </c>
      <c r="L138" s="68">
        <v>202</v>
      </c>
      <c r="M138" s="68"/>
      <c r="N138" s="69"/>
      <c r="O138" s="76" t="s">
        <v>219</v>
      </c>
      <c r="P138" s="78">
        <v>44816.63136574074</v>
      </c>
      <c r="Q138" s="76" t="s">
        <v>675</v>
      </c>
      <c r="R138" s="76"/>
      <c r="S138" s="76"/>
      <c r="T138" s="76"/>
      <c r="U138" s="76"/>
      <c r="V138" s="79" t="str">
        <f>HYPERLINK("https://pbs.twimg.com/profile_images/1287874019660791808/wm9JfkaQ_normal.jpg")</f>
        <v>https://pbs.twimg.com/profile_images/1287874019660791808/wm9JfkaQ_normal.jpg</v>
      </c>
      <c r="W138" s="78">
        <v>44816.63136574074</v>
      </c>
      <c r="X138" s="84">
        <v>44816</v>
      </c>
      <c r="Y138" s="81" t="s">
        <v>1030</v>
      </c>
      <c r="Z138" s="79" t="str">
        <f>HYPERLINK("https://twitter.com/kr33b/status/1569342361083457537")</f>
        <v>https://twitter.com/kr33b/status/1569342361083457537</v>
      </c>
      <c r="AA138" s="76"/>
      <c r="AB138" s="76"/>
      <c r="AC138" s="81" t="s">
        <v>1361</v>
      </c>
      <c r="AD138" s="81" t="s">
        <v>1607</v>
      </c>
      <c r="AE138" s="76" t="b">
        <v>0</v>
      </c>
      <c r="AF138" s="76">
        <v>2</v>
      </c>
      <c r="AG138" s="81" t="s">
        <v>1718</v>
      </c>
      <c r="AH138" s="76" t="b">
        <v>0</v>
      </c>
      <c r="AI138" s="76" t="s">
        <v>1781</v>
      </c>
      <c r="AJ138" s="76"/>
      <c r="AK138" s="81" t="s">
        <v>1674</v>
      </c>
      <c r="AL138" s="76" t="b">
        <v>0</v>
      </c>
      <c r="AM138" s="76">
        <v>1</v>
      </c>
      <c r="AN138" s="81" t="s">
        <v>1674</v>
      </c>
      <c r="AO138" s="81" t="s">
        <v>1808</v>
      </c>
      <c r="AP138" s="76" t="b">
        <v>0</v>
      </c>
      <c r="AQ138" s="81" t="s">
        <v>1607</v>
      </c>
      <c r="AR138" s="76" t="s">
        <v>219</v>
      </c>
      <c r="AS138" s="76">
        <v>0</v>
      </c>
      <c r="AT138" s="76">
        <v>0</v>
      </c>
      <c r="AU138" s="76"/>
      <c r="AV138" s="76"/>
      <c r="AW138" s="76"/>
      <c r="AX138" s="76"/>
      <c r="AY138" s="76"/>
      <c r="AZ138" s="76"/>
      <c r="BA138" s="76"/>
      <c r="BB138" s="76"/>
      <c r="BC138">
        <v>1</v>
      </c>
      <c r="BD138" s="75" t="str">
        <f>REPLACE(INDEX(GroupVertices[Group],MATCH(Edges25[[#This Row],[Vertex 1]],GroupVertices[Vertex],0)),1,1,"")</f>
        <v>48</v>
      </c>
      <c r="BE138" s="75" t="str">
        <f>REPLACE(INDEX(GroupVertices[Group],MATCH(Edges25[[#This Row],[Vertex 2]],GroupVertices[Vertex],0)),1,1,"")</f>
        <v>48</v>
      </c>
      <c r="BF138" s="45">
        <v>0</v>
      </c>
      <c r="BG138" s="46">
        <v>0</v>
      </c>
      <c r="BH138" s="45">
        <v>0</v>
      </c>
      <c r="BI138" s="46">
        <v>0</v>
      </c>
      <c r="BJ138" s="45">
        <v>0</v>
      </c>
      <c r="BK138" s="46">
        <v>0</v>
      </c>
      <c r="BL138" s="45">
        <v>37</v>
      </c>
      <c r="BM138" s="46">
        <v>100</v>
      </c>
      <c r="BN138" s="45">
        <v>37</v>
      </c>
    </row>
    <row r="139" spans="1:66" ht="15">
      <c r="A139" s="61" t="s">
        <v>362</v>
      </c>
      <c r="B139" s="61" t="s">
        <v>361</v>
      </c>
      <c r="C139" s="62"/>
      <c r="D139" s="63"/>
      <c r="E139" s="62"/>
      <c r="F139" s="65"/>
      <c r="G139" s="62"/>
      <c r="H139" s="66"/>
      <c r="I139" s="67"/>
      <c r="J139" s="67"/>
      <c r="K139" s="31" t="s">
        <v>65</v>
      </c>
      <c r="L139" s="68">
        <v>203</v>
      </c>
      <c r="M139" s="68"/>
      <c r="N139" s="69"/>
      <c r="O139" s="76" t="s">
        <v>586</v>
      </c>
      <c r="P139" s="78">
        <v>44816.672326388885</v>
      </c>
      <c r="Q139" s="76" t="s">
        <v>675</v>
      </c>
      <c r="R139" s="76"/>
      <c r="S139" s="76"/>
      <c r="T139" s="76"/>
      <c r="U139" s="76"/>
      <c r="V139" s="79" t="str">
        <f>HYPERLINK("https://pbs.twimg.com/profile_images/1222634122411237376/IwyBl8Vy_normal.jpg")</f>
        <v>https://pbs.twimg.com/profile_images/1222634122411237376/IwyBl8Vy_normal.jpg</v>
      </c>
      <c r="W139" s="78">
        <v>44816.672326388885</v>
      </c>
      <c r="X139" s="84">
        <v>44816</v>
      </c>
      <c r="Y139" s="81" t="s">
        <v>1031</v>
      </c>
      <c r="Z139" s="79" t="str">
        <f>HYPERLINK("https://twitter.com/pp_now/status/1569357205987532800")</f>
        <v>https://twitter.com/pp_now/status/1569357205987532800</v>
      </c>
      <c r="AA139" s="76"/>
      <c r="AB139" s="76"/>
      <c r="AC139" s="81" t="s">
        <v>1362</v>
      </c>
      <c r="AD139" s="76"/>
      <c r="AE139" s="76" t="b">
        <v>0</v>
      </c>
      <c r="AF139" s="76">
        <v>0</v>
      </c>
      <c r="AG139" s="81" t="s">
        <v>1674</v>
      </c>
      <c r="AH139" s="76" t="b">
        <v>0</v>
      </c>
      <c r="AI139" s="76" t="s">
        <v>1781</v>
      </c>
      <c r="AJ139" s="76"/>
      <c r="AK139" s="81" t="s">
        <v>1674</v>
      </c>
      <c r="AL139" s="76" t="b">
        <v>0</v>
      </c>
      <c r="AM139" s="76">
        <v>1</v>
      </c>
      <c r="AN139" s="81" t="s">
        <v>1361</v>
      </c>
      <c r="AO139" s="81" t="s">
        <v>1807</v>
      </c>
      <c r="AP139" s="76" t="b">
        <v>0</v>
      </c>
      <c r="AQ139" s="81" t="s">
        <v>1361</v>
      </c>
      <c r="AR139" s="76" t="s">
        <v>219</v>
      </c>
      <c r="AS139" s="76">
        <v>0</v>
      </c>
      <c r="AT139" s="76">
        <v>0</v>
      </c>
      <c r="AU139" s="76"/>
      <c r="AV139" s="76"/>
      <c r="AW139" s="76"/>
      <c r="AX139" s="76"/>
      <c r="AY139" s="76"/>
      <c r="AZ139" s="76"/>
      <c r="BA139" s="76"/>
      <c r="BB139" s="76"/>
      <c r="BC139">
        <v>1</v>
      </c>
      <c r="BD139" s="75" t="str">
        <f>REPLACE(INDEX(GroupVertices[Group],MATCH(Edges25[[#This Row],[Vertex 1]],GroupVertices[Vertex],0)),1,1,"")</f>
        <v>48</v>
      </c>
      <c r="BE139" s="75" t="str">
        <f>REPLACE(INDEX(GroupVertices[Group],MATCH(Edges25[[#This Row],[Vertex 2]],GroupVertices[Vertex],0)),1,1,"")</f>
        <v>48</v>
      </c>
      <c r="BF139" s="45">
        <v>0</v>
      </c>
      <c r="BG139" s="46">
        <v>0</v>
      </c>
      <c r="BH139" s="45">
        <v>0</v>
      </c>
      <c r="BI139" s="46">
        <v>0</v>
      </c>
      <c r="BJ139" s="45">
        <v>0</v>
      </c>
      <c r="BK139" s="46">
        <v>0</v>
      </c>
      <c r="BL139" s="45">
        <v>37</v>
      </c>
      <c r="BM139" s="46">
        <v>100</v>
      </c>
      <c r="BN139" s="45">
        <v>37</v>
      </c>
    </row>
    <row r="140" spans="1:66" ht="15">
      <c r="A140" s="61" t="s">
        <v>363</v>
      </c>
      <c r="B140" s="61" t="s">
        <v>364</v>
      </c>
      <c r="C140" s="62"/>
      <c r="D140" s="63"/>
      <c r="E140" s="62"/>
      <c r="F140" s="65"/>
      <c r="G140" s="62"/>
      <c r="H140" s="66"/>
      <c r="I140" s="67"/>
      <c r="J140" s="67"/>
      <c r="K140" s="31" t="s">
        <v>65</v>
      </c>
      <c r="L140" s="68">
        <v>204</v>
      </c>
      <c r="M140" s="68"/>
      <c r="N140" s="69"/>
      <c r="O140" s="76" t="s">
        <v>586</v>
      </c>
      <c r="P140" s="78">
        <v>44816.67445601852</v>
      </c>
      <c r="Q140" s="76" t="s">
        <v>672</v>
      </c>
      <c r="R140" s="79" t="str">
        <f>HYPERLINK("https://twitter.com/MaxDfelladius/status/1569308389137649669")</f>
        <v>https://twitter.com/MaxDfelladius/status/1569308389137649669</v>
      </c>
      <c r="S140" s="76" t="s">
        <v>783</v>
      </c>
      <c r="T140" s="81" t="s">
        <v>835</v>
      </c>
      <c r="U140" s="76"/>
      <c r="V140" s="79" t="str">
        <f>HYPERLINK("https://pbs.twimg.com/profile_images/1570257207110897666/NP3eJKG7_normal.jpg")</f>
        <v>https://pbs.twimg.com/profile_images/1570257207110897666/NP3eJKG7_normal.jpg</v>
      </c>
      <c r="W140" s="78">
        <v>44816.67445601852</v>
      </c>
      <c r="X140" s="84">
        <v>44816</v>
      </c>
      <c r="Y140" s="81" t="s">
        <v>1032</v>
      </c>
      <c r="Z140" s="79" t="str">
        <f>HYPERLINK("https://twitter.com/ymnkv/status/1569357974484799489")</f>
        <v>https://twitter.com/ymnkv/status/1569357974484799489</v>
      </c>
      <c r="AA140" s="76"/>
      <c r="AB140" s="76"/>
      <c r="AC140" s="81" t="s">
        <v>1363</v>
      </c>
      <c r="AD140" s="76"/>
      <c r="AE140" s="76" t="b">
        <v>0</v>
      </c>
      <c r="AF140" s="76">
        <v>0</v>
      </c>
      <c r="AG140" s="81" t="s">
        <v>1674</v>
      </c>
      <c r="AH140" s="76" t="b">
        <v>1</v>
      </c>
      <c r="AI140" s="76" t="s">
        <v>1772</v>
      </c>
      <c r="AJ140" s="76"/>
      <c r="AK140" s="81" t="s">
        <v>1796</v>
      </c>
      <c r="AL140" s="76" t="b">
        <v>0</v>
      </c>
      <c r="AM140" s="76">
        <v>4</v>
      </c>
      <c r="AN140" s="81" t="s">
        <v>1364</v>
      </c>
      <c r="AO140" s="81" t="s">
        <v>1808</v>
      </c>
      <c r="AP140" s="76" t="b">
        <v>0</v>
      </c>
      <c r="AQ140" s="81" t="s">
        <v>1364</v>
      </c>
      <c r="AR140" s="76" t="s">
        <v>219</v>
      </c>
      <c r="AS140" s="76">
        <v>0</v>
      </c>
      <c r="AT140" s="76">
        <v>0</v>
      </c>
      <c r="AU140" s="76"/>
      <c r="AV140" s="76"/>
      <c r="AW140" s="76"/>
      <c r="AX140" s="76"/>
      <c r="AY140" s="76"/>
      <c r="AZ140" s="76"/>
      <c r="BA140" s="76"/>
      <c r="BB140" s="76"/>
      <c r="BC140">
        <v>1</v>
      </c>
      <c r="BD140" s="75" t="str">
        <f>REPLACE(INDEX(GroupVertices[Group],MATCH(Edges25[[#This Row],[Vertex 1]],GroupVertices[Vertex],0)),1,1,"")</f>
        <v>17</v>
      </c>
      <c r="BE140" s="75" t="str">
        <f>REPLACE(INDEX(GroupVertices[Group],MATCH(Edges25[[#This Row],[Vertex 2]],GroupVertices[Vertex],0)),1,1,"")</f>
        <v>17</v>
      </c>
      <c r="BF140" s="45">
        <v>1</v>
      </c>
      <c r="BG140" s="46">
        <v>2.380952380952381</v>
      </c>
      <c r="BH140" s="45">
        <v>1</v>
      </c>
      <c r="BI140" s="46">
        <v>2.380952380952381</v>
      </c>
      <c r="BJ140" s="45">
        <v>0</v>
      </c>
      <c r="BK140" s="46">
        <v>0</v>
      </c>
      <c r="BL140" s="45">
        <v>40</v>
      </c>
      <c r="BM140" s="46">
        <v>95.23809523809524</v>
      </c>
      <c r="BN140" s="45">
        <v>42</v>
      </c>
    </row>
    <row r="141" spans="1:66" ht="15">
      <c r="A141" s="61" t="s">
        <v>364</v>
      </c>
      <c r="B141" s="61" t="s">
        <v>364</v>
      </c>
      <c r="C141" s="62"/>
      <c r="D141" s="63"/>
      <c r="E141" s="62"/>
      <c r="F141" s="65"/>
      <c r="G141" s="62"/>
      <c r="H141" s="66"/>
      <c r="I141" s="67"/>
      <c r="J141" s="67"/>
      <c r="K141" s="31" t="s">
        <v>65</v>
      </c>
      <c r="L141" s="68">
        <v>205</v>
      </c>
      <c r="M141" s="68"/>
      <c r="N141" s="69"/>
      <c r="O141" s="76" t="s">
        <v>219</v>
      </c>
      <c r="P141" s="78">
        <v>44816.555347222224</v>
      </c>
      <c r="Q141" s="76" t="s">
        <v>672</v>
      </c>
      <c r="R141" s="79" t="str">
        <f>HYPERLINK("https://twitter.com/MaxDfelladius/status/1569308389137649669")</f>
        <v>https://twitter.com/MaxDfelladius/status/1569308389137649669</v>
      </c>
      <c r="S141" s="76" t="s">
        <v>783</v>
      </c>
      <c r="T141" s="81" t="s">
        <v>835</v>
      </c>
      <c r="U141" s="76"/>
      <c r="V141" s="79" t="str">
        <f>HYPERLINK("https://pbs.twimg.com/profile_images/923110970515513344/mN-gzyJK_normal.jpg")</f>
        <v>https://pbs.twimg.com/profile_images/923110970515513344/mN-gzyJK_normal.jpg</v>
      </c>
      <c r="W141" s="78">
        <v>44816.555347222224</v>
      </c>
      <c r="X141" s="84">
        <v>44816</v>
      </c>
      <c r="Y141" s="81" t="s">
        <v>1033</v>
      </c>
      <c r="Z141" s="79" t="str">
        <f>HYPERLINK("https://twitter.com/akorybko/status/1569314814589108225")</f>
        <v>https://twitter.com/akorybko/status/1569314814589108225</v>
      </c>
      <c r="AA141" s="76"/>
      <c r="AB141" s="76"/>
      <c r="AC141" s="81" t="s">
        <v>1364</v>
      </c>
      <c r="AD141" s="76"/>
      <c r="AE141" s="76" t="b">
        <v>0</v>
      </c>
      <c r="AF141" s="76">
        <v>16</v>
      </c>
      <c r="AG141" s="81" t="s">
        <v>1674</v>
      </c>
      <c r="AH141" s="76" t="b">
        <v>1</v>
      </c>
      <c r="AI141" s="76" t="s">
        <v>1772</v>
      </c>
      <c r="AJ141" s="76"/>
      <c r="AK141" s="81" t="s">
        <v>1796</v>
      </c>
      <c r="AL141" s="76" t="b">
        <v>0</v>
      </c>
      <c r="AM141" s="76">
        <v>4</v>
      </c>
      <c r="AN141" s="81" t="s">
        <v>1674</v>
      </c>
      <c r="AO141" s="81" t="s">
        <v>1809</v>
      </c>
      <c r="AP141" s="76" t="b">
        <v>0</v>
      </c>
      <c r="AQ141" s="81" t="s">
        <v>1364</v>
      </c>
      <c r="AR141" s="76" t="s">
        <v>219</v>
      </c>
      <c r="AS141" s="76">
        <v>0</v>
      </c>
      <c r="AT141" s="76">
        <v>0</v>
      </c>
      <c r="AU141" s="76"/>
      <c r="AV141" s="76"/>
      <c r="AW141" s="76"/>
      <c r="AX141" s="76"/>
      <c r="AY141" s="76"/>
      <c r="AZ141" s="76"/>
      <c r="BA141" s="76"/>
      <c r="BB141" s="76"/>
      <c r="BC141">
        <v>1</v>
      </c>
      <c r="BD141" s="75" t="str">
        <f>REPLACE(INDEX(GroupVertices[Group],MATCH(Edges25[[#This Row],[Vertex 1]],GroupVertices[Vertex],0)),1,1,"")</f>
        <v>17</v>
      </c>
      <c r="BE141" s="75" t="str">
        <f>REPLACE(INDEX(GroupVertices[Group],MATCH(Edges25[[#This Row],[Vertex 2]],GroupVertices[Vertex],0)),1,1,"")</f>
        <v>17</v>
      </c>
      <c r="BF141" s="45">
        <v>1</v>
      </c>
      <c r="BG141" s="46">
        <v>2.380952380952381</v>
      </c>
      <c r="BH141" s="45">
        <v>1</v>
      </c>
      <c r="BI141" s="46">
        <v>2.380952380952381</v>
      </c>
      <c r="BJ141" s="45">
        <v>0</v>
      </c>
      <c r="BK141" s="46">
        <v>0</v>
      </c>
      <c r="BL141" s="45">
        <v>40</v>
      </c>
      <c r="BM141" s="46">
        <v>95.23809523809524</v>
      </c>
      <c r="BN141" s="45">
        <v>42</v>
      </c>
    </row>
    <row r="142" spans="1:66" ht="15">
      <c r="A142" s="61" t="s">
        <v>365</v>
      </c>
      <c r="B142" s="61" t="s">
        <v>364</v>
      </c>
      <c r="C142" s="62"/>
      <c r="D142" s="63"/>
      <c r="E142" s="62"/>
      <c r="F142" s="65"/>
      <c r="G142" s="62"/>
      <c r="H142" s="66"/>
      <c r="I142" s="67"/>
      <c r="J142" s="67"/>
      <c r="K142" s="31" t="s">
        <v>65</v>
      </c>
      <c r="L142" s="68">
        <v>206</v>
      </c>
      <c r="M142" s="68"/>
      <c r="N142" s="69"/>
      <c r="O142" s="76" t="s">
        <v>586</v>
      </c>
      <c r="P142" s="78">
        <v>44816.74512731482</v>
      </c>
      <c r="Q142" s="76" t="s">
        <v>672</v>
      </c>
      <c r="R142" s="79" t="str">
        <f>HYPERLINK("https://twitter.com/MaxDfelladius/status/1569308389137649669")</f>
        <v>https://twitter.com/MaxDfelladius/status/1569308389137649669</v>
      </c>
      <c r="S142" s="76" t="s">
        <v>783</v>
      </c>
      <c r="T142" s="81" t="s">
        <v>835</v>
      </c>
      <c r="U142" s="76"/>
      <c r="V142" s="79" t="str">
        <f>HYPERLINK("https://pbs.twimg.com/profile_images/636582458176221184/2uRQQx1e_normal.png")</f>
        <v>https://pbs.twimg.com/profile_images/636582458176221184/2uRQQx1e_normal.png</v>
      </c>
      <c r="W142" s="78">
        <v>44816.74512731482</v>
      </c>
      <c r="X142" s="84">
        <v>44816</v>
      </c>
      <c r="Y142" s="81" t="s">
        <v>1034</v>
      </c>
      <c r="Z142" s="79" t="str">
        <f>HYPERLINK("https://twitter.com/carmenacoleman/status/1569383585815166976")</f>
        <v>https://twitter.com/carmenacoleman/status/1569383585815166976</v>
      </c>
      <c r="AA142" s="76"/>
      <c r="AB142" s="76"/>
      <c r="AC142" s="81" t="s">
        <v>1365</v>
      </c>
      <c r="AD142" s="76"/>
      <c r="AE142" s="76" t="b">
        <v>0</v>
      </c>
      <c r="AF142" s="76">
        <v>0</v>
      </c>
      <c r="AG142" s="81" t="s">
        <v>1674</v>
      </c>
      <c r="AH142" s="76" t="b">
        <v>1</v>
      </c>
      <c r="AI142" s="76" t="s">
        <v>1772</v>
      </c>
      <c r="AJ142" s="76"/>
      <c r="AK142" s="81" t="s">
        <v>1796</v>
      </c>
      <c r="AL142" s="76" t="b">
        <v>0</v>
      </c>
      <c r="AM142" s="76">
        <v>4</v>
      </c>
      <c r="AN142" s="81" t="s">
        <v>1364</v>
      </c>
      <c r="AO142" s="81" t="s">
        <v>1808</v>
      </c>
      <c r="AP142" s="76" t="b">
        <v>0</v>
      </c>
      <c r="AQ142" s="81" t="s">
        <v>1364</v>
      </c>
      <c r="AR142" s="76" t="s">
        <v>219</v>
      </c>
      <c r="AS142" s="76">
        <v>0</v>
      </c>
      <c r="AT142" s="76">
        <v>0</v>
      </c>
      <c r="AU142" s="76"/>
      <c r="AV142" s="76"/>
      <c r="AW142" s="76"/>
      <c r="AX142" s="76"/>
      <c r="AY142" s="76"/>
      <c r="AZ142" s="76"/>
      <c r="BA142" s="76"/>
      <c r="BB142" s="76"/>
      <c r="BC142">
        <v>1</v>
      </c>
      <c r="BD142" s="75" t="str">
        <f>REPLACE(INDEX(GroupVertices[Group],MATCH(Edges25[[#This Row],[Vertex 1]],GroupVertices[Vertex],0)),1,1,"")</f>
        <v>17</v>
      </c>
      <c r="BE142" s="75" t="str">
        <f>REPLACE(INDEX(GroupVertices[Group],MATCH(Edges25[[#This Row],[Vertex 2]],GroupVertices[Vertex],0)),1,1,"")</f>
        <v>17</v>
      </c>
      <c r="BF142" s="45">
        <v>1</v>
      </c>
      <c r="BG142" s="46">
        <v>2.380952380952381</v>
      </c>
      <c r="BH142" s="45">
        <v>1</v>
      </c>
      <c r="BI142" s="46">
        <v>2.380952380952381</v>
      </c>
      <c r="BJ142" s="45">
        <v>0</v>
      </c>
      <c r="BK142" s="46">
        <v>0</v>
      </c>
      <c r="BL142" s="45">
        <v>40</v>
      </c>
      <c r="BM142" s="46">
        <v>95.23809523809524</v>
      </c>
      <c r="BN142" s="45">
        <v>42</v>
      </c>
    </row>
    <row r="143" spans="1:66" ht="15">
      <c r="A143" s="61" t="s">
        <v>366</v>
      </c>
      <c r="B143" s="61" t="s">
        <v>513</v>
      </c>
      <c r="C143" s="62"/>
      <c r="D143" s="63"/>
      <c r="E143" s="62"/>
      <c r="F143" s="65"/>
      <c r="G143" s="62"/>
      <c r="H143" s="66"/>
      <c r="I143" s="67"/>
      <c r="J143" s="67"/>
      <c r="K143" s="31" t="s">
        <v>65</v>
      </c>
      <c r="L143" s="68">
        <v>207</v>
      </c>
      <c r="M143" s="68"/>
      <c r="N143" s="69"/>
      <c r="O143" s="76" t="s">
        <v>587</v>
      </c>
      <c r="P143" s="78">
        <v>44816.79756944445</v>
      </c>
      <c r="Q143" s="76" t="s">
        <v>676</v>
      </c>
      <c r="R143" s="76"/>
      <c r="S143" s="76"/>
      <c r="T143" s="81" t="s">
        <v>837</v>
      </c>
      <c r="U143" s="76"/>
      <c r="V143" s="79" t="str">
        <f>HYPERLINK("https://pbs.twimg.com/profile_images/1332671007883137026/M20mm0Jg_normal.jpg")</f>
        <v>https://pbs.twimg.com/profile_images/1332671007883137026/M20mm0Jg_normal.jpg</v>
      </c>
      <c r="W143" s="78">
        <v>44816.79756944445</v>
      </c>
      <c r="X143" s="84">
        <v>44816</v>
      </c>
      <c r="Y143" s="81" t="s">
        <v>1035</v>
      </c>
      <c r="Z143" s="79" t="str">
        <f>HYPERLINK("https://twitter.com/berniedelf/status/1569402590672130048")</f>
        <v>https://twitter.com/berniedelf/status/1569402590672130048</v>
      </c>
      <c r="AA143" s="76"/>
      <c r="AB143" s="76"/>
      <c r="AC143" s="81" t="s">
        <v>1366</v>
      </c>
      <c r="AD143" s="81" t="s">
        <v>1608</v>
      </c>
      <c r="AE143" s="76" t="b">
        <v>0</v>
      </c>
      <c r="AF143" s="76">
        <v>0</v>
      </c>
      <c r="AG143" s="81" t="s">
        <v>1719</v>
      </c>
      <c r="AH143" s="76" t="b">
        <v>0</v>
      </c>
      <c r="AI143" s="76" t="s">
        <v>1773</v>
      </c>
      <c r="AJ143" s="76"/>
      <c r="AK143" s="81" t="s">
        <v>1674</v>
      </c>
      <c r="AL143" s="76" t="b">
        <v>0</v>
      </c>
      <c r="AM143" s="76">
        <v>0</v>
      </c>
      <c r="AN143" s="81" t="s">
        <v>1674</v>
      </c>
      <c r="AO143" s="81" t="s">
        <v>1808</v>
      </c>
      <c r="AP143" s="76" t="b">
        <v>0</v>
      </c>
      <c r="AQ143" s="81" t="s">
        <v>1608</v>
      </c>
      <c r="AR143" s="76" t="s">
        <v>219</v>
      </c>
      <c r="AS143" s="76">
        <v>0</v>
      </c>
      <c r="AT143" s="76">
        <v>0</v>
      </c>
      <c r="AU143" s="76"/>
      <c r="AV143" s="76"/>
      <c r="AW143" s="76"/>
      <c r="AX143" s="76"/>
      <c r="AY143" s="76"/>
      <c r="AZ143" s="76"/>
      <c r="BA143" s="76"/>
      <c r="BB143" s="76"/>
      <c r="BC143">
        <v>1</v>
      </c>
      <c r="BD143" s="75" t="str">
        <f>REPLACE(INDEX(GroupVertices[Group],MATCH(Edges25[[#This Row],[Vertex 1]],GroupVertices[Vertex],0)),1,1,"")</f>
        <v>47</v>
      </c>
      <c r="BE143" s="75" t="str">
        <f>REPLACE(INDEX(GroupVertices[Group],MATCH(Edges25[[#This Row],[Vertex 2]],GroupVertices[Vertex],0)),1,1,"")</f>
        <v>47</v>
      </c>
      <c r="BF143" s="45">
        <v>0</v>
      </c>
      <c r="BG143" s="46">
        <v>0</v>
      </c>
      <c r="BH143" s="45">
        <v>0</v>
      </c>
      <c r="BI143" s="46">
        <v>0</v>
      </c>
      <c r="BJ143" s="45">
        <v>0</v>
      </c>
      <c r="BK143" s="46">
        <v>0</v>
      </c>
      <c r="BL143" s="45">
        <v>3</v>
      </c>
      <c r="BM143" s="46">
        <v>100</v>
      </c>
      <c r="BN143" s="45">
        <v>3</v>
      </c>
    </row>
    <row r="144" spans="1:66" ht="15">
      <c r="A144" s="61" t="s">
        <v>367</v>
      </c>
      <c r="B144" s="61" t="s">
        <v>514</v>
      </c>
      <c r="C144" s="62"/>
      <c r="D144" s="63"/>
      <c r="E144" s="62"/>
      <c r="F144" s="65"/>
      <c r="G144" s="62"/>
      <c r="H144" s="66"/>
      <c r="I144" s="67"/>
      <c r="J144" s="67"/>
      <c r="K144" s="31" t="s">
        <v>65</v>
      </c>
      <c r="L144" s="68">
        <v>208</v>
      </c>
      <c r="M144" s="68"/>
      <c r="N144" s="69"/>
      <c r="O144" s="76" t="s">
        <v>587</v>
      </c>
      <c r="P144" s="78">
        <v>44816.8846412037</v>
      </c>
      <c r="Q144" s="76" t="s">
        <v>677</v>
      </c>
      <c r="R144" s="76"/>
      <c r="S144" s="76"/>
      <c r="T144" s="81" t="s">
        <v>838</v>
      </c>
      <c r="U144" s="76"/>
      <c r="V144" s="79" t="str">
        <f>HYPERLINK("https://pbs.twimg.com/profile_images/1561835387508740098/-ajRrRYm_normal.jpg")</f>
        <v>https://pbs.twimg.com/profile_images/1561835387508740098/-ajRrRYm_normal.jpg</v>
      </c>
      <c r="W144" s="78">
        <v>44816.8846412037</v>
      </c>
      <c r="X144" s="84">
        <v>44816</v>
      </c>
      <c r="Y144" s="81" t="s">
        <v>1036</v>
      </c>
      <c r="Z144" s="79" t="str">
        <f>HYPERLINK("https://twitter.com/arifvns1985/status/1569434143548907523")</f>
        <v>https://twitter.com/arifvns1985/status/1569434143548907523</v>
      </c>
      <c r="AA144" s="76"/>
      <c r="AB144" s="76"/>
      <c r="AC144" s="81" t="s">
        <v>1367</v>
      </c>
      <c r="AD144" s="81" t="s">
        <v>1609</v>
      </c>
      <c r="AE144" s="76" t="b">
        <v>0</v>
      </c>
      <c r="AF144" s="76">
        <v>1</v>
      </c>
      <c r="AG144" s="81" t="s">
        <v>1720</v>
      </c>
      <c r="AH144" s="76" t="b">
        <v>0</v>
      </c>
      <c r="AI144" s="76" t="s">
        <v>1773</v>
      </c>
      <c r="AJ144" s="76"/>
      <c r="AK144" s="81" t="s">
        <v>1674</v>
      </c>
      <c r="AL144" s="76" t="b">
        <v>0</v>
      </c>
      <c r="AM144" s="76">
        <v>0</v>
      </c>
      <c r="AN144" s="81" t="s">
        <v>1674</v>
      </c>
      <c r="AO144" s="81" t="s">
        <v>1809</v>
      </c>
      <c r="AP144" s="76" t="b">
        <v>0</v>
      </c>
      <c r="AQ144" s="81" t="s">
        <v>1609</v>
      </c>
      <c r="AR144" s="76" t="s">
        <v>219</v>
      </c>
      <c r="AS144" s="76">
        <v>0</v>
      </c>
      <c r="AT144" s="76">
        <v>0</v>
      </c>
      <c r="AU144" s="76"/>
      <c r="AV144" s="76"/>
      <c r="AW144" s="76"/>
      <c r="AX144" s="76"/>
      <c r="AY144" s="76"/>
      <c r="AZ144" s="76"/>
      <c r="BA144" s="76"/>
      <c r="BB144" s="76"/>
      <c r="BC144">
        <v>1</v>
      </c>
      <c r="BD144" s="75" t="str">
        <f>REPLACE(INDEX(GroupVertices[Group],MATCH(Edges25[[#This Row],[Vertex 1]],GroupVertices[Vertex],0)),1,1,"")</f>
        <v>46</v>
      </c>
      <c r="BE144" s="75" t="str">
        <f>REPLACE(INDEX(GroupVertices[Group],MATCH(Edges25[[#This Row],[Vertex 2]],GroupVertices[Vertex],0)),1,1,"")</f>
        <v>46</v>
      </c>
      <c r="BF144" s="45">
        <v>0</v>
      </c>
      <c r="BG144" s="46">
        <v>0</v>
      </c>
      <c r="BH144" s="45">
        <v>0</v>
      </c>
      <c r="BI144" s="46">
        <v>0</v>
      </c>
      <c r="BJ144" s="45">
        <v>0</v>
      </c>
      <c r="BK144" s="46">
        <v>0</v>
      </c>
      <c r="BL144" s="45">
        <v>14</v>
      </c>
      <c r="BM144" s="46">
        <v>100</v>
      </c>
      <c r="BN144" s="45">
        <v>14</v>
      </c>
    </row>
    <row r="145" spans="1:66" ht="15">
      <c r="A145" s="61" t="s">
        <v>368</v>
      </c>
      <c r="B145" s="61" t="s">
        <v>368</v>
      </c>
      <c r="C145" s="62"/>
      <c r="D145" s="63"/>
      <c r="E145" s="62"/>
      <c r="F145" s="65"/>
      <c r="G145" s="62"/>
      <c r="H145" s="66"/>
      <c r="I145" s="67"/>
      <c r="J145" s="67"/>
      <c r="K145" s="31" t="s">
        <v>65</v>
      </c>
      <c r="L145" s="68">
        <v>209</v>
      </c>
      <c r="M145" s="68"/>
      <c r="N145" s="69"/>
      <c r="O145" s="76" t="s">
        <v>219</v>
      </c>
      <c r="P145" s="78">
        <v>44684.93628472222</v>
      </c>
      <c r="Q145" s="76" t="s">
        <v>678</v>
      </c>
      <c r="R145" s="76"/>
      <c r="S145" s="76"/>
      <c r="T145" s="81" t="s">
        <v>839</v>
      </c>
      <c r="U145" s="79" t="str">
        <f>HYPERLINK("https://pbs.twimg.com/media/FR3Y1LuXsAQ67ek.jpg")</f>
        <v>https://pbs.twimg.com/media/FR3Y1LuXsAQ67ek.jpg</v>
      </c>
      <c r="V145" s="79" t="str">
        <f>HYPERLINK("https://pbs.twimg.com/media/FR3Y1LuXsAQ67ek.jpg")</f>
        <v>https://pbs.twimg.com/media/FR3Y1LuXsAQ67ek.jpg</v>
      </c>
      <c r="W145" s="78">
        <v>44684.93628472222</v>
      </c>
      <c r="X145" s="84">
        <v>44684</v>
      </c>
      <c r="Y145" s="81" t="s">
        <v>1037</v>
      </c>
      <c r="Z145" s="79" t="str">
        <f>HYPERLINK("https://twitter.com/varyagi/status/1521617663776239616")</f>
        <v>https://twitter.com/varyagi/status/1521617663776239616</v>
      </c>
      <c r="AA145" s="76"/>
      <c r="AB145" s="76"/>
      <c r="AC145" s="81" t="s">
        <v>1368</v>
      </c>
      <c r="AD145" s="81" t="s">
        <v>1610</v>
      </c>
      <c r="AE145" s="76" t="b">
        <v>0</v>
      </c>
      <c r="AF145" s="76">
        <v>52</v>
      </c>
      <c r="AG145" s="81" t="s">
        <v>1721</v>
      </c>
      <c r="AH145" s="76" t="b">
        <v>0</v>
      </c>
      <c r="AI145" s="76" t="s">
        <v>1772</v>
      </c>
      <c r="AJ145" s="76"/>
      <c r="AK145" s="81" t="s">
        <v>1674</v>
      </c>
      <c r="AL145" s="76" t="b">
        <v>0</v>
      </c>
      <c r="AM145" s="76">
        <v>19</v>
      </c>
      <c r="AN145" s="81" t="s">
        <v>1674</v>
      </c>
      <c r="AO145" s="81" t="s">
        <v>1808</v>
      </c>
      <c r="AP145" s="76" t="b">
        <v>0</v>
      </c>
      <c r="AQ145" s="81" t="s">
        <v>1610</v>
      </c>
      <c r="AR145" s="76" t="s">
        <v>586</v>
      </c>
      <c r="AS145" s="76">
        <v>0</v>
      </c>
      <c r="AT145" s="76">
        <v>0</v>
      </c>
      <c r="AU145" s="76"/>
      <c r="AV145" s="76"/>
      <c r="AW145" s="76"/>
      <c r="AX145" s="76"/>
      <c r="AY145" s="76"/>
      <c r="AZ145" s="76"/>
      <c r="BA145" s="76"/>
      <c r="BB145" s="76"/>
      <c r="BC145">
        <v>2</v>
      </c>
      <c r="BD145" s="75" t="str">
        <f>REPLACE(INDEX(GroupVertices[Group],MATCH(Edges25[[#This Row],[Vertex 1]],GroupVertices[Vertex],0)),1,1,"")</f>
        <v>2</v>
      </c>
      <c r="BE145" s="75" t="str">
        <f>REPLACE(INDEX(GroupVertices[Group],MATCH(Edges25[[#This Row],[Vertex 2]],GroupVertices[Vertex],0)),1,1,"")</f>
        <v>2</v>
      </c>
      <c r="BF145" s="45">
        <v>1</v>
      </c>
      <c r="BG145" s="46">
        <v>2.0408163265306123</v>
      </c>
      <c r="BH145" s="45">
        <v>3</v>
      </c>
      <c r="BI145" s="46">
        <v>6.122448979591836</v>
      </c>
      <c r="BJ145" s="45">
        <v>0</v>
      </c>
      <c r="BK145" s="46">
        <v>0</v>
      </c>
      <c r="BL145" s="45">
        <v>45</v>
      </c>
      <c r="BM145" s="46">
        <v>91.83673469387755</v>
      </c>
      <c r="BN145" s="45">
        <v>49</v>
      </c>
    </row>
    <row r="146" spans="1:66" ht="15">
      <c r="A146" s="61" t="s">
        <v>368</v>
      </c>
      <c r="B146" s="61" t="s">
        <v>368</v>
      </c>
      <c r="C146" s="62"/>
      <c r="D146" s="63"/>
      <c r="E146" s="62"/>
      <c r="F146" s="65"/>
      <c r="G146" s="62"/>
      <c r="H146" s="66"/>
      <c r="I146" s="67"/>
      <c r="J146" s="67"/>
      <c r="K146" s="31" t="s">
        <v>65</v>
      </c>
      <c r="L146" s="68">
        <v>210</v>
      </c>
      <c r="M146" s="68"/>
      <c r="N146" s="69"/>
      <c r="O146" s="76" t="s">
        <v>586</v>
      </c>
      <c r="P146" s="78">
        <v>44816.92335648148</v>
      </c>
      <c r="Q146" s="76" t="s">
        <v>678</v>
      </c>
      <c r="R146" s="76"/>
      <c r="S146" s="76"/>
      <c r="T146" s="81" t="s">
        <v>839</v>
      </c>
      <c r="U146" s="79" t="str">
        <f>HYPERLINK("https://pbs.twimg.com/media/FR3Y1LuXsAQ67ek.jpg")</f>
        <v>https://pbs.twimg.com/media/FR3Y1LuXsAQ67ek.jpg</v>
      </c>
      <c r="V146" s="79" t="str">
        <f>HYPERLINK("https://pbs.twimg.com/media/FR3Y1LuXsAQ67ek.jpg")</f>
        <v>https://pbs.twimg.com/media/FR3Y1LuXsAQ67ek.jpg</v>
      </c>
      <c r="W146" s="78">
        <v>44816.92335648148</v>
      </c>
      <c r="X146" s="84">
        <v>44816</v>
      </c>
      <c r="Y146" s="81" t="s">
        <v>1038</v>
      </c>
      <c r="Z146" s="79" t="str">
        <f>HYPERLINK("https://twitter.com/varyagi/status/1569448174128881664")</f>
        <v>https://twitter.com/varyagi/status/1569448174128881664</v>
      </c>
      <c r="AA146" s="76"/>
      <c r="AB146" s="76"/>
      <c r="AC146" s="81" t="s">
        <v>1369</v>
      </c>
      <c r="AD146" s="76"/>
      <c r="AE146" s="76" t="b">
        <v>0</v>
      </c>
      <c r="AF146" s="76">
        <v>0</v>
      </c>
      <c r="AG146" s="81" t="s">
        <v>1674</v>
      </c>
      <c r="AH146" s="76" t="b">
        <v>0</v>
      </c>
      <c r="AI146" s="76" t="s">
        <v>1772</v>
      </c>
      <c r="AJ146" s="76"/>
      <c r="AK146" s="81" t="s">
        <v>1674</v>
      </c>
      <c r="AL146" s="76" t="b">
        <v>0</v>
      </c>
      <c r="AM146" s="76">
        <v>19</v>
      </c>
      <c r="AN146" s="81" t="s">
        <v>1368</v>
      </c>
      <c r="AO146" s="81" t="s">
        <v>1808</v>
      </c>
      <c r="AP146" s="76" t="b">
        <v>0</v>
      </c>
      <c r="AQ146" s="81" t="s">
        <v>1368</v>
      </c>
      <c r="AR146" s="76" t="s">
        <v>219</v>
      </c>
      <c r="AS146" s="76">
        <v>0</v>
      </c>
      <c r="AT146" s="76">
        <v>0</v>
      </c>
      <c r="AU146" s="76"/>
      <c r="AV146" s="76"/>
      <c r="AW146" s="76"/>
      <c r="AX146" s="76"/>
      <c r="AY146" s="76"/>
      <c r="AZ146" s="76"/>
      <c r="BA146" s="76"/>
      <c r="BB146" s="76"/>
      <c r="BC146">
        <v>2</v>
      </c>
      <c r="BD146" s="75" t="str">
        <f>REPLACE(INDEX(GroupVertices[Group],MATCH(Edges25[[#This Row],[Vertex 1]],GroupVertices[Vertex],0)),1,1,"")</f>
        <v>2</v>
      </c>
      <c r="BE146" s="75" t="str">
        <f>REPLACE(INDEX(GroupVertices[Group],MATCH(Edges25[[#This Row],[Vertex 2]],GroupVertices[Vertex],0)),1,1,"")</f>
        <v>2</v>
      </c>
      <c r="BF146" s="45">
        <v>1</v>
      </c>
      <c r="BG146" s="46">
        <v>2.0408163265306123</v>
      </c>
      <c r="BH146" s="45">
        <v>3</v>
      </c>
      <c r="BI146" s="46">
        <v>6.122448979591836</v>
      </c>
      <c r="BJ146" s="45">
        <v>0</v>
      </c>
      <c r="BK146" s="46">
        <v>0</v>
      </c>
      <c r="BL146" s="45">
        <v>45</v>
      </c>
      <c r="BM146" s="46">
        <v>91.83673469387755</v>
      </c>
      <c r="BN146" s="45">
        <v>49</v>
      </c>
    </row>
    <row r="147" spans="1:66" ht="15">
      <c r="A147" s="61" t="s">
        <v>369</v>
      </c>
      <c r="B147" s="61" t="s">
        <v>515</v>
      </c>
      <c r="C147" s="62"/>
      <c r="D147" s="63"/>
      <c r="E147" s="62"/>
      <c r="F147" s="65"/>
      <c r="G147" s="62"/>
      <c r="H147" s="66"/>
      <c r="I147" s="67"/>
      <c r="J147" s="67"/>
      <c r="K147" s="31" t="s">
        <v>65</v>
      </c>
      <c r="L147" s="68">
        <v>211</v>
      </c>
      <c r="M147" s="68"/>
      <c r="N147" s="69"/>
      <c r="O147" s="76" t="s">
        <v>588</v>
      </c>
      <c r="P147" s="78">
        <v>44817.057708333334</v>
      </c>
      <c r="Q147" s="76" t="s">
        <v>679</v>
      </c>
      <c r="R147" s="76"/>
      <c r="S147" s="76"/>
      <c r="T147" s="76"/>
      <c r="U147" s="76"/>
      <c r="V147" s="79" t="str">
        <f>HYPERLINK("https://abs.twimg.com/sticky/default_profile_images/default_profile_normal.png")</f>
        <v>https://abs.twimg.com/sticky/default_profile_images/default_profile_normal.png</v>
      </c>
      <c r="W147" s="78">
        <v>44817.057708333334</v>
      </c>
      <c r="X147" s="84">
        <v>44817</v>
      </c>
      <c r="Y147" s="81" t="s">
        <v>1039</v>
      </c>
      <c r="Z147" s="79" t="str">
        <f>HYPERLINK("https://twitter.com/peter_b_c/status/1569496861370884096")</f>
        <v>https://twitter.com/peter_b_c/status/1569496861370884096</v>
      </c>
      <c r="AA147" s="76"/>
      <c r="AB147" s="76"/>
      <c r="AC147" s="81" t="s">
        <v>1370</v>
      </c>
      <c r="AD147" s="81" t="s">
        <v>1611</v>
      </c>
      <c r="AE147" s="76" t="b">
        <v>0</v>
      </c>
      <c r="AF147" s="76">
        <v>0</v>
      </c>
      <c r="AG147" s="81" t="s">
        <v>1722</v>
      </c>
      <c r="AH147" s="76" t="b">
        <v>0</v>
      </c>
      <c r="AI147" s="76" t="s">
        <v>1772</v>
      </c>
      <c r="AJ147" s="76"/>
      <c r="AK147" s="81" t="s">
        <v>1674</v>
      </c>
      <c r="AL147" s="76" t="b">
        <v>0</v>
      </c>
      <c r="AM147" s="76">
        <v>0</v>
      </c>
      <c r="AN147" s="81" t="s">
        <v>1674</v>
      </c>
      <c r="AO147" s="81" t="s">
        <v>1810</v>
      </c>
      <c r="AP147" s="76" t="b">
        <v>0</v>
      </c>
      <c r="AQ147" s="81" t="s">
        <v>1611</v>
      </c>
      <c r="AR147" s="76" t="s">
        <v>219</v>
      </c>
      <c r="AS147" s="76">
        <v>0</v>
      </c>
      <c r="AT147" s="76">
        <v>0</v>
      </c>
      <c r="AU147" s="76"/>
      <c r="AV147" s="76"/>
      <c r="AW147" s="76"/>
      <c r="AX147" s="76"/>
      <c r="AY147" s="76"/>
      <c r="AZ147" s="76"/>
      <c r="BA147" s="76"/>
      <c r="BB147" s="76"/>
      <c r="BC147">
        <v>1</v>
      </c>
      <c r="BD147" s="75" t="str">
        <f>REPLACE(INDEX(GroupVertices[Group],MATCH(Edges25[[#This Row],[Vertex 1]],GroupVertices[Vertex],0)),1,1,"")</f>
        <v>26</v>
      </c>
      <c r="BE147" s="75" t="str">
        <f>REPLACE(INDEX(GroupVertices[Group],MATCH(Edges25[[#This Row],[Vertex 2]],GroupVertices[Vertex],0)),1,1,"")</f>
        <v>26</v>
      </c>
      <c r="BF147" s="45"/>
      <c r="BG147" s="46"/>
      <c r="BH147" s="45"/>
      <c r="BI147" s="46"/>
      <c r="BJ147" s="45"/>
      <c r="BK147" s="46"/>
      <c r="BL147" s="45"/>
      <c r="BM147" s="46"/>
      <c r="BN147" s="45"/>
    </row>
    <row r="148" spans="1:66" ht="15">
      <c r="A148" s="61" t="s">
        <v>370</v>
      </c>
      <c r="B148" s="61" t="s">
        <v>518</v>
      </c>
      <c r="C148" s="62"/>
      <c r="D148" s="63"/>
      <c r="E148" s="62"/>
      <c r="F148" s="65"/>
      <c r="G148" s="62"/>
      <c r="H148" s="66"/>
      <c r="I148" s="67"/>
      <c r="J148" s="67"/>
      <c r="K148" s="31" t="s">
        <v>65</v>
      </c>
      <c r="L148" s="68">
        <v>214</v>
      </c>
      <c r="M148" s="68"/>
      <c r="N148" s="69"/>
      <c r="O148" s="76" t="s">
        <v>587</v>
      </c>
      <c r="P148" s="78">
        <v>44817.3409837963</v>
      </c>
      <c r="Q148" s="76" t="s">
        <v>680</v>
      </c>
      <c r="R148" s="76"/>
      <c r="S148" s="76"/>
      <c r="T148" s="81" t="s">
        <v>801</v>
      </c>
      <c r="U148" s="76"/>
      <c r="V148" s="79" t="str">
        <f>HYPERLINK("https://pbs.twimg.com/profile_images/1423346020805644288/T3n4AiLz_normal.jpg")</f>
        <v>https://pbs.twimg.com/profile_images/1423346020805644288/T3n4AiLz_normal.jpg</v>
      </c>
      <c r="W148" s="78">
        <v>44817.3409837963</v>
      </c>
      <c r="X148" s="84">
        <v>44817</v>
      </c>
      <c r="Y148" s="81" t="s">
        <v>1040</v>
      </c>
      <c r="Z148" s="79" t="str">
        <f>HYPERLINK("https://twitter.com/cookiegonewrong/status/1569599519880540160")</f>
        <v>https://twitter.com/cookiegonewrong/status/1569599519880540160</v>
      </c>
      <c r="AA148" s="76"/>
      <c r="AB148" s="76"/>
      <c r="AC148" s="81" t="s">
        <v>1371</v>
      </c>
      <c r="AD148" s="81" t="s">
        <v>1612</v>
      </c>
      <c r="AE148" s="76" t="b">
        <v>0</v>
      </c>
      <c r="AF148" s="76">
        <v>0</v>
      </c>
      <c r="AG148" s="81" t="s">
        <v>1723</v>
      </c>
      <c r="AH148" s="76" t="b">
        <v>0</v>
      </c>
      <c r="AI148" s="76" t="s">
        <v>1772</v>
      </c>
      <c r="AJ148" s="76"/>
      <c r="AK148" s="81" t="s">
        <v>1674</v>
      </c>
      <c r="AL148" s="76" t="b">
        <v>0</v>
      </c>
      <c r="AM148" s="76">
        <v>0</v>
      </c>
      <c r="AN148" s="81" t="s">
        <v>1674</v>
      </c>
      <c r="AO148" s="81" t="s">
        <v>1808</v>
      </c>
      <c r="AP148" s="76" t="b">
        <v>0</v>
      </c>
      <c r="AQ148" s="81" t="s">
        <v>1612</v>
      </c>
      <c r="AR148" s="76" t="s">
        <v>219</v>
      </c>
      <c r="AS148" s="76">
        <v>0</v>
      </c>
      <c r="AT148" s="76">
        <v>0</v>
      </c>
      <c r="AU148" s="76"/>
      <c r="AV148" s="76"/>
      <c r="AW148" s="76"/>
      <c r="AX148" s="76"/>
      <c r="AY148" s="76"/>
      <c r="AZ148" s="76"/>
      <c r="BA148" s="76"/>
      <c r="BB148" s="76"/>
      <c r="BC148">
        <v>1</v>
      </c>
      <c r="BD148" s="75" t="str">
        <f>REPLACE(INDEX(GroupVertices[Group],MATCH(Edges25[[#This Row],[Vertex 1]],GroupVertices[Vertex],0)),1,1,"")</f>
        <v>45</v>
      </c>
      <c r="BE148" s="75" t="str">
        <f>REPLACE(INDEX(GroupVertices[Group],MATCH(Edges25[[#This Row],[Vertex 2]],GroupVertices[Vertex],0)),1,1,"")</f>
        <v>45</v>
      </c>
      <c r="BF148" s="45">
        <v>2</v>
      </c>
      <c r="BG148" s="46">
        <v>5.2631578947368425</v>
      </c>
      <c r="BH148" s="45">
        <v>1</v>
      </c>
      <c r="BI148" s="46">
        <v>2.6315789473684212</v>
      </c>
      <c r="BJ148" s="45">
        <v>0</v>
      </c>
      <c r="BK148" s="46">
        <v>0</v>
      </c>
      <c r="BL148" s="45">
        <v>35</v>
      </c>
      <c r="BM148" s="46">
        <v>92.10526315789474</v>
      </c>
      <c r="BN148" s="45">
        <v>38</v>
      </c>
    </row>
    <row r="149" spans="1:66" ht="15">
      <c r="A149" s="61" t="s">
        <v>371</v>
      </c>
      <c r="B149" s="61" t="s">
        <v>519</v>
      </c>
      <c r="C149" s="62"/>
      <c r="D149" s="63"/>
      <c r="E149" s="62"/>
      <c r="F149" s="65"/>
      <c r="G149" s="62"/>
      <c r="H149" s="66"/>
      <c r="I149" s="67"/>
      <c r="J149" s="67"/>
      <c r="K149" s="31" t="s">
        <v>65</v>
      </c>
      <c r="L149" s="68">
        <v>215</v>
      </c>
      <c r="M149" s="68"/>
      <c r="N149" s="69"/>
      <c r="O149" s="76" t="s">
        <v>588</v>
      </c>
      <c r="P149" s="78">
        <v>44817.47409722222</v>
      </c>
      <c r="Q149" s="76" t="s">
        <v>681</v>
      </c>
      <c r="R149" s="76"/>
      <c r="S149" s="76"/>
      <c r="T149" s="81" t="s">
        <v>840</v>
      </c>
      <c r="U149" s="76"/>
      <c r="V149" s="79" t="str">
        <f>HYPERLINK("https://pbs.twimg.com/profile_images/1065809287476318208/sExOz_YS_normal.jpg")</f>
        <v>https://pbs.twimg.com/profile_images/1065809287476318208/sExOz_YS_normal.jpg</v>
      </c>
      <c r="W149" s="78">
        <v>44817.47409722222</v>
      </c>
      <c r="X149" s="84">
        <v>44817</v>
      </c>
      <c r="Y149" s="81" t="s">
        <v>1041</v>
      </c>
      <c r="Z149" s="79" t="str">
        <f>HYPERLINK("https://twitter.com/theliverpooly/status/1569647757820067845")</f>
        <v>https://twitter.com/theliverpooly/status/1569647757820067845</v>
      </c>
      <c r="AA149" s="76"/>
      <c r="AB149" s="76"/>
      <c r="AC149" s="81" t="s">
        <v>1372</v>
      </c>
      <c r="AD149" s="81" t="s">
        <v>1613</v>
      </c>
      <c r="AE149" s="76" t="b">
        <v>0</v>
      </c>
      <c r="AF149" s="76">
        <v>0</v>
      </c>
      <c r="AG149" s="81" t="s">
        <v>1724</v>
      </c>
      <c r="AH149" s="76" t="b">
        <v>0</v>
      </c>
      <c r="AI149" s="76" t="s">
        <v>1772</v>
      </c>
      <c r="AJ149" s="76"/>
      <c r="AK149" s="81" t="s">
        <v>1674</v>
      </c>
      <c r="AL149" s="76" t="b">
        <v>0</v>
      </c>
      <c r="AM149" s="76">
        <v>0</v>
      </c>
      <c r="AN149" s="81" t="s">
        <v>1674</v>
      </c>
      <c r="AO149" s="81" t="s">
        <v>1809</v>
      </c>
      <c r="AP149" s="76" t="b">
        <v>0</v>
      </c>
      <c r="AQ149" s="81" t="s">
        <v>1613</v>
      </c>
      <c r="AR149" s="76" t="s">
        <v>219</v>
      </c>
      <c r="AS149" s="76">
        <v>0</v>
      </c>
      <c r="AT149" s="76">
        <v>0</v>
      </c>
      <c r="AU149" s="76"/>
      <c r="AV149" s="76"/>
      <c r="AW149" s="76"/>
      <c r="AX149" s="76"/>
      <c r="AY149" s="76"/>
      <c r="AZ149" s="76"/>
      <c r="BA149" s="76"/>
      <c r="BB149" s="76"/>
      <c r="BC149">
        <v>1</v>
      </c>
      <c r="BD149" s="75" t="str">
        <f>REPLACE(INDEX(GroupVertices[Group],MATCH(Edges25[[#This Row],[Vertex 1]],GroupVertices[Vertex],0)),1,1,"")</f>
        <v>34</v>
      </c>
      <c r="BE149" s="75" t="str">
        <f>REPLACE(INDEX(GroupVertices[Group],MATCH(Edges25[[#This Row],[Vertex 2]],GroupVertices[Vertex],0)),1,1,"")</f>
        <v>34</v>
      </c>
      <c r="BF149" s="45"/>
      <c r="BG149" s="46"/>
      <c r="BH149" s="45"/>
      <c r="BI149" s="46"/>
      <c r="BJ149" s="45"/>
      <c r="BK149" s="46"/>
      <c r="BL149" s="45"/>
      <c r="BM149" s="46"/>
      <c r="BN149" s="45"/>
    </row>
    <row r="150" spans="1:66" ht="15">
      <c r="A150" s="61" t="s">
        <v>372</v>
      </c>
      <c r="B150" s="61" t="s">
        <v>521</v>
      </c>
      <c r="C150" s="62"/>
      <c r="D150" s="63"/>
      <c r="E150" s="62"/>
      <c r="F150" s="65"/>
      <c r="G150" s="62"/>
      <c r="H150" s="66"/>
      <c r="I150" s="67"/>
      <c r="J150" s="67"/>
      <c r="K150" s="31" t="s">
        <v>65</v>
      </c>
      <c r="L150" s="68">
        <v>217</v>
      </c>
      <c r="M150" s="68"/>
      <c r="N150" s="69"/>
      <c r="O150" s="76" t="s">
        <v>588</v>
      </c>
      <c r="P150" s="78">
        <v>44817.4790625</v>
      </c>
      <c r="Q150" s="76" t="s">
        <v>682</v>
      </c>
      <c r="R150" s="76"/>
      <c r="S150" s="76"/>
      <c r="T150" s="76"/>
      <c r="U150" s="76"/>
      <c r="V150" s="79" t="str">
        <f>HYPERLINK("https://pbs.twimg.com/profile_images/1497900647550697473/Ezdr-fMu_normal.png")</f>
        <v>https://pbs.twimg.com/profile_images/1497900647550697473/Ezdr-fMu_normal.png</v>
      </c>
      <c r="W150" s="78">
        <v>44817.4790625</v>
      </c>
      <c r="X150" s="84">
        <v>44817</v>
      </c>
      <c r="Y150" s="81" t="s">
        <v>1042</v>
      </c>
      <c r="Z150" s="79" t="str">
        <f>HYPERLINK("https://twitter.com/wille_keurige/status/1569649555582644224")</f>
        <v>https://twitter.com/wille_keurige/status/1569649555582644224</v>
      </c>
      <c r="AA150" s="76"/>
      <c r="AB150" s="76"/>
      <c r="AC150" s="81" t="s">
        <v>1373</v>
      </c>
      <c r="AD150" s="81" t="s">
        <v>1614</v>
      </c>
      <c r="AE150" s="76" t="b">
        <v>0</v>
      </c>
      <c r="AF150" s="76">
        <v>5</v>
      </c>
      <c r="AG150" s="81" t="s">
        <v>1725</v>
      </c>
      <c r="AH150" s="76" t="b">
        <v>0</v>
      </c>
      <c r="AI150" s="76" t="s">
        <v>1779</v>
      </c>
      <c r="AJ150" s="76"/>
      <c r="AK150" s="81" t="s">
        <v>1674</v>
      </c>
      <c r="AL150" s="76" t="b">
        <v>0</v>
      </c>
      <c r="AM150" s="76">
        <v>0</v>
      </c>
      <c r="AN150" s="81" t="s">
        <v>1674</v>
      </c>
      <c r="AO150" s="81" t="s">
        <v>1808</v>
      </c>
      <c r="AP150" s="76" t="b">
        <v>0</v>
      </c>
      <c r="AQ150" s="81" t="s">
        <v>1614</v>
      </c>
      <c r="AR150" s="76" t="s">
        <v>219</v>
      </c>
      <c r="AS150" s="76">
        <v>0</v>
      </c>
      <c r="AT150" s="76">
        <v>0</v>
      </c>
      <c r="AU150" s="76"/>
      <c r="AV150" s="76"/>
      <c r="AW150" s="76"/>
      <c r="AX150" s="76"/>
      <c r="AY150" s="76"/>
      <c r="AZ150" s="76"/>
      <c r="BA150" s="76"/>
      <c r="BB150" s="76"/>
      <c r="BC150">
        <v>1</v>
      </c>
      <c r="BD150" s="75" t="str">
        <f>REPLACE(INDEX(GroupVertices[Group],MATCH(Edges25[[#This Row],[Vertex 1]],GroupVertices[Vertex],0)),1,1,"")</f>
        <v>33</v>
      </c>
      <c r="BE150" s="75" t="str">
        <f>REPLACE(INDEX(GroupVertices[Group],MATCH(Edges25[[#This Row],[Vertex 2]],GroupVertices[Vertex],0)),1,1,"")</f>
        <v>33</v>
      </c>
      <c r="BF150" s="45"/>
      <c r="BG150" s="46"/>
      <c r="BH150" s="45"/>
      <c r="BI150" s="46"/>
      <c r="BJ150" s="45"/>
      <c r="BK150" s="46"/>
      <c r="BL150" s="45"/>
      <c r="BM150" s="46"/>
      <c r="BN150" s="45"/>
    </row>
    <row r="151" spans="1:66" ht="15">
      <c r="A151" s="61" t="s">
        <v>373</v>
      </c>
      <c r="B151" s="61" t="s">
        <v>523</v>
      </c>
      <c r="C151" s="62"/>
      <c r="D151" s="63"/>
      <c r="E151" s="62"/>
      <c r="F151" s="65"/>
      <c r="G151" s="62"/>
      <c r="H151" s="66"/>
      <c r="I151" s="67"/>
      <c r="J151" s="67"/>
      <c r="K151" s="31" t="s">
        <v>65</v>
      </c>
      <c r="L151" s="68">
        <v>219</v>
      </c>
      <c r="M151" s="68"/>
      <c r="N151" s="69"/>
      <c r="O151" s="76" t="s">
        <v>588</v>
      </c>
      <c r="P151" s="78">
        <v>44817.48944444444</v>
      </c>
      <c r="Q151" s="76" t="s">
        <v>683</v>
      </c>
      <c r="R151" s="79" t="str">
        <f>HYPERLINK("https://twitter.com/DJanecek/status/1569290251906031619")</f>
        <v>https://twitter.com/DJanecek/status/1569290251906031619</v>
      </c>
      <c r="S151" s="76" t="s">
        <v>783</v>
      </c>
      <c r="T151" s="81" t="s">
        <v>841</v>
      </c>
      <c r="U151" s="76"/>
      <c r="V151" s="79" t="str">
        <f>HYPERLINK("https://pbs.twimg.com/profile_images/1117568007499284480/ks2D6uA6_normal.jpg")</f>
        <v>https://pbs.twimg.com/profile_images/1117568007499284480/ks2D6uA6_normal.jpg</v>
      </c>
      <c r="W151" s="78">
        <v>44817.48944444444</v>
      </c>
      <c r="X151" s="84">
        <v>44817</v>
      </c>
      <c r="Y151" s="81" t="s">
        <v>1043</v>
      </c>
      <c r="Z151" s="79" t="str">
        <f>HYPERLINK("https://twitter.com/pxalbert1/status/1569653318976167936")</f>
        <v>https://twitter.com/pxalbert1/status/1569653318976167936</v>
      </c>
      <c r="AA151" s="76"/>
      <c r="AB151" s="76"/>
      <c r="AC151" s="81" t="s">
        <v>1374</v>
      </c>
      <c r="AD151" s="76"/>
      <c r="AE151" s="76" t="b">
        <v>0</v>
      </c>
      <c r="AF151" s="76">
        <v>2</v>
      </c>
      <c r="AG151" s="81" t="s">
        <v>1674</v>
      </c>
      <c r="AH151" s="76" t="b">
        <v>1</v>
      </c>
      <c r="AI151" s="76" t="s">
        <v>1774</v>
      </c>
      <c r="AJ151" s="76"/>
      <c r="AK151" s="81" t="s">
        <v>1797</v>
      </c>
      <c r="AL151" s="76" t="b">
        <v>0</v>
      </c>
      <c r="AM151" s="76">
        <v>0</v>
      </c>
      <c r="AN151" s="81" t="s">
        <v>1674</v>
      </c>
      <c r="AO151" s="81" t="s">
        <v>1809</v>
      </c>
      <c r="AP151" s="76" t="b">
        <v>0</v>
      </c>
      <c r="AQ151" s="81" t="s">
        <v>1374</v>
      </c>
      <c r="AR151" s="76" t="s">
        <v>219</v>
      </c>
      <c r="AS151" s="76">
        <v>0</v>
      </c>
      <c r="AT151" s="76">
        <v>0</v>
      </c>
      <c r="AU151" s="76"/>
      <c r="AV151" s="76"/>
      <c r="AW151" s="76"/>
      <c r="AX151" s="76"/>
      <c r="AY151" s="76"/>
      <c r="AZ151" s="76"/>
      <c r="BA151" s="76"/>
      <c r="BB151" s="76"/>
      <c r="BC151">
        <v>1</v>
      </c>
      <c r="BD151" s="75" t="str">
        <f>REPLACE(INDEX(GroupVertices[Group],MATCH(Edges25[[#This Row],[Vertex 1]],GroupVertices[Vertex],0)),1,1,"")</f>
        <v>32</v>
      </c>
      <c r="BE151" s="75" t="str">
        <f>REPLACE(INDEX(GroupVertices[Group],MATCH(Edges25[[#This Row],[Vertex 2]],GroupVertices[Vertex],0)),1,1,"")</f>
        <v>32</v>
      </c>
      <c r="BF151" s="45"/>
      <c r="BG151" s="46"/>
      <c r="BH151" s="45"/>
      <c r="BI151" s="46"/>
      <c r="BJ151" s="45"/>
      <c r="BK151" s="46"/>
      <c r="BL151" s="45"/>
      <c r="BM151" s="46"/>
      <c r="BN151" s="45"/>
    </row>
    <row r="152" spans="1:66" ht="15">
      <c r="A152" s="61" t="s">
        <v>373</v>
      </c>
      <c r="B152" s="61" t="s">
        <v>373</v>
      </c>
      <c r="C152" s="62"/>
      <c r="D152" s="63"/>
      <c r="E152" s="62"/>
      <c r="F152" s="65"/>
      <c r="G152" s="62"/>
      <c r="H152" s="66"/>
      <c r="I152" s="67"/>
      <c r="J152" s="67"/>
      <c r="K152" s="31" t="s">
        <v>65</v>
      </c>
      <c r="L152" s="68">
        <v>221</v>
      </c>
      <c r="M152" s="68"/>
      <c r="N152" s="69"/>
      <c r="O152" s="76" t="s">
        <v>219</v>
      </c>
      <c r="P152" s="78">
        <v>44816.48105324074</v>
      </c>
      <c r="Q152" s="76" t="s">
        <v>684</v>
      </c>
      <c r="R152" s="79" t="str">
        <f>HYPERLINK("https://twitter.com/EFDavies/status/1569272600055930880")</f>
        <v>https://twitter.com/EFDavies/status/1569272600055930880</v>
      </c>
      <c r="S152" s="76" t="s">
        <v>783</v>
      </c>
      <c r="T152" s="81" t="s">
        <v>795</v>
      </c>
      <c r="U152" s="76"/>
      <c r="V152" s="79" t="str">
        <f>HYPERLINK("https://pbs.twimg.com/profile_images/1117568007499284480/ks2D6uA6_normal.jpg")</f>
        <v>https://pbs.twimg.com/profile_images/1117568007499284480/ks2D6uA6_normal.jpg</v>
      </c>
      <c r="W152" s="78">
        <v>44816.48105324074</v>
      </c>
      <c r="X152" s="84">
        <v>44816</v>
      </c>
      <c r="Y152" s="81" t="s">
        <v>1044</v>
      </c>
      <c r="Z152" s="79" t="str">
        <f>HYPERLINK("https://twitter.com/pxalbert1/status/1569287891695665152")</f>
        <v>https://twitter.com/pxalbert1/status/1569287891695665152</v>
      </c>
      <c r="AA152" s="76"/>
      <c r="AB152" s="76"/>
      <c r="AC152" s="81" t="s">
        <v>1375</v>
      </c>
      <c r="AD152" s="76"/>
      <c r="AE152" s="76" t="b">
        <v>0</v>
      </c>
      <c r="AF152" s="76">
        <v>1</v>
      </c>
      <c r="AG152" s="81" t="s">
        <v>1674</v>
      </c>
      <c r="AH152" s="76" t="b">
        <v>1</v>
      </c>
      <c r="AI152" s="76" t="s">
        <v>1774</v>
      </c>
      <c r="AJ152" s="76"/>
      <c r="AK152" s="81" t="s">
        <v>1798</v>
      </c>
      <c r="AL152" s="76" t="b">
        <v>0</v>
      </c>
      <c r="AM152" s="76">
        <v>0</v>
      </c>
      <c r="AN152" s="81" t="s">
        <v>1674</v>
      </c>
      <c r="AO152" s="81" t="s">
        <v>1809</v>
      </c>
      <c r="AP152" s="76" t="b">
        <v>0</v>
      </c>
      <c r="AQ152" s="81" t="s">
        <v>1375</v>
      </c>
      <c r="AR152" s="76" t="s">
        <v>219</v>
      </c>
      <c r="AS152" s="76">
        <v>0</v>
      </c>
      <c r="AT152" s="76">
        <v>0</v>
      </c>
      <c r="AU152" s="76"/>
      <c r="AV152" s="76"/>
      <c r="AW152" s="76"/>
      <c r="AX152" s="76"/>
      <c r="AY152" s="76"/>
      <c r="AZ152" s="76"/>
      <c r="BA152" s="76"/>
      <c r="BB152" s="76"/>
      <c r="BC152">
        <v>1</v>
      </c>
      <c r="BD152" s="75" t="str">
        <f>REPLACE(INDEX(GroupVertices[Group],MATCH(Edges25[[#This Row],[Vertex 1]],GroupVertices[Vertex],0)),1,1,"")</f>
        <v>32</v>
      </c>
      <c r="BE152" s="75" t="str">
        <f>REPLACE(INDEX(GroupVertices[Group],MATCH(Edges25[[#This Row],[Vertex 2]],GroupVertices[Vertex],0)),1,1,"")</f>
        <v>32</v>
      </c>
      <c r="BF152" s="45">
        <v>0</v>
      </c>
      <c r="BG152" s="46">
        <v>0</v>
      </c>
      <c r="BH152" s="45">
        <v>1</v>
      </c>
      <c r="BI152" s="46">
        <v>2.5641025641025643</v>
      </c>
      <c r="BJ152" s="45">
        <v>0</v>
      </c>
      <c r="BK152" s="46">
        <v>0</v>
      </c>
      <c r="BL152" s="45">
        <v>38</v>
      </c>
      <c r="BM152" s="46">
        <v>97.43589743589743</v>
      </c>
      <c r="BN152" s="45">
        <v>39</v>
      </c>
    </row>
    <row r="153" spans="1:66" ht="15">
      <c r="A153" s="61" t="s">
        <v>374</v>
      </c>
      <c r="B153" s="61" t="s">
        <v>374</v>
      </c>
      <c r="C153" s="62"/>
      <c r="D153" s="63"/>
      <c r="E153" s="62"/>
      <c r="F153" s="65"/>
      <c r="G153" s="62"/>
      <c r="H153" s="66"/>
      <c r="I153" s="67"/>
      <c r="J153" s="67"/>
      <c r="K153" s="31" t="s">
        <v>65</v>
      </c>
      <c r="L153" s="68">
        <v>222</v>
      </c>
      <c r="M153" s="68"/>
      <c r="N153" s="69"/>
      <c r="O153" s="76" t="s">
        <v>219</v>
      </c>
      <c r="P153" s="78">
        <v>44817.56606481481</v>
      </c>
      <c r="Q153" s="76" t="s">
        <v>685</v>
      </c>
      <c r="R153" s="79" t="str">
        <f>HYPERLINK("https://twitter.com/M_Guliyev2/status/1569679577844154369")</f>
        <v>https://twitter.com/M_Guliyev2/status/1569679577844154369</v>
      </c>
      <c r="S153" s="76" t="s">
        <v>783</v>
      </c>
      <c r="T153" s="76"/>
      <c r="U153" s="76"/>
      <c r="V153" s="79" t="str">
        <f>HYPERLINK("https://pbs.twimg.com/profile_images/1558438671887605760/dKtWLXtK_normal.jpg")</f>
        <v>https://pbs.twimg.com/profile_images/1558438671887605760/dKtWLXtK_normal.jpg</v>
      </c>
      <c r="W153" s="78">
        <v>44817.56606481481</v>
      </c>
      <c r="X153" s="84">
        <v>44817</v>
      </c>
      <c r="Y153" s="81" t="s">
        <v>1045</v>
      </c>
      <c r="Z153" s="79" t="str">
        <f>HYPERLINK("https://twitter.com/tamer_lannn/status/1569681086686306304")</f>
        <v>https://twitter.com/tamer_lannn/status/1569681086686306304</v>
      </c>
      <c r="AA153" s="76"/>
      <c r="AB153" s="76"/>
      <c r="AC153" s="81" t="s">
        <v>1376</v>
      </c>
      <c r="AD153" s="76"/>
      <c r="AE153" s="76" t="b">
        <v>0</v>
      </c>
      <c r="AF153" s="76">
        <v>9</v>
      </c>
      <c r="AG153" s="81" t="s">
        <v>1674</v>
      </c>
      <c r="AH153" s="76" t="b">
        <v>1</v>
      </c>
      <c r="AI153" s="76" t="s">
        <v>1771</v>
      </c>
      <c r="AJ153" s="76"/>
      <c r="AK153" s="81" t="s">
        <v>1799</v>
      </c>
      <c r="AL153" s="76" t="b">
        <v>0</v>
      </c>
      <c r="AM153" s="76">
        <v>0</v>
      </c>
      <c r="AN153" s="81" t="s">
        <v>1674</v>
      </c>
      <c r="AO153" s="81" t="s">
        <v>1809</v>
      </c>
      <c r="AP153" s="76" t="b">
        <v>0</v>
      </c>
      <c r="AQ153" s="81" t="s">
        <v>1376</v>
      </c>
      <c r="AR153" s="76" t="s">
        <v>219</v>
      </c>
      <c r="AS153" s="76">
        <v>0</v>
      </c>
      <c r="AT153" s="76">
        <v>0</v>
      </c>
      <c r="AU153" s="76"/>
      <c r="AV153" s="76"/>
      <c r="AW153" s="76"/>
      <c r="AX153" s="76"/>
      <c r="AY153" s="76"/>
      <c r="AZ153" s="76"/>
      <c r="BA153" s="76"/>
      <c r="BB153" s="76"/>
      <c r="BC153">
        <v>1</v>
      </c>
      <c r="BD153" s="75" t="str">
        <f>REPLACE(INDEX(GroupVertices[Group],MATCH(Edges25[[#This Row],[Vertex 1]],GroupVertices[Vertex],0)),1,1,"")</f>
        <v>2</v>
      </c>
      <c r="BE153" s="75" t="str">
        <f>REPLACE(INDEX(GroupVertices[Group],MATCH(Edges25[[#This Row],[Vertex 2]],GroupVertices[Vertex],0)),1,1,"")</f>
        <v>2</v>
      </c>
      <c r="BF153" s="45">
        <v>0</v>
      </c>
      <c r="BG153" s="46">
        <v>0</v>
      </c>
      <c r="BH153" s="45">
        <v>0</v>
      </c>
      <c r="BI153" s="46">
        <v>0</v>
      </c>
      <c r="BJ153" s="45">
        <v>0</v>
      </c>
      <c r="BK153" s="46">
        <v>0</v>
      </c>
      <c r="BL153" s="45">
        <v>33</v>
      </c>
      <c r="BM153" s="46">
        <v>100</v>
      </c>
      <c r="BN153" s="45">
        <v>33</v>
      </c>
    </row>
    <row r="154" spans="1:66" ht="15">
      <c r="A154" s="61" t="s">
        <v>375</v>
      </c>
      <c r="B154" s="61" t="s">
        <v>497</v>
      </c>
      <c r="C154" s="62"/>
      <c r="D154" s="63"/>
      <c r="E154" s="62"/>
      <c r="F154" s="65"/>
      <c r="G154" s="62"/>
      <c r="H154" s="66"/>
      <c r="I154" s="67"/>
      <c r="J154" s="67"/>
      <c r="K154" s="31" t="s">
        <v>65</v>
      </c>
      <c r="L154" s="68">
        <v>223</v>
      </c>
      <c r="M154" s="68"/>
      <c r="N154" s="69"/>
      <c r="O154" s="76" t="s">
        <v>585</v>
      </c>
      <c r="P154" s="78">
        <v>44816.67450231482</v>
      </c>
      <c r="Q154" s="76" t="s">
        <v>686</v>
      </c>
      <c r="R154" s="76"/>
      <c r="S154" s="76"/>
      <c r="T154" s="81" t="s">
        <v>842</v>
      </c>
      <c r="U154" s="79" t="str">
        <f>HYPERLINK("https://pbs.twimg.com/ext_tw_video_thumb/1569314489102630913/pu/img/BR0KDvRYMz2wMx5y.jpg")</f>
        <v>https://pbs.twimg.com/ext_tw_video_thumb/1569314489102630913/pu/img/BR0KDvRYMz2wMx5y.jpg</v>
      </c>
      <c r="V154" s="79" t="str">
        <f>HYPERLINK("https://pbs.twimg.com/ext_tw_video_thumb/1569314489102630913/pu/img/BR0KDvRYMz2wMx5y.jpg")</f>
        <v>https://pbs.twimg.com/ext_tw_video_thumb/1569314489102630913/pu/img/BR0KDvRYMz2wMx5y.jpg</v>
      </c>
      <c r="W154" s="78">
        <v>44816.67450231482</v>
      </c>
      <c r="X154" s="84">
        <v>44816</v>
      </c>
      <c r="Y154" s="81" t="s">
        <v>1046</v>
      </c>
      <c r="Z154" s="79" t="str">
        <f>HYPERLINK("https://twitter.com/cagataycirit12/status/1569357992784453634")</f>
        <v>https://twitter.com/cagataycirit12/status/1569357992784453634</v>
      </c>
      <c r="AA154" s="76"/>
      <c r="AB154" s="76"/>
      <c r="AC154" s="81" t="s">
        <v>1377</v>
      </c>
      <c r="AD154" s="76"/>
      <c r="AE154" s="76" t="b">
        <v>0</v>
      </c>
      <c r="AF154" s="76">
        <v>0</v>
      </c>
      <c r="AG154" s="81" t="s">
        <v>1674</v>
      </c>
      <c r="AH154" s="76" t="b">
        <v>0</v>
      </c>
      <c r="AI154" s="76" t="s">
        <v>1771</v>
      </c>
      <c r="AJ154" s="76"/>
      <c r="AK154" s="81" t="s">
        <v>1674</v>
      </c>
      <c r="AL154" s="76" t="b">
        <v>0</v>
      </c>
      <c r="AM154" s="76">
        <v>2</v>
      </c>
      <c r="AN154" s="81" t="s">
        <v>1453</v>
      </c>
      <c r="AO154" s="81" t="s">
        <v>1809</v>
      </c>
      <c r="AP154" s="76" t="b">
        <v>0</v>
      </c>
      <c r="AQ154" s="81" t="s">
        <v>1453</v>
      </c>
      <c r="AR154" s="76" t="s">
        <v>219</v>
      </c>
      <c r="AS154" s="76">
        <v>0</v>
      </c>
      <c r="AT154" s="76">
        <v>0</v>
      </c>
      <c r="AU154" s="76"/>
      <c r="AV154" s="76"/>
      <c r="AW154" s="76"/>
      <c r="AX154" s="76"/>
      <c r="AY154" s="76"/>
      <c r="AZ154" s="76"/>
      <c r="BA154" s="76"/>
      <c r="BB154" s="76"/>
      <c r="BC154">
        <v>1</v>
      </c>
      <c r="BD154" s="75" t="str">
        <f>REPLACE(INDEX(GroupVertices[Group],MATCH(Edges25[[#This Row],[Vertex 1]],GroupVertices[Vertex],0)),1,1,"")</f>
        <v>3</v>
      </c>
      <c r="BE154" s="75" t="str">
        <f>REPLACE(INDEX(GroupVertices[Group],MATCH(Edges25[[#This Row],[Vertex 2]],GroupVertices[Vertex],0)),1,1,"")</f>
        <v>3</v>
      </c>
      <c r="BF154" s="45"/>
      <c r="BG154" s="46"/>
      <c r="BH154" s="45"/>
      <c r="BI154" s="46"/>
      <c r="BJ154" s="45"/>
      <c r="BK154" s="46"/>
      <c r="BL154" s="45"/>
      <c r="BM154" s="46"/>
      <c r="BN154" s="45"/>
    </row>
    <row r="155" spans="1:66" ht="15">
      <c r="A155" s="61" t="s">
        <v>375</v>
      </c>
      <c r="B155" s="61" t="s">
        <v>414</v>
      </c>
      <c r="C155" s="62"/>
      <c r="D155" s="63"/>
      <c r="E155" s="62"/>
      <c r="F155" s="65"/>
      <c r="G155" s="62"/>
      <c r="H155" s="66"/>
      <c r="I155" s="67"/>
      <c r="J155" s="67"/>
      <c r="K155" s="31" t="s">
        <v>65</v>
      </c>
      <c r="L155" s="68">
        <v>225</v>
      </c>
      <c r="M155" s="68"/>
      <c r="N155" s="69"/>
      <c r="O155" s="76" t="s">
        <v>586</v>
      </c>
      <c r="P155" s="78">
        <v>44817.567453703705</v>
      </c>
      <c r="Q155" s="76" t="s">
        <v>687</v>
      </c>
      <c r="R155" s="76"/>
      <c r="S155" s="76"/>
      <c r="T155" s="81" t="s">
        <v>843</v>
      </c>
      <c r="U155" s="79" t="str">
        <f>HYPERLINK("https://pbs.twimg.com/media/FciVAscX0AA7C40.jpg")</f>
        <v>https://pbs.twimg.com/media/FciVAscX0AA7C40.jpg</v>
      </c>
      <c r="V155" s="79" t="str">
        <f>HYPERLINK("https://pbs.twimg.com/media/FciVAscX0AA7C40.jpg")</f>
        <v>https://pbs.twimg.com/media/FciVAscX0AA7C40.jpg</v>
      </c>
      <c r="W155" s="78">
        <v>44817.567453703705</v>
      </c>
      <c r="X155" s="84">
        <v>44817</v>
      </c>
      <c r="Y155" s="81" t="s">
        <v>1047</v>
      </c>
      <c r="Z155" s="79" t="str">
        <f>HYPERLINK("https://twitter.com/cagataycirit12/status/1569681587293532160")</f>
        <v>https://twitter.com/cagataycirit12/status/1569681587293532160</v>
      </c>
      <c r="AA155" s="76"/>
      <c r="AB155" s="76"/>
      <c r="AC155" s="81" t="s">
        <v>1378</v>
      </c>
      <c r="AD155" s="76"/>
      <c r="AE155" s="76" t="b">
        <v>0</v>
      </c>
      <c r="AF155" s="76">
        <v>0</v>
      </c>
      <c r="AG155" s="81" t="s">
        <v>1674</v>
      </c>
      <c r="AH155" s="76" t="b">
        <v>0</v>
      </c>
      <c r="AI155" s="76" t="s">
        <v>1771</v>
      </c>
      <c r="AJ155" s="76"/>
      <c r="AK155" s="81" t="s">
        <v>1674</v>
      </c>
      <c r="AL155" s="76" t="b">
        <v>0</v>
      </c>
      <c r="AM155" s="76">
        <v>2</v>
      </c>
      <c r="AN155" s="81" t="s">
        <v>1454</v>
      </c>
      <c r="AO155" s="81" t="s">
        <v>1809</v>
      </c>
      <c r="AP155" s="76" t="b">
        <v>0</v>
      </c>
      <c r="AQ155" s="81" t="s">
        <v>1454</v>
      </c>
      <c r="AR155" s="76" t="s">
        <v>219</v>
      </c>
      <c r="AS155" s="76">
        <v>0</v>
      </c>
      <c r="AT155" s="76">
        <v>0</v>
      </c>
      <c r="AU155" s="76"/>
      <c r="AV155" s="76"/>
      <c r="AW155" s="76"/>
      <c r="AX155" s="76"/>
      <c r="AY155" s="76"/>
      <c r="AZ155" s="76"/>
      <c r="BA155" s="76"/>
      <c r="BB155" s="76"/>
      <c r="BC155">
        <v>3</v>
      </c>
      <c r="BD155" s="75" t="str">
        <f>REPLACE(INDEX(GroupVertices[Group],MATCH(Edges25[[#This Row],[Vertex 1]],GroupVertices[Vertex],0)),1,1,"")</f>
        <v>3</v>
      </c>
      <c r="BE155" s="75" t="str">
        <f>REPLACE(INDEX(GroupVertices[Group],MATCH(Edges25[[#This Row],[Vertex 2]],GroupVertices[Vertex],0)),1,1,"")</f>
        <v>3</v>
      </c>
      <c r="BF155" s="45">
        <v>0</v>
      </c>
      <c r="BG155" s="46">
        <v>0</v>
      </c>
      <c r="BH155" s="45">
        <v>0</v>
      </c>
      <c r="BI155" s="46">
        <v>0</v>
      </c>
      <c r="BJ155" s="45">
        <v>0</v>
      </c>
      <c r="BK155" s="46">
        <v>0</v>
      </c>
      <c r="BL155" s="45">
        <v>13</v>
      </c>
      <c r="BM155" s="46">
        <v>100</v>
      </c>
      <c r="BN155" s="45">
        <v>13</v>
      </c>
    </row>
    <row r="156" spans="1:66" ht="15">
      <c r="A156" s="61" t="s">
        <v>375</v>
      </c>
      <c r="B156" s="61" t="s">
        <v>414</v>
      </c>
      <c r="C156" s="62"/>
      <c r="D156" s="63"/>
      <c r="E156" s="62"/>
      <c r="F156" s="65"/>
      <c r="G156" s="62"/>
      <c r="H156" s="66"/>
      <c r="I156" s="67"/>
      <c r="J156" s="67"/>
      <c r="K156" s="31" t="s">
        <v>65</v>
      </c>
      <c r="L156" s="68">
        <v>226</v>
      </c>
      <c r="M156" s="68"/>
      <c r="N156" s="69"/>
      <c r="O156" s="76" t="s">
        <v>586</v>
      </c>
      <c r="P156" s="78">
        <v>44817.568194444444</v>
      </c>
      <c r="Q156" s="76" t="s">
        <v>632</v>
      </c>
      <c r="R156" s="76"/>
      <c r="S156" s="76"/>
      <c r="T156" s="81" t="s">
        <v>819</v>
      </c>
      <c r="U156" s="76"/>
      <c r="V156" s="79" t="str">
        <f>HYPERLINK("https://pbs.twimg.com/profile_images/1553404646944817153/xU0pQxtX_normal.jpg")</f>
        <v>https://pbs.twimg.com/profile_images/1553404646944817153/xU0pQxtX_normal.jpg</v>
      </c>
      <c r="W156" s="78">
        <v>44817.568194444444</v>
      </c>
      <c r="X156" s="84">
        <v>44817</v>
      </c>
      <c r="Y156" s="81" t="s">
        <v>1048</v>
      </c>
      <c r="Z156" s="79" t="str">
        <f>HYPERLINK("https://twitter.com/cagataycirit12/status/1569681857138098176")</f>
        <v>https://twitter.com/cagataycirit12/status/1569681857138098176</v>
      </c>
      <c r="AA156" s="76"/>
      <c r="AB156" s="76"/>
      <c r="AC156" s="81" t="s">
        <v>1379</v>
      </c>
      <c r="AD156" s="76"/>
      <c r="AE156" s="76" t="b">
        <v>0</v>
      </c>
      <c r="AF156" s="76">
        <v>0</v>
      </c>
      <c r="AG156" s="81" t="s">
        <v>1674</v>
      </c>
      <c r="AH156" s="76" t="b">
        <v>0</v>
      </c>
      <c r="AI156" s="76" t="s">
        <v>1771</v>
      </c>
      <c r="AJ156" s="76"/>
      <c r="AK156" s="81" t="s">
        <v>1674</v>
      </c>
      <c r="AL156" s="76" t="b">
        <v>0</v>
      </c>
      <c r="AM156" s="76">
        <v>4</v>
      </c>
      <c r="AN156" s="81" t="s">
        <v>1450</v>
      </c>
      <c r="AO156" s="81" t="s">
        <v>1809</v>
      </c>
      <c r="AP156" s="76" t="b">
        <v>0</v>
      </c>
      <c r="AQ156" s="81" t="s">
        <v>1450</v>
      </c>
      <c r="AR156" s="76" t="s">
        <v>219</v>
      </c>
      <c r="AS156" s="76">
        <v>0</v>
      </c>
      <c r="AT156" s="76">
        <v>0</v>
      </c>
      <c r="AU156" s="76"/>
      <c r="AV156" s="76"/>
      <c r="AW156" s="76"/>
      <c r="AX156" s="76"/>
      <c r="AY156" s="76"/>
      <c r="AZ156" s="76"/>
      <c r="BA156" s="76"/>
      <c r="BB156" s="76"/>
      <c r="BC156">
        <v>3</v>
      </c>
      <c r="BD156" s="75" t="str">
        <f>REPLACE(INDEX(GroupVertices[Group],MATCH(Edges25[[#This Row],[Vertex 1]],GroupVertices[Vertex],0)),1,1,"")</f>
        <v>3</v>
      </c>
      <c r="BE156" s="75" t="str">
        <f>REPLACE(INDEX(GroupVertices[Group],MATCH(Edges25[[#This Row],[Vertex 2]],GroupVertices[Vertex],0)),1,1,"")</f>
        <v>3</v>
      </c>
      <c r="BF156" s="45">
        <v>0</v>
      </c>
      <c r="BG156" s="46">
        <v>0</v>
      </c>
      <c r="BH156" s="45">
        <v>0</v>
      </c>
      <c r="BI156" s="46">
        <v>0</v>
      </c>
      <c r="BJ156" s="45">
        <v>0</v>
      </c>
      <c r="BK156" s="46">
        <v>0</v>
      </c>
      <c r="BL156" s="45">
        <v>5</v>
      </c>
      <c r="BM156" s="46">
        <v>100</v>
      </c>
      <c r="BN156" s="45">
        <v>5</v>
      </c>
    </row>
    <row r="157" spans="1:66" ht="15">
      <c r="A157" s="61" t="s">
        <v>376</v>
      </c>
      <c r="B157" s="61" t="s">
        <v>525</v>
      </c>
      <c r="C157" s="62"/>
      <c r="D157" s="63"/>
      <c r="E157" s="62"/>
      <c r="F157" s="65"/>
      <c r="G157" s="62"/>
      <c r="H157" s="66"/>
      <c r="I157" s="67"/>
      <c r="J157" s="67"/>
      <c r="K157" s="31" t="s">
        <v>65</v>
      </c>
      <c r="L157" s="68">
        <v>227</v>
      </c>
      <c r="M157" s="68"/>
      <c r="N157" s="69"/>
      <c r="O157" s="76" t="s">
        <v>587</v>
      </c>
      <c r="P157" s="78">
        <v>44817.77755787037</v>
      </c>
      <c r="Q157" s="76" t="s">
        <v>688</v>
      </c>
      <c r="R157" s="76"/>
      <c r="S157" s="76"/>
      <c r="T157" s="81" t="s">
        <v>844</v>
      </c>
      <c r="U157" s="76"/>
      <c r="V157" s="79" t="str">
        <f>HYPERLINK("https://pbs.twimg.com/profile_images/1331662336021712902/_l8YgACQ_normal.jpg")</f>
        <v>https://pbs.twimg.com/profile_images/1331662336021712902/_l8YgACQ_normal.jpg</v>
      </c>
      <c r="W157" s="78">
        <v>44817.77755787037</v>
      </c>
      <c r="X157" s="84">
        <v>44817</v>
      </c>
      <c r="Y157" s="81" t="s">
        <v>1049</v>
      </c>
      <c r="Z157" s="79" t="str">
        <f>HYPERLINK("https://twitter.com/l_spagg/status/1569757726041047041")</f>
        <v>https://twitter.com/l_spagg/status/1569757726041047041</v>
      </c>
      <c r="AA157" s="76"/>
      <c r="AB157" s="76"/>
      <c r="AC157" s="81" t="s">
        <v>1380</v>
      </c>
      <c r="AD157" s="81" t="s">
        <v>1615</v>
      </c>
      <c r="AE157" s="76" t="b">
        <v>0</v>
      </c>
      <c r="AF157" s="76">
        <v>0</v>
      </c>
      <c r="AG157" s="81" t="s">
        <v>1726</v>
      </c>
      <c r="AH157" s="76" t="b">
        <v>0</v>
      </c>
      <c r="AI157" s="76" t="s">
        <v>1770</v>
      </c>
      <c r="AJ157" s="76"/>
      <c r="AK157" s="81" t="s">
        <v>1674</v>
      </c>
      <c r="AL157" s="76" t="b">
        <v>0</v>
      </c>
      <c r="AM157" s="76">
        <v>0</v>
      </c>
      <c r="AN157" s="81" t="s">
        <v>1674</v>
      </c>
      <c r="AO157" s="81" t="s">
        <v>1808</v>
      </c>
      <c r="AP157" s="76" t="b">
        <v>0</v>
      </c>
      <c r="AQ157" s="81" t="s">
        <v>1615</v>
      </c>
      <c r="AR157" s="76" t="s">
        <v>219</v>
      </c>
      <c r="AS157" s="76">
        <v>0</v>
      </c>
      <c r="AT157" s="76">
        <v>0</v>
      </c>
      <c r="AU157" s="76"/>
      <c r="AV157" s="76"/>
      <c r="AW157" s="76"/>
      <c r="AX157" s="76"/>
      <c r="AY157" s="76"/>
      <c r="AZ157" s="76"/>
      <c r="BA157" s="76"/>
      <c r="BB157" s="76"/>
      <c r="BC157">
        <v>1</v>
      </c>
      <c r="BD157" s="75" t="str">
        <f>REPLACE(INDEX(GroupVertices[Group],MATCH(Edges25[[#This Row],[Vertex 1]],GroupVertices[Vertex],0)),1,1,"")</f>
        <v>44</v>
      </c>
      <c r="BE157" s="75" t="str">
        <f>REPLACE(INDEX(GroupVertices[Group],MATCH(Edges25[[#This Row],[Vertex 2]],GroupVertices[Vertex],0)),1,1,"")</f>
        <v>44</v>
      </c>
      <c r="BF157" s="45">
        <v>0</v>
      </c>
      <c r="BG157" s="46">
        <v>0</v>
      </c>
      <c r="BH157" s="45">
        <v>0</v>
      </c>
      <c r="BI157" s="46">
        <v>0</v>
      </c>
      <c r="BJ157" s="45">
        <v>0</v>
      </c>
      <c r="BK157" s="46">
        <v>0</v>
      </c>
      <c r="BL157" s="45">
        <v>7</v>
      </c>
      <c r="BM157" s="46">
        <v>100</v>
      </c>
      <c r="BN157" s="45">
        <v>7</v>
      </c>
    </row>
    <row r="158" spans="1:66" ht="15">
      <c r="A158" s="61" t="s">
        <v>377</v>
      </c>
      <c r="B158" s="61" t="s">
        <v>526</v>
      </c>
      <c r="C158" s="62"/>
      <c r="D158" s="63"/>
      <c r="E158" s="62"/>
      <c r="F158" s="65"/>
      <c r="G158" s="62"/>
      <c r="H158" s="66"/>
      <c r="I158" s="67"/>
      <c r="J158" s="67"/>
      <c r="K158" s="31" t="s">
        <v>65</v>
      </c>
      <c r="L158" s="68">
        <v>228</v>
      </c>
      <c r="M158" s="68"/>
      <c r="N158" s="69"/>
      <c r="O158" s="76" t="s">
        <v>585</v>
      </c>
      <c r="P158" s="78">
        <v>44817.82939814815</v>
      </c>
      <c r="Q158" s="76" t="s">
        <v>689</v>
      </c>
      <c r="R158" s="76"/>
      <c r="S158" s="76"/>
      <c r="T158" s="81" t="s">
        <v>795</v>
      </c>
      <c r="U158" s="76"/>
      <c r="V158" s="79" t="str">
        <f>HYPERLINK("https://pbs.twimg.com/profile_images/1496971217269628933/cZngJsP8_normal.jpg")</f>
        <v>https://pbs.twimg.com/profile_images/1496971217269628933/cZngJsP8_normal.jpg</v>
      </c>
      <c r="W158" s="78">
        <v>44817.82939814815</v>
      </c>
      <c r="X158" s="84">
        <v>44817</v>
      </c>
      <c r="Y158" s="81" t="s">
        <v>1050</v>
      </c>
      <c r="Z158" s="79" t="str">
        <f>HYPERLINK("https://twitter.com/varangianarmy/status/1569776513716989953")</f>
        <v>https://twitter.com/varangianarmy/status/1569776513716989953</v>
      </c>
      <c r="AA158" s="76"/>
      <c r="AB158" s="76"/>
      <c r="AC158" s="81" t="s">
        <v>1381</v>
      </c>
      <c r="AD158" s="76"/>
      <c r="AE158" s="76" t="b">
        <v>0</v>
      </c>
      <c r="AF158" s="76">
        <v>0</v>
      </c>
      <c r="AG158" s="81" t="s">
        <v>1674</v>
      </c>
      <c r="AH158" s="76" t="b">
        <v>0</v>
      </c>
      <c r="AI158" s="76" t="s">
        <v>1772</v>
      </c>
      <c r="AJ158" s="76"/>
      <c r="AK158" s="81" t="s">
        <v>1674</v>
      </c>
      <c r="AL158" s="76" t="b">
        <v>0</v>
      </c>
      <c r="AM158" s="76">
        <v>3</v>
      </c>
      <c r="AN158" s="81" t="s">
        <v>1383</v>
      </c>
      <c r="AO158" s="81" t="s">
        <v>1808</v>
      </c>
      <c r="AP158" s="76" t="b">
        <v>0</v>
      </c>
      <c r="AQ158" s="81" t="s">
        <v>1383</v>
      </c>
      <c r="AR158" s="76" t="s">
        <v>219</v>
      </c>
      <c r="AS158" s="76">
        <v>0</v>
      </c>
      <c r="AT158" s="76">
        <v>0</v>
      </c>
      <c r="AU158" s="76"/>
      <c r="AV158" s="76"/>
      <c r="AW158" s="76"/>
      <c r="AX158" s="76"/>
      <c r="AY158" s="76"/>
      <c r="AZ158" s="76"/>
      <c r="BA158" s="76"/>
      <c r="BB158" s="76"/>
      <c r="BC158">
        <v>1</v>
      </c>
      <c r="BD158" s="75" t="str">
        <f>REPLACE(INDEX(GroupVertices[Group],MATCH(Edges25[[#This Row],[Vertex 1]],GroupVertices[Vertex],0)),1,1,"")</f>
        <v>13</v>
      </c>
      <c r="BE158" s="75" t="str">
        <f>REPLACE(INDEX(GroupVertices[Group],MATCH(Edges25[[#This Row],[Vertex 2]],GroupVertices[Vertex],0)),1,1,"")</f>
        <v>13</v>
      </c>
      <c r="BF158" s="45"/>
      <c r="BG158" s="46"/>
      <c r="BH158" s="45"/>
      <c r="BI158" s="46"/>
      <c r="BJ158" s="45"/>
      <c r="BK158" s="46"/>
      <c r="BL158" s="45"/>
      <c r="BM158" s="46"/>
      <c r="BN158" s="45"/>
    </row>
    <row r="159" spans="1:66" ht="15">
      <c r="A159" s="61" t="s">
        <v>378</v>
      </c>
      <c r="B159" s="61" t="s">
        <v>526</v>
      </c>
      <c r="C159" s="62"/>
      <c r="D159" s="63"/>
      <c r="E159" s="62"/>
      <c r="F159" s="65"/>
      <c r="G159" s="62"/>
      <c r="H159" s="66"/>
      <c r="I159" s="67"/>
      <c r="J159" s="67"/>
      <c r="K159" s="31" t="s">
        <v>65</v>
      </c>
      <c r="L159" s="68">
        <v>231</v>
      </c>
      <c r="M159" s="68"/>
      <c r="N159" s="69"/>
      <c r="O159" s="76" t="s">
        <v>585</v>
      </c>
      <c r="P159" s="78">
        <v>44817.82482638889</v>
      </c>
      <c r="Q159" s="76" t="s">
        <v>689</v>
      </c>
      <c r="R159" s="76"/>
      <c r="S159" s="76"/>
      <c r="T159" s="81" t="s">
        <v>795</v>
      </c>
      <c r="U159" s="76"/>
      <c r="V159" s="79" t="str">
        <f>HYPERLINK("https://pbs.twimg.com/profile_images/1563828211217309696/-cq0Deqc_normal.jpg")</f>
        <v>https://pbs.twimg.com/profile_images/1563828211217309696/-cq0Deqc_normal.jpg</v>
      </c>
      <c r="W159" s="78">
        <v>44817.82482638889</v>
      </c>
      <c r="X159" s="84">
        <v>44817</v>
      </c>
      <c r="Y159" s="81" t="s">
        <v>1051</v>
      </c>
      <c r="Z159" s="79" t="str">
        <f>HYPERLINK("https://twitter.com/heyhelloirene/status/1569774858166214661")</f>
        <v>https://twitter.com/heyhelloirene/status/1569774858166214661</v>
      </c>
      <c r="AA159" s="76"/>
      <c r="AB159" s="76"/>
      <c r="AC159" s="81" t="s">
        <v>1382</v>
      </c>
      <c r="AD159" s="76"/>
      <c r="AE159" s="76" t="b">
        <v>0</v>
      </c>
      <c r="AF159" s="76">
        <v>0</v>
      </c>
      <c r="AG159" s="81" t="s">
        <v>1674</v>
      </c>
      <c r="AH159" s="76" t="b">
        <v>0</v>
      </c>
      <c r="AI159" s="76" t="s">
        <v>1772</v>
      </c>
      <c r="AJ159" s="76"/>
      <c r="AK159" s="81" t="s">
        <v>1674</v>
      </c>
      <c r="AL159" s="76" t="b">
        <v>0</v>
      </c>
      <c r="AM159" s="76">
        <v>3</v>
      </c>
      <c r="AN159" s="81" t="s">
        <v>1383</v>
      </c>
      <c r="AO159" s="81" t="s">
        <v>1809</v>
      </c>
      <c r="AP159" s="76" t="b">
        <v>0</v>
      </c>
      <c r="AQ159" s="81" t="s">
        <v>1383</v>
      </c>
      <c r="AR159" s="76" t="s">
        <v>219</v>
      </c>
      <c r="AS159" s="76">
        <v>0</v>
      </c>
      <c r="AT159" s="76">
        <v>0</v>
      </c>
      <c r="AU159" s="76"/>
      <c r="AV159" s="76"/>
      <c r="AW159" s="76"/>
      <c r="AX159" s="76"/>
      <c r="AY159" s="76"/>
      <c r="AZ159" s="76"/>
      <c r="BA159" s="76"/>
      <c r="BB159" s="76"/>
      <c r="BC159">
        <v>1</v>
      </c>
      <c r="BD159" s="75" t="str">
        <f>REPLACE(INDEX(GroupVertices[Group],MATCH(Edges25[[#This Row],[Vertex 1]],GroupVertices[Vertex],0)),1,1,"")</f>
        <v>13</v>
      </c>
      <c r="BE159" s="75" t="str">
        <f>REPLACE(INDEX(GroupVertices[Group],MATCH(Edges25[[#This Row],[Vertex 2]],GroupVertices[Vertex],0)),1,1,"")</f>
        <v>13</v>
      </c>
      <c r="BF159" s="45"/>
      <c r="BG159" s="46"/>
      <c r="BH159" s="45"/>
      <c r="BI159" s="46"/>
      <c r="BJ159" s="45"/>
      <c r="BK159" s="46"/>
      <c r="BL159" s="45"/>
      <c r="BM159" s="46"/>
      <c r="BN159" s="45"/>
    </row>
    <row r="160" spans="1:66" ht="15">
      <c r="A160" s="61" t="s">
        <v>379</v>
      </c>
      <c r="B160" s="61" t="s">
        <v>526</v>
      </c>
      <c r="C160" s="62"/>
      <c r="D160" s="63"/>
      <c r="E160" s="62"/>
      <c r="F160" s="65"/>
      <c r="G160" s="62"/>
      <c r="H160" s="66"/>
      <c r="I160" s="67"/>
      <c r="J160" s="67"/>
      <c r="K160" s="31" t="s">
        <v>65</v>
      </c>
      <c r="L160" s="68">
        <v>232</v>
      </c>
      <c r="M160" s="68"/>
      <c r="N160" s="69"/>
      <c r="O160" s="76" t="s">
        <v>588</v>
      </c>
      <c r="P160" s="78">
        <v>44817.82295138889</v>
      </c>
      <c r="Q160" s="76" t="s">
        <v>689</v>
      </c>
      <c r="R160" s="76"/>
      <c r="S160" s="76"/>
      <c r="T160" s="81" t="s">
        <v>795</v>
      </c>
      <c r="U160" s="76"/>
      <c r="V160" s="79" t="str">
        <f>HYPERLINK("https://pbs.twimg.com/profile_images/1504562358076772352/JsJgUY8e_normal.jpg")</f>
        <v>https://pbs.twimg.com/profile_images/1504562358076772352/JsJgUY8e_normal.jpg</v>
      </c>
      <c r="W160" s="78">
        <v>44817.82295138889</v>
      </c>
      <c r="X160" s="84">
        <v>44817</v>
      </c>
      <c r="Y160" s="81" t="s">
        <v>1052</v>
      </c>
      <c r="Z160" s="79" t="str">
        <f>HYPERLINK("https://twitter.com/vasilsimeonovbg/status/1569774176348811264")</f>
        <v>https://twitter.com/vasilsimeonovbg/status/1569774176348811264</v>
      </c>
      <c r="AA160" s="76"/>
      <c r="AB160" s="76"/>
      <c r="AC160" s="81" t="s">
        <v>1383</v>
      </c>
      <c r="AD160" s="81" t="s">
        <v>1616</v>
      </c>
      <c r="AE160" s="76" t="b">
        <v>0</v>
      </c>
      <c r="AF160" s="76">
        <v>17</v>
      </c>
      <c r="AG160" s="81" t="s">
        <v>1727</v>
      </c>
      <c r="AH160" s="76" t="b">
        <v>0</v>
      </c>
      <c r="AI160" s="76" t="s">
        <v>1772</v>
      </c>
      <c r="AJ160" s="76"/>
      <c r="AK160" s="81" t="s">
        <v>1674</v>
      </c>
      <c r="AL160" s="76" t="b">
        <v>0</v>
      </c>
      <c r="AM160" s="76">
        <v>3</v>
      </c>
      <c r="AN160" s="81" t="s">
        <v>1674</v>
      </c>
      <c r="AO160" s="81" t="s">
        <v>1807</v>
      </c>
      <c r="AP160" s="76" t="b">
        <v>0</v>
      </c>
      <c r="AQ160" s="81" t="s">
        <v>1616</v>
      </c>
      <c r="AR160" s="76" t="s">
        <v>219</v>
      </c>
      <c r="AS160" s="76">
        <v>0</v>
      </c>
      <c r="AT160" s="76">
        <v>0</v>
      </c>
      <c r="AU160" s="76"/>
      <c r="AV160" s="76"/>
      <c r="AW160" s="76"/>
      <c r="AX160" s="76"/>
      <c r="AY160" s="76"/>
      <c r="AZ160" s="76"/>
      <c r="BA160" s="76"/>
      <c r="BB160" s="76"/>
      <c r="BC160">
        <v>1</v>
      </c>
      <c r="BD160" s="75" t="str">
        <f>REPLACE(INDEX(GroupVertices[Group],MATCH(Edges25[[#This Row],[Vertex 1]],GroupVertices[Vertex],0)),1,1,"")</f>
        <v>13</v>
      </c>
      <c r="BE160" s="75" t="str">
        <f>REPLACE(INDEX(GroupVertices[Group],MATCH(Edges25[[#This Row],[Vertex 2]],GroupVertices[Vertex],0)),1,1,"")</f>
        <v>13</v>
      </c>
      <c r="BF160" s="45"/>
      <c r="BG160" s="46"/>
      <c r="BH160" s="45"/>
      <c r="BI160" s="46"/>
      <c r="BJ160" s="45"/>
      <c r="BK160" s="46"/>
      <c r="BL160" s="45"/>
      <c r="BM160" s="46"/>
      <c r="BN160" s="45"/>
    </row>
    <row r="161" spans="1:66" ht="15">
      <c r="A161" s="61" t="s">
        <v>380</v>
      </c>
      <c r="B161" s="61" t="s">
        <v>526</v>
      </c>
      <c r="C161" s="62"/>
      <c r="D161" s="63"/>
      <c r="E161" s="62"/>
      <c r="F161" s="65"/>
      <c r="G161" s="62"/>
      <c r="H161" s="66"/>
      <c r="I161" s="67"/>
      <c r="J161" s="67"/>
      <c r="K161" s="31" t="s">
        <v>65</v>
      </c>
      <c r="L161" s="68">
        <v>233</v>
      </c>
      <c r="M161" s="68"/>
      <c r="N161" s="69"/>
      <c r="O161" s="76" t="s">
        <v>585</v>
      </c>
      <c r="P161" s="78">
        <v>44817.862708333334</v>
      </c>
      <c r="Q161" s="76" t="s">
        <v>689</v>
      </c>
      <c r="R161" s="76"/>
      <c r="S161" s="76"/>
      <c r="T161" s="81" t="s">
        <v>795</v>
      </c>
      <c r="U161" s="76"/>
      <c r="V161" s="79" t="str">
        <f>HYPERLINK("https://pbs.twimg.com/profile_images/985194897639661568/XbOJcyqq_normal.jpg")</f>
        <v>https://pbs.twimg.com/profile_images/985194897639661568/XbOJcyqq_normal.jpg</v>
      </c>
      <c r="W161" s="78">
        <v>44817.862708333334</v>
      </c>
      <c r="X161" s="84">
        <v>44817</v>
      </c>
      <c r="Y161" s="81" t="s">
        <v>1053</v>
      </c>
      <c r="Z161" s="79" t="str">
        <f>HYPERLINK("https://twitter.com/almsdoc95/status/1569788584286195712")</f>
        <v>https://twitter.com/almsdoc95/status/1569788584286195712</v>
      </c>
      <c r="AA161" s="76"/>
      <c r="AB161" s="76"/>
      <c r="AC161" s="81" t="s">
        <v>1384</v>
      </c>
      <c r="AD161" s="76"/>
      <c r="AE161" s="76" t="b">
        <v>0</v>
      </c>
      <c r="AF161" s="76">
        <v>0</v>
      </c>
      <c r="AG161" s="81" t="s">
        <v>1674</v>
      </c>
      <c r="AH161" s="76" t="b">
        <v>0</v>
      </c>
      <c r="AI161" s="76" t="s">
        <v>1772</v>
      </c>
      <c r="AJ161" s="76"/>
      <c r="AK161" s="81" t="s">
        <v>1674</v>
      </c>
      <c r="AL161" s="76" t="b">
        <v>0</v>
      </c>
      <c r="AM161" s="76">
        <v>3</v>
      </c>
      <c r="AN161" s="81" t="s">
        <v>1383</v>
      </c>
      <c r="AO161" s="81" t="s">
        <v>1807</v>
      </c>
      <c r="AP161" s="76" t="b">
        <v>0</v>
      </c>
      <c r="AQ161" s="81" t="s">
        <v>1383</v>
      </c>
      <c r="AR161" s="76" t="s">
        <v>219</v>
      </c>
      <c r="AS161" s="76">
        <v>0</v>
      </c>
      <c r="AT161" s="76">
        <v>0</v>
      </c>
      <c r="AU161" s="76"/>
      <c r="AV161" s="76"/>
      <c r="AW161" s="76"/>
      <c r="AX161" s="76"/>
      <c r="AY161" s="76"/>
      <c r="AZ161" s="76"/>
      <c r="BA161" s="76"/>
      <c r="BB161" s="76"/>
      <c r="BC161">
        <v>1</v>
      </c>
      <c r="BD161" s="75" t="str">
        <f>REPLACE(INDEX(GroupVertices[Group],MATCH(Edges25[[#This Row],[Vertex 1]],GroupVertices[Vertex],0)),1,1,"")</f>
        <v>13</v>
      </c>
      <c r="BE161" s="75" t="str">
        <f>REPLACE(INDEX(GroupVertices[Group],MATCH(Edges25[[#This Row],[Vertex 2]],GroupVertices[Vertex],0)),1,1,"")</f>
        <v>13</v>
      </c>
      <c r="BF161" s="45"/>
      <c r="BG161" s="46"/>
      <c r="BH161" s="45"/>
      <c r="BI161" s="46"/>
      <c r="BJ161" s="45"/>
      <c r="BK161" s="46"/>
      <c r="BL161" s="45"/>
      <c r="BM161" s="46"/>
      <c r="BN161" s="45"/>
    </row>
    <row r="162" spans="1:66" ht="15">
      <c r="A162" s="61" t="s">
        <v>379</v>
      </c>
      <c r="B162" s="61" t="s">
        <v>379</v>
      </c>
      <c r="C162" s="62"/>
      <c r="D162" s="63"/>
      <c r="E162" s="62"/>
      <c r="F162" s="65"/>
      <c r="G162" s="62"/>
      <c r="H162" s="66"/>
      <c r="I162" s="67"/>
      <c r="J162" s="67"/>
      <c r="K162" s="31" t="s">
        <v>65</v>
      </c>
      <c r="L162" s="68">
        <v>235</v>
      </c>
      <c r="M162" s="68"/>
      <c r="N162" s="69"/>
      <c r="O162" s="76" t="s">
        <v>219</v>
      </c>
      <c r="P162" s="78">
        <v>44812.26993055556</v>
      </c>
      <c r="Q162" s="76" t="s">
        <v>690</v>
      </c>
      <c r="R162" s="76"/>
      <c r="S162" s="76"/>
      <c r="T162" s="81" t="s">
        <v>845</v>
      </c>
      <c r="U162" s="76"/>
      <c r="V162" s="79" t="str">
        <f>HYPERLINK("https://pbs.twimg.com/profile_images/1504562358076772352/JsJgUY8e_normal.jpg")</f>
        <v>https://pbs.twimg.com/profile_images/1504562358076772352/JsJgUY8e_normal.jpg</v>
      </c>
      <c r="W162" s="78">
        <v>44812.26993055556</v>
      </c>
      <c r="X162" s="84">
        <v>44812</v>
      </c>
      <c r="Y162" s="81" t="s">
        <v>1054</v>
      </c>
      <c r="Z162" s="79" t="str">
        <f>HYPERLINK("https://twitter.com/vasilsimeonovbg/status/1567761830788972547")</f>
        <v>https://twitter.com/vasilsimeonovbg/status/1567761830788972547</v>
      </c>
      <c r="AA162" s="76"/>
      <c r="AB162" s="76"/>
      <c r="AC162" s="81" t="s">
        <v>1385</v>
      </c>
      <c r="AD162" s="81" t="s">
        <v>1617</v>
      </c>
      <c r="AE162" s="76" t="b">
        <v>0</v>
      </c>
      <c r="AF162" s="76">
        <v>0</v>
      </c>
      <c r="AG162" s="81" t="s">
        <v>1728</v>
      </c>
      <c r="AH162" s="76" t="b">
        <v>0</v>
      </c>
      <c r="AI162" s="76" t="s">
        <v>1772</v>
      </c>
      <c r="AJ162" s="76"/>
      <c r="AK162" s="81" t="s">
        <v>1674</v>
      </c>
      <c r="AL162" s="76" t="b">
        <v>0</v>
      </c>
      <c r="AM162" s="76">
        <v>0</v>
      </c>
      <c r="AN162" s="81" t="s">
        <v>1674</v>
      </c>
      <c r="AO162" s="81" t="s">
        <v>1807</v>
      </c>
      <c r="AP162" s="76" t="b">
        <v>0</v>
      </c>
      <c r="AQ162" s="81" t="s">
        <v>1617</v>
      </c>
      <c r="AR162" s="76" t="s">
        <v>219</v>
      </c>
      <c r="AS162" s="76">
        <v>0</v>
      </c>
      <c r="AT162" s="76">
        <v>0</v>
      </c>
      <c r="AU162" s="76"/>
      <c r="AV162" s="76"/>
      <c r="AW162" s="76"/>
      <c r="AX162" s="76"/>
      <c r="AY162" s="76"/>
      <c r="AZ162" s="76"/>
      <c r="BA162" s="76"/>
      <c r="BB162" s="76"/>
      <c r="BC162">
        <v>3</v>
      </c>
      <c r="BD162" s="75" t="str">
        <f>REPLACE(INDEX(GroupVertices[Group],MATCH(Edges25[[#This Row],[Vertex 1]],GroupVertices[Vertex],0)),1,1,"")</f>
        <v>13</v>
      </c>
      <c r="BE162" s="75" t="str">
        <f>REPLACE(INDEX(GroupVertices[Group],MATCH(Edges25[[#This Row],[Vertex 2]],GroupVertices[Vertex],0)),1,1,"")</f>
        <v>13</v>
      </c>
      <c r="BF162" s="45">
        <v>3</v>
      </c>
      <c r="BG162" s="46">
        <v>12</v>
      </c>
      <c r="BH162" s="45">
        <v>2</v>
      </c>
      <c r="BI162" s="46">
        <v>8</v>
      </c>
      <c r="BJ162" s="45">
        <v>0</v>
      </c>
      <c r="BK162" s="46">
        <v>0</v>
      </c>
      <c r="BL162" s="45">
        <v>20</v>
      </c>
      <c r="BM162" s="46">
        <v>80</v>
      </c>
      <c r="BN162" s="45">
        <v>25</v>
      </c>
    </row>
    <row r="163" spans="1:66" ht="15">
      <c r="A163" s="61" t="s">
        <v>379</v>
      </c>
      <c r="B163" s="61" t="s">
        <v>379</v>
      </c>
      <c r="C163" s="62"/>
      <c r="D163" s="63"/>
      <c r="E163" s="62"/>
      <c r="F163" s="65"/>
      <c r="G163" s="62"/>
      <c r="H163" s="66"/>
      <c r="I163" s="67"/>
      <c r="J163" s="67"/>
      <c r="K163" s="31" t="s">
        <v>65</v>
      </c>
      <c r="L163" s="68">
        <v>236</v>
      </c>
      <c r="M163" s="68"/>
      <c r="N163" s="69"/>
      <c r="O163" s="76" t="s">
        <v>219</v>
      </c>
      <c r="P163" s="78">
        <v>44814.96319444444</v>
      </c>
      <c r="Q163" s="76" t="s">
        <v>634</v>
      </c>
      <c r="R163" s="79" t="str">
        <f>HYPERLINK("https://twitter.com/StepanGronk/status/1568043302032928768")</f>
        <v>https://twitter.com/StepanGronk/status/1568043302032928768</v>
      </c>
      <c r="S163" s="76" t="s">
        <v>783</v>
      </c>
      <c r="T163" s="81" t="s">
        <v>821</v>
      </c>
      <c r="U163" s="76"/>
      <c r="V163" s="79" t="str">
        <f>HYPERLINK("https://pbs.twimg.com/profile_images/1504562358076772352/JsJgUY8e_normal.jpg")</f>
        <v>https://pbs.twimg.com/profile_images/1504562358076772352/JsJgUY8e_normal.jpg</v>
      </c>
      <c r="W163" s="78">
        <v>44814.96319444444</v>
      </c>
      <c r="X163" s="84">
        <v>44814</v>
      </c>
      <c r="Y163" s="81" t="s">
        <v>1055</v>
      </c>
      <c r="Z163" s="79" t="str">
        <f>HYPERLINK("https://twitter.com/vasilsimeonovbg/status/1568737834621599746")</f>
        <v>https://twitter.com/vasilsimeonovbg/status/1568737834621599746</v>
      </c>
      <c r="AA163" s="76"/>
      <c r="AB163" s="76"/>
      <c r="AC163" s="81" t="s">
        <v>1386</v>
      </c>
      <c r="AD163" s="76"/>
      <c r="AE163" s="76" t="b">
        <v>0</v>
      </c>
      <c r="AF163" s="76">
        <v>7</v>
      </c>
      <c r="AG163" s="81" t="s">
        <v>1674</v>
      </c>
      <c r="AH163" s="76" t="b">
        <v>1</v>
      </c>
      <c r="AI163" s="76" t="s">
        <v>1772</v>
      </c>
      <c r="AJ163" s="76"/>
      <c r="AK163" s="81" t="s">
        <v>1794</v>
      </c>
      <c r="AL163" s="76" t="b">
        <v>0</v>
      </c>
      <c r="AM163" s="76">
        <v>2</v>
      </c>
      <c r="AN163" s="81" t="s">
        <v>1674</v>
      </c>
      <c r="AO163" s="81" t="s">
        <v>1807</v>
      </c>
      <c r="AP163" s="76" t="b">
        <v>0</v>
      </c>
      <c r="AQ163" s="81" t="s">
        <v>1386</v>
      </c>
      <c r="AR163" s="76" t="s">
        <v>219</v>
      </c>
      <c r="AS163" s="76">
        <v>0</v>
      </c>
      <c r="AT163" s="76">
        <v>0</v>
      </c>
      <c r="AU163" s="76"/>
      <c r="AV163" s="76"/>
      <c r="AW163" s="76"/>
      <c r="AX163" s="76"/>
      <c r="AY163" s="76"/>
      <c r="AZ163" s="76"/>
      <c r="BA163" s="76"/>
      <c r="BB163" s="76"/>
      <c r="BC163">
        <v>3</v>
      </c>
      <c r="BD163" s="75" t="str">
        <f>REPLACE(INDEX(GroupVertices[Group],MATCH(Edges25[[#This Row],[Vertex 1]],GroupVertices[Vertex],0)),1,1,"")</f>
        <v>13</v>
      </c>
      <c r="BE163" s="75" t="str">
        <f>REPLACE(INDEX(GroupVertices[Group],MATCH(Edges25[[#This Row],[Vertex 2]],GroupVertices[Vertex],0)),1,1,"")</f>
        <v>13</v>
      </c>
      <c r="BF163" s="45">
        <v>0</v>
      </c>
      <c r="BG163" s="46">
        <v>0</v>
      </c>
      <c r="BH163" s="45">
        <v>1</v>
      </c>
      <c r="BI163" s="46">
        <v>6.25</v>
      </c>
      <c r="BJ163" s="45">
        <v>0</v>
      </c>
      <c r="BK163" s="46">
        <v>0</v>
      </c>
      <c r="BL163" s="45">
        <v>15</v>
      </c>
      <c r="BM163" s="46">
        <v>93.75</v>
      </c>
      <c r="BN163" s="45">
        <v>16</v>
      </c>
    </row>
    <row r="164" spans="1:66" ht="15">
      <c r="A164" s="61" t="s">
        <v>379</v>
      </c>
      <c r="B164" s="61" t="s">
        <v>379</v>
      </c>
      <c r="C164" s="62"/>
      <c r="D164" s="63"/>
      <c r="E164" s="62"/>
      <c r="F164" s="65"/>
      <c r="G164" s="62"/>
      <c r="H164" s="66"/>
      <c r="I164" s="67"/>
      <c r="J164" s="67"/>
      <c r="K164" s="31" t="s">
        <v>65</v>
      </c>
      <c r="L164" s="68">
        <v>238</v>
      </c>
      <c r="M164" s="68"/>
      <c r="N164" s="69"/>
      <c r="O164" s="76" t="s">
        <v>219</v>
      </c>
      <c r="P164" s="78">
        <v>44817.82582175926</v>
      </c>
      <c r="Q164" s="76" t="s">
        <v>691</v>
      </c>
      <c r="R164" s="76"/>
      <c r="S164" s="76"/>
      <c r="T164" s="81" t="s">
        <v>795</v>
      </c>
      <c r="U164" s="76"/>
      <c r="V164" s="79" t="str">
        <f>HYPERLINK("https://pbs.twimg.com/profile_images/1504562358076772352/JsJgUY8e_normal.jpg")</f>
        <v>https://pbs.twimg.com/profile_images/1504562358076772352/JsJgUY8e_normal.jpg</v>
      </c>
      <c r="W164" s="78">
        <v>44817.82582175926</v>
      </c>
      <c r="X164" s="84">
        <v>44817</v>
      </c>
      <c r="Y164" s="81" t="s">
        <v>1056</v>
      </c>
      <c r="Z164" s="79" t="str">
        <f>HYPERLINK("https://twitter.com/vasilsimeonovbg/status/1569775217261613063")</f>
        <v>https://twitter.com/vasilsimeonovbg/status/1569775217261613063</v>
      </c>
      <c r="AA164" s="76"/>
      <c r="AB164" s="76"/>
      <c r="AC164" s="81" t="s">
        <v>1387</v>
      </c>
      <c r="AD164" s="76"/>
      <c r="AE164" s="76" t="b">
        <v>0</v>
      </c>
      <c r="AF164" s="76">
        <v>1</v>
      </c>
      <c r="AG164" s="81" t="s">
        <v>1674</v>
      </c>
      <c r="AH164" s="76" t="b">
        <v>0</v>
      </c>
      <c r="AI164" s="76" t="s">
        <v>1772</v>
      </c>
      <c r="AJ164" s="76"/>
      <c r="AK164" s="81" t="s">
        <v>1674</v>
      </c>
      <c r="AL164" s="76" t="b">
        <v>0</v>
      </c>
      <c r="AM164" s="76">
        <v>0</v>
      </c>
      <c r="AN164" s="81" t="s">
        <v>1674</v>
      </c>
      <c r="AO164" s="81" t="s">
        <v>1807</v>
      </c>
      <c r="AP164" s="76" t="b">
        <v>0</v>
      </c>
      <c r="AQ164" s="81" t="s">
        <v>1387</v>
      </c>
      <c r="AR164" s="76" t="s">
        <v>219</v>
      </c>
      <c r="AS164" s="76">
        <v>0</v>
      </c>
      <c r="AT164" s="76">
        <v>0</v>
      </c>
      <c r="AU164" s="76"/>
      <c r="AV164" s="76"/>
      <c r="AW164" s="76"/>
      <c r="AX164" s="76"/>
      <c r="AY164" s="76"/>
      <c r="AZ164" s="76"/>
      <c r="BA164" s="76"/>
      <c r="BB164" s="76"/>
      <c r="BC164">
        <v>3</v>
      </c>
      <c r="BD164" s="75" t="str">
        <f>REPLACE(INDEX(GroupVertices[Group],MATCH(Edges25[[#This Row],[Vertex 1]],GroupVertices[Vertex],0)),1,1,"")</f>
        <v>13</v>
      </c>
      <c r="BE164" s="75" t="str">
        <f>REPLACE(INDEX(GroupVertices[Group],MATCH(Edges25[[#This Row],[Vertex 2]],GroupVertices[Vertex],0)),1,1,"")</f>
        <v>13</v>
      </c>
      <c r="BF164" s="45">
        <v>1</v>
      </c>
      <c r="BG164" s="46">
        <v>4</v>
      </c>
      <c r="BH164" s="45">
        <v>0</v>
      </c>
      <c r="BI164" s="46">
        <v>0</v>
      </c>
      <c r="BJ164" s="45">
        <v>0</v>
      </c>
      <c r="BK164" s="46">
        <v>0</v>
      </c>
      <c r="BL164" s="45">
        <v>24</v>
      </c>
      <c r="BM164" s="46">
        <v>96</v>
      </c>
      <c r="BN164" s="45">
        <v>25</v>
      </c>
    </row>
    <row r="165" spans="1:66" ht="15">
      <c r="A165" s="61" t="s">
        <v>381</v>
      </c>
      <c r="B165" s="61" t="s">
        <v>381</v>
      </c>
      <c r="C165" s="62"/>
      <c r="D165" s="63"/>
      <c r="E165" s="62"/>
      <c r="F165" s="65"/>
      <c r="G165" s="62"/>
      <c r="H165" s="66"/>
      <c r="I165" s="67"/>
      <c r="J165" s="67"/>
      <c r="K165" s="31" t="s">
        <v>65</v>
      </c>
      <c r="L165" s="68">
        <v>241</v>
      </c>
      <c r="M165" s="68"/>
      <c r="N165" s="69"/>
      <c r="O165" s="76" t="s">
        <v>219</v>
      </c>
      <c r="P165" s="78">
        <v>44817.991527777776</v>
      </c>
      <c r="Q165" s="76" t="s">
        <v>692</v>
      </c>
      <c r="R165" s="76"/>
      <c r="S165" s="76"/>
      <c r="T165" s="81" t="s">
        <v>795</v>
      </c>
      <c r="U165" s="76"/>
      <c r="V165" s="79" t="str">
        <f>HYPERLINK("https://pbs.twimg.com/profile_images/1519035947031175171/2o2GXDME_normal.jpg")</f>
        <v>https://pbs.twimg.com/profile_images/1519035947031175171/2o2GXDME_normal.jpg</v>
      </c>
      <c r="W165" s="78">
        <v>44817.991527777776</v>
      </c>
      <c r="X165" s="84">
        <v>44817</v>
      </c>
      <c r="Y165" s="81" t="s">
        <v>1057</v>
      </c>
      <c r="Z165" s="79" t="str">
        <f>HYPERLINK("https://twitter.com/patriotavenezo/status/1569835268374396931")</f>
        <v>https://twitter.com/patriotavenezo/status/1569835268374396931</v>
      </c>
      <c r="AA165" s="76"/>
      <c r="AB165" s="76"/>
      <c r="AC165" s="81" t="s">
        <v>1388</v>
      </c>
      <c r="AD165" s="76"/>
      <c r="AE165" s="76" t="b">
        <v>0</v>
      </c>
      <c r="AF165" s="76">
        <v>0</v>
      </c>
      <c r="AG165" s="81" t="s">
        <v>1674</v>
      </c>
      <c r="AH165" s="76" t="b">
        <v>0</v>
      </c>
      <c r="AI165" s="76" t="s">
        <v>1773</v>
      </c>
      <c r="AJ165" s="76"/>
      <c r="AK165" s="81" t="s">
        <v>1674</v>
      </c>
      <c r="AL165" s="76" t="b">
        <v>0</v>
      </c>
      <c r="AM165" s="76">
        <v>0</v>
      </c>
      <c r="AN165" s="81" t="s">
        <v>1674</v>
      </c>
      <c r="AO165" s="81" t="s">
        <v>1807</v>
      </c>
      <c r="AP165" s="76" t="b">
        <v>0</v>
      </c>
      <c r="AQ165" s="81" t="s">
        <v>1388</v>
      </c>
      <c r="AR165" s="76" t="s">
        <v>219</v>
      </c>
      <c r="AS165" s="76">
        <v>0</v>
      </c>
      <c r="AT165" s="76">
        <v>0</v>
      </c>
      <c r="AU165" s="76"/>
      <c r="AV165" s="76"/>
      <c r="AW165" s="76"/>
      <c r="AX165" s="76"/>
      <c r="AY165" s="76"/>
      <c r="AZ165" s="76"/>
      <c r="BA165" s="76"/>
      <c r="BB165" s="76"/>
      <c r="BC165">
        <v>1</v>
      </c>
      <c r="BD165" s="75" t="str">
        <f>REPLACE(INDEX(GroupVertices[Group],MATCH(Edges25[[#This Row],[Vertex 1]],GroupVertices[Vertex],0)),1,1,"")</f>
        <v>2</v>
      </c>
      <c r="BE165" s="75" t="str">
        <f>REPLACE(INDEX(GroupVertices[Group],MATCH(Edges25[[#This Row],[Vertex 2]],GroupVertices[Vertex],0)),1,1,"")</f>
        <v>2</v>
      </c>
      <c r="BF165" s="45">
        <v>0</v>
      </c>
      <c r="BG165" s="46">
        <v>0</v>
      </c>
      <c r="BH165" s="45">
        <v>0</v>
      </c>
      <c r="BI165" s="46">
        <v>0</v>
      </c>
      <c r="BJ165" s="45">
        <v>0</v>
      </c>
      <c r="BK165" s="46">
        <v>0</v>
      </c>
      <c r="BL165" s="45">
        <v>1</v>
      </c>
      <c r="BM165" s="46">
        <v>100</v>
      </c>
      <c r="BN165" s="45">
        <v>1</v>
      </c>
    </row>
    <row r="166" spans="1:66" ht="15">
      <c r="A166" s="61" t="s">
        <v>382</v>
      </c>
      <c r="B166" s="61" t="s">
        <v>478</v>
      </c>
      <c r="C166" s="62"/>
      <c r="D166" s="63"/>
      <c r="E166" s="62"/>
      <c r="F166" s="65"/>
      <c r="G166" s="62"/>
      <c r="H166" s="66"/>
      <c r="I166" s="67"/>
      <c r="J166" s="67"/>
      <c r="K166" s="31" t="s">
        <v>65</v>
      </c>
      <c r="L166" s="68">
        <v>242</v>
      </c>
      <c r="M166" s="68"/>
      <c r="N166" s="69"/>
      <c r="O166" s="76" t="s">
        <v>588</v>
      </c>
      <c r="P166" s="78">
        <v>44818.264131944445</v>
      </c>
      <c r="Q166" s="76" t="s">
        <v>693</v>
      </c>
      <c r="R166" s="79" t="str">
        <f>HYPERLINK("https://twitter.com/DanielsonKassa1/status/1569891516281245697")</f>
        <v>https://twitter.com/DanielsonKassa1/status/1569891516281245697</v>
      </c>
      <c r="S166" s="76" t="s">
        <v>783</v>
      </c>
      <c r="T166" s="81" t="s">
        <v>846</v>
      </c>
      <c r="U166" s="76"/>
      <c r="V166" s="79" t="str">
        <f>HYPERLINK("https://pbs.twimg.com/profile_images/1569983204995616768/o89y1TXV_normal.jpg")</f>
        <v>https://pbs.twimg.com/profile_images/1569983204995616768/o89y1TXV_normal.jpg</v>
      </c>
      <c r="W166" s="78">
        <v>44818.264131944445</v>
      </c>
      <c r="X166" s="84">
        <v>44818</v>
      </c>
      <c r="Y166" s="81" t="s">
        <v>1058</v>
      </c>
      <c r="Z166" s="79" t="str">
        <f>HYPERLINK("https://twitter.com/yeshewalul1/status/1569934056367833088")</f>
        <v>https://twitter.com/yeshewalul1/status/1569934056367833088</v>
      </c>
      <c r="AA166" s="76"/>
      <c r="AB166" s="76"/>
      <c r="AC166" s="81" t="s">
        <v>1389</v>
      </c>
      <c r="AD166" s="76"/>
      <c r="AE166" s="76" t="b">
        <v>0</v>
      </c>
      <c r="AF166" s="76">
        <v>1</v>
      </c>
      <c r="AG166" s="81" t="s">
        <v>1674</v>
      </c>
      <c r="AH166" s="76" t="b">
        <v>1</v>
      </c>
      <c r="AI166" s="76" t="s">
        <v>1773</v>
      </c>
      <c r="AJ166" s="76"/>
      <c r="AK166" s="81" t="s">
        <v>1800</v>
      </c>
      <c r="AL166" s="76" t="b">
        <v>0</v>
      </c>
      <c r="AM166" s="76">
        <v>0</v>
      </c>
      <c r="AN166" s="81" t="s">
        <v>1674</v>
      </c>
      <c r="AO166" s="81" t="s">
        <v>1808</v>
      </c>
      <c r="AP166" s="76" t="b">
        <v>0</v>
      </c>
      <c r="AQ166" s="81" t="s">
        <v>1389</v>
      </c>
      <c r="AR166" s="76" t="s">
        <v>219</v>
      </c>
      <c r="AS166" s="76">
        <v>0</v>
      </c>
      <c r="AT166" s="76">
        <v>0</v>
      </c>
      <c r="AU166" s="76"/>
      <c r="AV166" s="76"/>
      <c r="AW166" s="76"/>
      <c r="AX166" s="76"/>
      <c r="AY166" s="76"/>
      <c r="AZ166" s="76"/>
      <c r="BA166" s="76"/>
      <c r="BB166" s="76"/>
      <c r="BC166">
        <v>1</v>
      </c>
      <c r="BD166" s="75" t="str">
        <f>REPLACE(INDEX(GroupVertices[Group],MATCH(Edges25[[#This Row],[Vertex 1]],GroupVertices[Vertex],0)),1,1,"")</f>
        <v>1</v>
      </c>
      <c r="BE166" s="75" t="str">
        <f>REPLACE(INDEX(GroupVertices[Group],MATCH(Edges25[[#This Row],[Vertex 2]],GroupVertices[Vertex],0)),1,1,"")</f>
        <v>25</v>
      </c>
      <c r="BF166" s="45"/>
      <c r="BG166" s="46"/>
      <c r="BH166" s="45"/>
      <c r="BI166" s="46"/>
      <c r="BJ166" s="45"/>
      <c r="BK166" s="46"/>
      <c r="BL166" s="45"/>
      <c r="BM166" s="46"/>
      <c r="BN166" s="45"/>
    </row>
    <row r="167" spans="1:66" ht="15">
      <c r="A167" s="61" t="s">
        <v>383</v>
      </c>
      <c r="B167" s="61" t="s">
        <v>533</v>
      </c>
      <c r="C167" s="62"/>
      <c r="D167" s="63"/>
      <c r="E167" s="62"/>
      <c r="F167" s="65"/>
      <c r="G167" s="62"/>
      <c r="H167" s="66"/>
      <c r="I167" s="67"/>
      <c r="J167" s="67"/>
      <c r="K167" s="31" t="s">
        <v>65</v>
      </c>
      <c r="L167" s="68">
        <v>251</v>
      </c>
      <c r="M167" s="68"/>
      <c r="N167" s="69"/>
      <c r="O167" s="76" t="s">
        <v>588</v>
      </c>
      <c r="P167" s="78">
        <v>44818.2644212963</v>
      </c>
      <c r="Q167" s="76" t="s">
        <v>694</v>
      </c>
      <c r="R167" s="76"/>
      <c r="S167" s="76"/>
      <c r="T167" s="81" t="s">
        <v>847</v>
      </c>
      <c r="U167" s="76"/>
      <c r="V167" s="79" t="str">
        <f>HYPERLINK("https://pbs.twimg.com/profile_images/1485107047813488640/cc0vZhhU_normal.jpg")</f>
        <v>https://pbs.twimg.com/profile_images/1485107047813488640/cc0vZhhU_normal.jpg</v>
      </c>
      <c r="W167" s="78">
        <v>44818.2644212963</v>
      </c>
      <c r="X167" s="84">
        <v>44818</v>
      </c>
      <c r="Y167" s="81" t="s">
        <v>1059</v>
      </c>
      <c r="Z167" s="79" t="str">
        <f>HYPERLINK("https://twitter.com/milospavic_/status/1569934159501737984")</f>
        <v>https://twitter.com/milospavic_/status/1569934159501737984</v>
      </c>
      <c r="AA167" s="76"/>
      <c r="AB167" s="76"/>
      <c r="AC167" s="81" t="s">
        <v>1390</v>
      </c>
      <c r="AD167" s="81" t="s">
        <v>1618</v>
      </c>
      <c r="AE167" s="76" t="b">
        <v>0</v>
      </c>
      <c r="AF167" s="76">
        <v>0</v>
      </c>
      <c r="AG167" s="81" t="s">
        <v>1702</v>
      </c>
      <c r="AH167" s="76" t="b">
        <v>0</v>
      </c>
      <c r="AI167" s="76" t="s">
        <v>1772</v>
      </c>
      <c r="AJ167" s="76"/>
      <c r="AK167" s="81" t="s">
        <v>1674</v>
      </c>
      <c r="AL167" s="76" t="b">
        <v>0</v>
      </c>
      <c r="AM167" s="76">
        <v>0</v>
      </c>
      <c r="AN167" s="81" t="s">
        <v>1674</v>
      </c>
      <c r="AO167" s="81" t="s">
        <v>1809</v>
      </c>
      <c r="AP167" s="76" t="b">
        <v>0</v>
      </c>
      <c r="AQ167" s="81" t="s">
        <v>1618</v>
      </c>
      <c r="AR167" s="76" t="s">
        <v>219</v>
      </c>
      <c r="AS167" s="76">
        <v>0</v>
      </c>
      <c r="AT167" s="76">
        <v>0</v>
      </c>
      <c r="AU167" s="76"/>
      <c r="AV167" s="76"/>
      <c r="AW167" s="76"/>
      <c r="AX167" s="76"/>
      <c r="AY167" s="76"/>
      <c r="AZ167" s="76"/>
      <c r="BA167" s="76"/>
      <c r="BB167" s="76"/>
      <c r="BC167">
        <v>1</v>
      </c>
      <c r="BD167" s="75" t="str">
        <f>REPLACE(INDEX(GroupVertices[Group],MATCH(Edges25[[#This Row],[Vertex 1]],GroupVertices[Vertex],0)),1,1,"")</f>
        <v>1</v>
      </c>
      <c r="BE167" s="75" t="str">
        <f>REPLACE(INDEX(GroupVertices[Group],MATCH(Edges25[[#This Row],[Vertex 2]],GroupVertices[Vertex],0)),1,1,"")</f>
        <v>1</v>
      </c>
      <c r="BF167" s="45">
        <v>0</v>
      </c>
      <c r="BG167" s="46">
        <v>0</v>
      </c>
      <c r="BH167" s="45">
        <v>0</v>
      </c>
      <c r="BI167" s="46">
        <v>0</v>
      </c>
      <c r="BJ167" s="45">
        <v>0</v>
      </c>
      <c r="BK167" s="46">
        <v>0</v>
      </c>
      <c r="BL167" s="45">
        <v>21</v>
      </c>
      <c r="BM167" s="46">
        <v>100</v>
      </c>
      <c r="BN167" s="45">
        <v>21</v>
      </c>
    </row>
    <row r="168" spans="1:66" ht="15">
      <c r="A168" s="61" t="s">
        <v>384</v>
      </c>
      <c r="B168" s="61" t="s">
        <v>384</v>
      </c>
      <c r="C168" s="62"/>
      <c r="D168" s="63"/>
      <c r="E168" s="62"/>
      <c r="F168" s="65"/>
      <c r="G168" s="62"/>
      <c r="H168" s="66"/>
      <c r="I168" s="67"/>
      <c r="J168" s="67"/>
      <c r="K168" s="31" t="s">
        <v>65</v>
      </c>
      <c r="L168" s="68">
        <v>253</v>
      </c>
      <c r="M168" s="68"/>
      <c r="N168" s="69"/>
      <c r="O168" s="76" t="s">
        <v>219</v>
      </c>
      <c r="P168" s="78">
        <v>44818.3393287037</v>
      </c>
      <c r="Q168" s="76" t="s">
        <v>695</v>
      </c>
      <c r="R168" s="76"/>
      <c r="S168" s="76"/>
      <c r="T168" s="81" t="s">
        <v>795</v>
      </c>
      <c r="U168" s="76"/>
      <c r="V168" s="79" t="str">
        <f>HYPERLINK("https://pbs.twimg.com/profile_images/1568213967159312384/fJAbJ1Md_normal.png")</f>
        <v>https://pbs.twimg.com/profile_images/1568213967159312384/fJAbJ1Md_normal.png</v>
      </c>
      <c r="W168" s="78">
        <v>44818.3393287037</v>
      </c>
      <c r="X168" s="84">
        <v>44818</v>
      </c>
      <c r="Y168" s="81" t="s">
        <v>1060</v>
      </c>
      <c r="Z168" s="79" t="str">
        <f>HYPERLINK("https://twitter.com/ukrainewartest/status/1569961305632546817")</f>
        <v>https://twitter.com/ukrainewartest/status/1569961305632546817</v>
      </c>
      <c r="AA168" s="76"/>
      <c r="AB168" s="76"/>
      <c r="AC168" s="81" t="s">
        <v>1391</v>
      </c>
      <c r="AD168" s="76"/>
      <c r="AE168" s="76" t="b">
        <v>0</v>
      </c>
      <c r="AF168" s="76">
        <v>0</v>
      </c>
      <c r="AG168" s="81" t="s">
        <v>1674</v>
      </c>
      <c r="AH168" s="76" t="b">
        <v>0</v>
      </c>
      <c r="AI168" s="76" t="s">
        <v>1772</v>
      </c>
      <c r="AJ168" s="76"/>
      <c r="AK168" s="81" t="s">
        <v>1674</v>
      </c>
      <c r="AL168" s="76" t="b">
        <v>0</v>
      </c>
      <c r="AM168" s="76">
        <v>0</v>
      </c>
      <c r="AN168" s="81" t="s">
        <v>1674</v>
      </c>
      <c r="AO168" s="81" t="s">
        <v>1808</v>
      </c>
      <c r="AP168" s="76" t="b">
        <v>0</v>
      </c>
      <c r="AQ168" s="81" t="s">
        <v>1391</v>
      </c>
      <c r="AR168" s="76" t="s">
        <v>219</v>
      </c>
      <c r="AS168" s="76">
        <v>0</v>
      </c>
      <c r="AT168" s="76">
        <v>0</v>
      </c>
      <c r="AU168" s="76"/>
      <c r="AV168" s="76"/>
      <c r="AW168" s="76"/>
      <c r="AX168" s="76"/>
      <c r="AY168" s="76"/>
      <c r="AZ168" s="76"/>
      <c r="BA168" s="76"/>
      <c r="BB168" s="76"/>
      <c r="BC168">
        <v>1</v>
      </c>
      <c r="BD168" s="75" t="str">
        <f>REPLACE(INDEX(GroupVertices[Group],MATCH(Edges25[[#This Row],[Vertex 1]],GroupVertices[Vertex],0)),1,1,"")</f>
        <v>2</v>
      </c>
      <c r="BE168" s="75" t="str">
        <f>REPLACE(INDEX(GroupVertices[Group],MATCH(Edges25[[#This Row],[Vertex 2]],GroupVertices[Vertex],0)),1,1,"")</f>
        <v>2</v>
      </c>
      <c r="BF168" s="45">
        <v>0</v>
      </c>
      <c r="BG168" s="46">
        <v>0</v>
      </c>
      <c r="BH168" s="45">
        <v>1</v>
      </c>
      <c r="BI168" s="46">
        <v>16.666666666666668</v>
      </c>
      <c r="BJ168" s="45">
        <v>0</v>
      </c>
      <c r="BK168" s="46">
        <v>0</v>
      </c>
      <c r="BL168" s="45">
        <v>5</v>
      </c>
      <c r="BM168" s="46">
        <v>83.33333333333333</v>
      </c>
      <c r="BN168" s="45">
        <v>6</v>
      </c>
    </row>
    <row r="169" spans="1:66" ht="15">
      <c r="A169" s="61" t="s">
        <v>385</v>
      </c>
      <c r="B169" s="61" t="s">
        <v>534</v>
      </c>
      <c r="C169" s="62"/>
      <c r="D169" s="63"/>
      <c r="E169" s="62"/>
      <c r="F169" s="65"/>
      <c r="G169" s="62"/>
      <c r="H169" s="66"/>
      <c r="I169" s="67"/>
      <c r="J169" s="67"/>
      <c r="K169" s="31" t="s">
        <v>65</v>
      </c>
      <c r="L169" s="68">
        <v>254</v>
      </c>
      <c r="M169" s="68"/>
      <c r="N169" s="69"/>
      <c r="O169" s="76" t="s">
        <v>587</v>
      </c>
      <c r="P169" s="78">
        <v>44816.77174768518</v>
      </c>
      <c r="Q169" s="76" t="s">
        <v>696</v>
      </c>
      <c r="R169" s="76"/>
      <c r="S169" s="76"/>
      <c r="T169" s="81" t="s">
        <v>795</v>
      </c>
      <c r="U169" s="76"/>
      <c r="V169" s="79" t="str">
        <f>HYPERLINK("https://pbs.twimg.com/profile_images/1187725201892696064/sP8FJ7CB_normal.jpg")</f>
        <v>https://pbs.twimg.com/profile_images/1187725201892696064/sP8FJ7CB_normal.jpg</v>
      </c>
      <c r="W169" s="78">
        <v>44816.77174768518</v>
      </c>
      <c r="X169" s="84">
        <v>44816</v>
      </c>
      <c r="Y169" s="81" t="s">
        <v>1061</v>
      </c>
      <c r="Z169" s="79" t="str">
        <f>HYPERLINK("https://twitter.com/arbontemps/status/1569393234069037060")</f>
        <v>https://twitter.com/arbontemps/status/1569393234069037060</v>
      </c>
      <c r="AA169" s="76"/>
      <c r="AB169" s="76"/>
      <c r="AC169" s="81" t="s">
        <v>1392</v>
      </c>
      <c r="AD169" s="81" t="s">
        <v>1619</v>
      </c>
      <c r="AE169" s="76" t="b">
        <v>0</v>
      </c>
      <c r="AF169" s="76">
        <v>0</v>
      </c>
      <c r="AG169" s="81" t="s">
        <v>1729</v>
      </c>
      <c r="AH169" s="76" t="b">
        <v>0</v>
      </c>
      <c r="AI169" s="76" t="s">
        <v>1772</v>
      </c>
      <c r="AJ169" s="76"/>
      <c r="AK169" s="81" t="s">
        <v>1674</v>
      </c>
      <c r="AL169" s="76" t="b">
        <v>0</v>
      </c>
      <c r="AM169" s="76">
        <v>0</v>
      </c>
      <c r="AN169" s="81" t="s">
        <v>1674</v>
      </c>
      <c r="AO169" s="81" t="s">
        <v>1808</v>
      </c>
      <c r="AP169" s="76" t="b">
        <v>0</v>
      </c>
      <c r="AQ169" s="81" t="s">
        <v>1619</v>
      </c>
      <c r="AR169" s="76" t="s">
        <v>219</v>
      </c>
      <c r="AS169" s="76">
        <v>0</v>
      </c>
      <c r="AT169" s="76">
        <v>0</v>
      </c>
      <c r="AU169" s="76"/>
      <c r="AV169" s="76"/>
      <c r="AW169" s="76"/>
      <c r="AX169" s="76"/>
      <c r="AY169" s="76"/>
      <c r="AZ169" s="76"/>
      <c r="BA169" s="76"/>
      <c r="BB169" s="76"/>
      <c r="BC169">
        <v>1</v>
      </c>
      <c r="BD169" s="75" t="str">
        <f>REPLACE(INDEX(GroupVertices[Group],MATCH(Edges25[[#This Row],[Vertex 1]],GroupVertices[Vertex],0)),1,1,"")</f>
        <v>24</v>
      </c>
      <c r="BE169" s="75" t="str">
        <f>REPLACE(INDEX(GroupVertices[Group],MATCH(Edges25[[#This Row],[Vertex 2]],GroupVertices[Vertex],0)),1,1,"")</f>
        <v>24</v>
      </c>
      <c r="BF169" s="45">
        <v>1</v>
      </c>
      <c r="BG169" s="46">
        <v>6.25</v>
      </c>
      <c r="BH169" s="45">
        <v>1</v>
      </c>
      <c r="BI169" s="46">
        <v>6.25</v>
      </c>
      <c r="BJ169" s="45">
        <v>0</v>
      </c>
      <c r="BK169" s="46">
        <v>0</v>
      </c>
      <c r="BL169" s="45">
        <v>14</v>
      </c>
      <c r="BM169" s="46">
        <v>87.5</v>
      </c>
      <c r="BN169" s="45">
        <v>16</v>
      </c>
    </row>
    <row r="170" spans="1:66" ht="15">
      <c r="A170" s="61" t="s">
        <v>385</v>
      </c>
      <c r="B170" s="61" t="s">
        <v>535</v>
      </c>
      <c r="C170" s="62"/>
      <c r="D170" s="63"/>
      <c r="E170" s="62"/>
      <c r="F170" s="65"/>
      <c r="G170" s="62"/>
      <c r="H170" s="66"/>
      <c r="I170" s="67"/>
      <c r="J170" s="67"/>
      <c r="K170" s="31" t="s">
        <v>65</v>
      </c>
      <c r="L170" s="68">
        <v>255</v>
      </c>
      <c r="M170" s="68"/>
      <c r="N170" s="69"/>
      <c r="O170" s="76" t="s">
        <v>587</v>
      </c>
      <c r="P170" s="78">
        <v>44817.28251157407</v>
      </c>
      <c r="Q170" s="76" t="s">
        <v>697</v>
      </c>
      <c r="R170" s="76"/>
      <c r="S170" s="76"/>
      <c r="T170" s="81" t="s">
        <v>795</v>
      </c>
      <c r="U170" s="76"/>
      <c r="V170" s="79" t="str">
        <f>HYPERLINK("https://pbs.twimg.com/profile_images/1187725201892696064/sP8FJ7CB_normal.jpg")</f>
        <v>https://pbs.twimg.com/profile_images/1187725201892696064/sP8FJ7CB_normal.jpg</v>
      </c>
      <c r="W170" s="78">
        <v>44817.28251157407</v>
      </c>
      <c r="X170" s="84">
        <v>44817</v>
      </c>
      <c r="Y170" s="81" t="s">
        <v>1062</v>
      </c>
      <c r="Z170" s="79" t="str">
        <f>HYPERLINK("https://twitter.com/arbontemps/status/1569578329849610242")</f>
        <v>https://twitter.com/arbontemps/status/1569578329849610242</v>
      </c>
      <c r="AA170" s="76"/>
      <c r="AB170" s="76"/>
      <c r="AC170" s="81" t="s">
        <v>1393</v>
      </c>
      <c r="AD170" s="81" t="s">
        <v>1620</v>
      </c>
      <c r="AE170" s="76" t="b">
        <v>0</v>
      </c>
      <c r="AF170" s="76">
        <v>1</v>
      </c>
      <c r="AG170" s="81" t="s">
        <v>1730</v>
      </c>
      <c r="AH170" s="76" t="b">
        <v>0</v>
      </c>
      <c r="AI170" s="76" t="s">
        <v>1773</v>
      </c>
      <c r="AJ170" s="76"/>
      <c r="AK170" s="81" t="s">
        <v>1674</v>
      </c>
      <c r="AL170" s="76" t="b">
        <v>0</v>
      </c>
      <c r="AM170" s="76">
        <v>0</v>
      </c>
      <c r="AN170" s="81" t="s">
        <v>1674</v>
      </c>
      <c r="AO170" s="81" t="s">
        <v>1808</v>
      </c>
      <c r="AP170" s="76" t="b">
        <v>0</v>
      </c>
      <c r="AQ170" s="81" t="s">
        <v>1620</v>
      </c>
      <c r="AR170" s="76" t="s">
        <v>219</v>
      </c>
      <c r="AS170" s="76">
        <v>0</v>
      </c>
      <c r="AT170" s="76">
        <v>0</v>
      </c>
      <c r="AU170" s="76"/>
      <c r="AV170" s="76"/>
      <c r="AW170" s="76"/>
      <c r="AX170" s="76"/>
      <c r="AY170" s="76"/>
      <c r="AZ170" s="76"/>
      <c r="BA170" s="76"/>
      <c r="BB170" s="76"/>
      <c r="BC170">
        <v>1</v>
      </c>
      <c r="BD170" s="75" t="str">
        <f>REPLACE(INDEX(GroupVertices[Group],MATCH(Edges25[[#This Row],[Vertex 1]],GroupVertices[Vertex],0)),1,1,"")</f>
        <v>24</v>
      </c>
      <c r="BE170" s="75" t="str">
        <f>REPLACE(INDEX(GroupVertices[Group],MATCH(Edges25[[#This Row],[Vertex 2]],GroupVertices[Vertex],0)),1,1,"")</f>
        <v>24</v>
      </c>
      <c r="BF170" s="45">
        <v>0</v>
      </c>
      <c r="BG170" s="46">
        <v>0</v>
      </c>
      <c r="BH170" s="45">
        <v>0</v>
      </c>
      <c r="BI170" s="46">
        <v>0</v>
      </c>
      <c r="BJ170" s="45">
        <v>0</v>
      </c>
      <c r="BK170" s="46">
        <v>0</v>
      </c>
      <c r="BL170" s="45">
        <v>2</v>
      </c>
      <c r="BM170" s="46">
        <v>100</v>
      </c>
      <c r="BN170" s="45">
        <v>2</v>
      </c>
    </row>
    <row r="171" spans="1:66" ht="15">
      <c r="A171" s="61" t="s">
        <v>385</v>
      </c>
      <c r="B171" s="61" t="s">
        <v>385</v>
      </c>
      <c r="C171" s="62"/>
      <c r="D171" s="63"/>
      <c r="E171" s="62"/>
      <c r="F171" s="65"/>
      <c r="G171" s="62"/>
      <c r="H171" s="66"/>
      <c r="I171" s="67"/>
      <c r="J171" s="67"/>
      <c r="K171" s="31" t="s">
        <v>65</v>
      </c>
      <c r="L171" s="68">
        <v>256</v>
      </c>
      <c r="M171" s="68"/>
      <c r="N171" s="69"/>
      <c r="O171" s="76" t="s">
        <v>219</v>
      </c>
      <c r="P171" s="78">
        <v>44818.4528125</v>
      </c>
      <c r="Q171" s="76" t="s">
        <v>698</v>
      </c>
      <c r="R171" s="79" t="str">
        <f>HYPERLINK("https://twitter.com/LoetitiaH/status/1569980083820969986")</f>
        <v>https://twitter.com/LoetitiaH/status/1569980083820969986</v>
      </c>
      <c r="S171" s="76" t="s">
        <v>783</v>
      </c>
      <c r="T171" s="81" t="s">
        <v>795</v>
      </c>
      <c r="U171" s="79" t="str">
        <f>HYPERLINK("https://pbs.twimg.com/media/FcnE3qtWIAAY8dP.jpg")</f>
        <v>https://pbs.twimg.com/media/FcnE3qtWIAAY8dP.jpg</v>
      </c>
      <c r="V171" s="79" t="str">
        <f>HYPERLINK("https://pbs.twimg.com/media/FcnE3qtWIAAY8dP.jpg")</f>
        <v>https://pbs.twimg.com/media/FcnE3qtWIAAY8dP.jpg</v>
      </c>
      <c r="W171" s="78">
        <v>44818.4528125</v>
      </c>
      <c r="X171" s="84">
        <v>44818</v>
      </c>
      <c r="Y171" s="81" t="s">
        <v>1063</v>
      </c>
      <c r="Z171" s="79" t="str">
        <f>HYPERLINK("https://twitter.com/arbontemps/status/1570002430586228737")</f>
        <v>https://twitter.com/arbontemps/status/1570002430586228737</v>
      </c>
      <c r="AA171" s="76"/>
      <c r="AB171" s="76"/>
      <c r="AC171" s="81" t="s">
        <v>1394</v>
      </c>
      <c r="AD171" s="76"/>
      <c r="AE171" s="76" t="b">
        <v>0</v>
      </c>
      <c r="AF171" s="76">
        <v>10</v>
      </c>
      <c r="AG171" s="81" t="s">
        <v>1674</v>
      </c>
      <c r="AH171" s="76" t="b">
        <v>1</v>
      </c>
      <c r="AI171" s="76" t="s">
        <v>1770</v>
      </c>
      <c r="AJ171" s="76"/>
      <c r="AK171" s="81" t="s">
        <v>1801</v>
      </c>
      <c r="AL171" s="76" t="b">
        <v>0</v>
      </c>
      <c r="AM171" s="76">
        <v>2</v>
      </c>
      <c r="AN171" s="81" t="s">
        <v>1674</v>
      </c>
      <c r="AO171" s="81" t="s">
        <v>1808</v>
      </c>
      <c r="AP171" s="76" t="b">
        <v>0</v>
      </c>
      <c r="AQ171" s="81" t="s">
        <v>1394</v>
      </c>
      <c r="AR171" s="76" t="s">
        <v>219</v>
      </c>
      <c r="AS171" s="76">
        <v>0</v>
      </c>
      <c r="AT171" s="76">
        <v>0</v>
      </c>
      <c r="AU171" s="76"/>
      <c r="AV171" s="76"/>
      <c r="AW171" s="76"/>
      <c r="AX171" s="76"/>
      <c r="AY171" s="76"/>
      <c r="AZ171" s="76"/>
      <c r="BA171" s="76"/>
      <c r="BB171" s="76"/>
      <c r="BC171">
        <v>1</v>
      </c>
      <c r="BD171" s="75" t="str">
        <f>REPLACE(INDEX(GroupVertices[Group],MATCH(Edges25[[#This Row],[Vertex 1]],GroupVertices[Vertex],0)),1,1,"")</f>
        <v>24</v>
      </c>
      <c r="BE171" s="75" t="str">
        <f>REPLACE(INDEX(GroupVertices[Group],MATCH(Edges25[[#This Row],[Vertex 2]],GroupVertices[Vertex],0)),1,1,"")</f>
        <v>24</v>
      </c>
      <c r="BF171" s="45">
        <v>0</v>
      </c>
      <c r="BG171" s="46">
        <v>0</v>
      </c>
      <c r="BH171" s="45">
        <v>0</v>
      </c>
      <c r="BI171" s="46">
        <v>0</v>
      </c>
      <c r="BJ171" s="45">
        <v>0</v>
      </c>
      <c r="BK171" s="46">
        <v>0</v>
      </c>
      <c r="BL171" s="45">
        <v>36</v>
      </c>
      <c r="BM171" s="46">
        <v>100</v>
      </c>
      <c r="BN171" s="45">
        <v>36</v>
      </c>
    </row>
    <row r="172" spans="1:66" ht="15">
      <c r="A172" s="61" t="s">
        <v>386</v>
      </c>
      <c r="B172" s="61" t="s">
        <v>385</v>
      </c>
      <c r="C172" s="62"/>
      <c r="D172" s="63"/>
      <c r="E172" s="62"/>
      <c r="F172" s="65"/>
      <c r="G172" s="62"/>
      <c r="H172" s="66"/>
      <c r="I172" s="67"/>
      <c r="J172" s="67"/>
      <c r="K172" s="31" t="s">
        <v>65</v>
      </c>
      <c r="L172" s="68">
        <v>257</v>
      </c>
      <c r="M172" s="68"/>
      <c r="N172" s="69"/>
      <c r="O172" s="76" t="s">
        <v>586</v>
      </c>
      <c r="P172" s="78">
        <v>44818.45427083333</v>
      </c>
      <c r="Q172" s="76" t="s">
        <v>698</v>
      </c>
      <c r="R172" s="79" t="str">
        <f>HYPERLINK("https://twitter.com/LoetitiaH/status/1569980083820969986")</f>
        <v>https://twitter.com/LoetitiaH/status/1569980083820969986</v>
      </c>
      <c r="S172" s="76" t="s">
        <v>783</v>
      </c>
      <c r="T172" s="81" t="s">
        <v>795</v>
      </c>
      <c r="U172" s="79" t="str">
        <f>HYPERLINK("https://pbs.twimg.com/media/FcnE3qtWIAAY8dP.jpg")</f>
        <v>https://pbs.twimg.com/media/FcnE3qtWIAAY8dP.jpg</v>
      </c>
      <c r="V172" s="79" t="str">
        <f>HYPERLINK("https://pbs.twimg.com/media/FcnE3qtWIAAY8dP.jpg")</f>
        <v>https://pbs.twimg.com/media/FcnE3qtWIAAY8dP.jpg</v>
      </c>
      <c r="W172" s="78">
        <v>44818.45427083333</v>
      </c>
      <c r="X172" s="84">
        <v>44818</v>
      </c>
      <c r="Y172" s="81" t="s">
        <v>1064</v>
      </c>
      <c r="Z172" s="79" t="str">
        <f>HYPERLINK("https://twitter.com/loetitiah/status/1570002960121475072")</f>
        <v>https://twitter.com/loetitiah/status/1570002960121475072</v>
      </c>
      <c r="AA172" s="76"/>
      <c r="AB172" s="76"/>
      <c r="AC172" s="81" t="s">
        <v>1395</v>
      </c>
      <c r="AD172" s="76"/>
      <c r="AE172" s="76" t="b">
        <v>0</v>
      </c>
      <c r="AF172" s="76">
        <v>0</v>
      </c>
      <c r="AG172" s="81" t="s">
        <v>1674</v>
      </c>
      <c r="AH172" s="76" t="b">
        <v>1</v>
      </c>
      <c r="AI172" s="76" t="s">
        <v>1770</v>
      </c>
      <c r="AJ172" s="76"/>
      <c r="AK172" s="81" t="s">
        <v>1801</v>
      </c>
      <c r="AL172" s="76" t="b">
        <v>0</v>
      </c>
      <c r="AM172" s="76">
        <v>2</v>
      </c>
      <c r="AN172" s="81" t="s">
        <v>1394</v>
      </c>
      <c r="AO172" s="81" t="s">
        <v>1807</v>
      </c>
      <c r="AP172" s="76" t="b">
        <v>0</v>
      </c>
      <c r="AQ172" s="81" t="s">
        <v>1394</v>
      </c>
      <c r="AR172" s="76" t="s">
        <v>219</v>
      </c>
      <c r="AS172" s="76">
        <v>0</v>
      </c>
      <c r="AT172" s="76">
        <v>0</v>
      </c>
      <c r="AU172" s="76"/>
      <c r="AV172" s="76"/>
      <c r="AW172" s="76"/>
      <c r="AX172" s="76"/>
      <c r="AY172" s="76"/>
      <c r="AZ172" s="76"/>
      <c r="BA172" s="76"/>
      <c r="BB172" s="76"/>
      <c r="BC172">
        <v>1</v>
      </c>
      <c r="BD172" s="75" t="str">
        <f>REPLACE(INDEX(GroupVertices[Group],MATCH(Edges25[[#This Row],[Vertex 1]],GroupVertices[Vertex],0)),1,1,"")</f>
        <v>24</v>
      </c>
      <c r="BE172" s="75" t="str">
        <f>REPLACE(INDEX(GroupVertices[Group],MATCH(Edges25[[#This Row],[Vertex 2]],GroupVertices[Vertex],0)),1,1,"")</f>
        <v>24</v>
      </c>
      <c r="BF172" s="45">
        <v>0</v>
      </c>
      <c r="BG172" s="46">
        <v>0</v>
      </c>
      <c r="BH172" s="45">
        <v>0</v>
      </c>
      <c r="BI172" s="46">
        <v>0</v>
      </c>
      <c r="BJ172" s="45">
        <v>0</v>
      </c>
      <c r="BK172" s="46">
        <v>0</v>
      </c>
      <c r="BL172" s="45">
        <v>36</v>
      </c>
      <c r="BM172" s="46">
        <v>100</v>
      </c>
      <c r="BN172" s="45">
        <v>36</v>
      </c>
    </row>
    <row r="173" spans="1:66" ht="15">
      <c r="A173" s="61" t="s">
        <v>387</v>
      </c>
      <c r="B173" s="61" t="s">
        <v>387</v>
      </c>
      <c r="C173" s="62"/>
      <c r="D173" s="63"/>
      <c r="E173" s="62"/>
      <c r="F173" s="65"/>
      <c r="G173" s="62"/>
      <c r="H173" s="66"/>
      <c r="I173" s="67"/>
      <c r="J173" s="67"/>
      <c r="K173" s="31" t="s">
        <v>65</v>
      </c>
      <c r="L173" s="68">
        <v>258</v>
      </c>
      <c r="M173" s="68"/>
      <c r="N173" s="69"/>
      <c r="O173" s="76" t="s">
        <v>219</v>
      </c>
      <c r="P173" s="78">
        <v>44818.49748842593</v>
      </c>
      <c r="Q173" s="76" t="s">
        <v>699</v>
      </c>
      <c r="R173" s="79" t="str">
        <f>HYPERLINK("https://twitter.com/chicohalS/status/1570009415805190147")</f>
        <v>https://twitter.com/chicohalS/status/1570009415805190147</v>
      </c>
      <c r="S173" s="76" t="s">
        <v>783</v>
      </c>
      <c r="T173" s="81" t="s">
        <v>848</v>
      </c>
      <c r="U173" s="76"/>
      <c r="V173" s="79" t="str">
        <f>HYPERLINK("https://pbs.twimg.com/profile_images/861134597458886656/WpOQV9KZ_normal.jpg")</f>
        <v>https://pbs.twimg.com/profile_images/861134597458886656/WpOQV9KZ_normal.jpg</v>
      </c>
      <c r="W173" s="78">
        <v>44818.49748842593</v>
      </c>
      <c r="X173" s="84">
        <v>44818</v>
      </c>
      <c r="Y173" s="81" t="s">
        <v>1065</v>
      </c>
      <c r="Z173" s="79" t="str">
        <f>HYPERLINK("https://twitter.com/finding_isobel/status/1570018621123952641")</f>
        <v>https://twitter.com/finding_isobel/status/1570018621123952641</v>
      </c>
      <c r="AA173" s="76"/>
      <c r="AB173" s="76"/>
      <c r="AC173" s="81" t="s">
        <v>1396</v>
      </c>
      <c r="AD173" s="76"/>
      <c r="AE173" s="76" t="b">
        <v>0</v>
      </c>
      <c r="AF173" s="76">
        <v>0</v>
      </c>
      <c r="AG173" s="81" t="s">
        <v>1674</v>
      </c>
      <c r="AH173" s="76" t="b">
        <v>1</v>
      </c>
      <c r="AI173" s="76" t="s">
        <v>1779</v>
      </c>
      <c r="AJ173" s="76"/>
      <c r="AK173" s="81" t="s">
        <v>1802</v>
      </c>
      <c r="AL173" s="76" t="b">
        <v>0</v>
      </c>
      <c r="AM173" s="76">
        <v>1</v>
      </c>
      <c r="AN173" s="81" t="s">
        <v>1674</v>
      </c>
      <c r="AO173" s="81" t="s">
        <v>1807</v>
      </c>
      <c r="AP173" s="76" t="b">
        <v>0</v>
      </c>
      <c r="AQ173" s="81" t="s">
        <v>1396</v>
      </c>
      <c r="AR173" s="76" t="s">
        <v>219</v>
      </c>
      <c r="AS173" s="76">
        <v>0</v>
      </c>
      <c r="AT173" s="76">
        <v>0</v>
      </c>
      <c r="AU173" s="76"/>
      <c r="AV173" s="76"/>
      <c r="AW173" s="76"/>
      <c r="AX173" s="76"/>
      <c r="AY173" s="76"/>
      <c r="AZ173" s="76"/>
      <c r="BA173" s="76"/>
      <c r="BB173" s="76"/>
      <c r="BC173">
        <v>1</v>
      </c>
      <c r="BD173" s="75" t="str">
        <f>REPLACE(INDEX(GroupVertices[Group],MATCH(Edges25[[#This Row],[Vertex 1]],GroupVertices[Vertex],0)),1,1,"")</f>
        <v>43</v>
      </c>
      <c r="BE173" s="75" t="str">
        <f>REPLACE(INDEX(GroupVertices[Group],MATCH(Edges25[[#This Row],[Vertex 2]],GroupVertices[Vertex],0)),1,1,"")</f>
        <v>43</v>
      </c>
      <c r="BF173" s="45">
        <v>0</v>
      </c>
      <c r="BG173" s="46">
        <v>0</v>
      </c>
      <c r="BH173" s="45">
        <v>0</v>
      </c>
      <c r="BI173" s="46">
        <v>0</v>
      </c>
      <c r="BJ173" s="45">
        <v>0</v>
      </c>
      <c r="BK173" s="46">
        <v>0</v>
      </c>
      <c r="BL173" s="45">
        <v>18</v>
      </c>
      <c r="BM173" s="46">
        <v>100</v>
      </c>
      <c r="BN173" s="45">
        <v>18</v>
      </c>
    </row>
    <row r="174" spans="1:66" ht="15">
      <c r="A174" s="61" t="s">
        <v>388</v>
      </c>
      <c r="B174" s="61" t="s">
        <v>387</v>
      </c>
      <c r="C174" s="62"/>
      <c r="D174" s="63"/>
      <c r="E174" s="62"/>
      <c r="F174" s="65"/>
      <c r="G174" s="62"/>
      <c r="H174" s="66"/>
      <c r="I174" s="67"/>
      <c r="J174" s="67"/>
      <c r="K174" s="31" t="s">
        <v>65</v>
      </c>
      <c r="L174" s="68">
        <v>259</v>
      </c>
      <c r="M174" s="68"/>
      <c r="N174" s="69"/>
      <c r="O174" s="76" t="s">
        <v>586</v>
      </c>
      <c r="P174" s="78">
        <v>44818.50125</v>
      </c>
      <c r="Q174" s="76" t="s">
        <v>699</v>
      </c>
      <c r="R174" s="79" t="str">
        <f>HYPERLINK("https://twitter.com/chicohalS/status/1570009415805190147")</f>
        <v>https://twitter.com/chicohalS/status/1570009415805190147</v>
      </c>
      <c r="S174" s="76" t="s">
        <v>783</v>
      </c>
      <c r="T174" s="81" t="s">
        <v>848</v>
      </c>
      <c r="U174" s="76"/>
      <c r="V174" s="79" t="str">
        <f>HYPERLINK("https://pbs.twimg.com/profile_images/1557478196492337155/f09Paboh_normal.jpg")</f>
        <v>https://pbs.twimg.com/profile_images/1557478196492337155/f09Paboh_normal.jpg</v>
      </c>
      <c r="W174" s="78">
        <v>44818.50125</v>
      </c>
      <c r="X174" s="84">
        <v>44818</v>
      </c>
      <c r="Y174" s="81" t="s">
        <v>1066</v>
      </c>
      <c r="Z174" s="79" t="str">
        <f>HYPERLINK("https://twitter.com/wimwientjes/status/1570019985153474562")</f>
        <v>https://twitter.com/wimwientjes/status/1570019985153474562</v>
      </c>
      <c r="AA174" s="76"/>
      <c r="AB174" s="76"/>
      <c r="AC174" s="81" t="s">
        <v>1397</v>
      </c>
      <c r="AD174" s="76"/>
      <c r="AE174" s="76" t="b">
        <v>0</v>
      </c>
      <c r="AF174" s="76">
        <v>0</v>
      </c>
      <c r="AG174" s="81" t="s">
        <v>1674</v>
      </c>
      <c r="AH174" s="76" t="b">
        <v>1</v>
      </c>
      <c r="AI174" s="76" t="s">
        <v>1779</v>
      </c>
      <c r="AJ174" s="76"/>
      <c r="AK174" s="81" t="s">
        <v>1802</v>
      </c>
      <c r="AL174" s="76" t="b">
        <v>0</v>
      </c>
      <c r="AM174" s="76">
        <v>1</v>
      </c>
      <c r="AN174" s="81" t="s">
        <v>1396</v>
      </c>
      <c r="AO174" s="81" t="s">
        <v>1807</v>
      </c>
      <c r="AP174" s="76" t="b">
        <v>0</v>
      </c>
      <c r="AQ174" s="81" t="s">
        <v>1396</v>
      </c>
      <c r="AR174" s="76" t="s">
        <v>219</v>
      </c>
      <c r="AS174" s="76">
        <v>0</v>
      </c>
      <c r="AT174" s="76">
        <v>0</v>
      </c>
      <c r="AU174" s="76"/>
      <c r="AV174" s="76"/>
      <c r="AW174" s="76"/>
      <c r="AX174" s="76"/>
      <c r="AY174" s="76"/>
      <c r="AZ174" s="76"/>
      <c r="BA174" s="76"/>
      <c r="BB174" s="76"/>
      <c r="BC174">
        <v>1</v>
      </c>
      <c r="BD174" s="75" t="str">
        <f>REPLACE(INDEX(GroupVertices[Group],MATCH(Edges25[[#This Row],[Vertex 1]],GroupVertices[Vertex],0)),1,1,"")</f>
        <v>43</v>
      </c>
      <c r="BE174" s="75" t="str">
        <f>REPLACE(INDEX(GroupVertices[Group],MATCH(Edges25[[#This Row],[Vertex 2]],GroupVertices[Vertex],0)),1,1,"")</f>
        <v>43</v>
      </c>
      <c r="BF174" s="45">
        <v>0</v>
      </c>
      <c r="BG174" s="46">
        <v>0</v>
      </c>
      <c r="BH174" s="45">
        <v>0</v>
      </c>
      <c r="BI174" s="46">
        <v>0</v>
      </c>
      <c r="BJ174" s="45">
        <v>0</v>
      </c>
      <c r="BK174" s="46">
        <v>0</v>
      </c>
      <c r="BL174" s="45">
        <v>18</v>
      </c>
      <c r="BM174" s="46">
        <v>100</v>
      </c>
      <c r="BN174" s="45">
        <v>18</v>
      </c>
    </row>
    <row r="175" spans="1:66" ht="15">
      <c r="A175" s="61" t="s">
        <v>389</v>
      </c>
      <c r="B175" s="61" t="s">
        <v>428</v>
      </c>
      <c r="C175" s="62"/>
      <c r="D175" s="63"/>
      <c r="E175" s="62"/>
      <c r="F175" s="65"/>
      <c r="G175" s="62"/>
      <c r="H175" s="66"/>
      <c r="I175" s="67"/>
      <c r="J175" s="67"/>
      <c r="K175" s="31" t="s">
        <v>65</v>
      </c>
      <c r="L175" s="68">
        <v>260</v>
      </c>
      <c r="M175" s="68"/>
      <c r="N175" s="69"/>
      <c r="O175" s="76" t="s">
        <v>586</v>
      </c>
      <c r="P175" s="78">
        <v>44818.54268518519</v>
      </c>
      <c r="Q175" s="76" t="s">
        <v>700</v>
      </c>
      <c r="R175" s="76"/>
      <c r="S175" s="76"/>
      <c r="T175" s="81" t="s">
        <v>849</v>
      </c>
      <c r="U175" s="79" t="str">
        <f>HYPERLINK("https://pbs.twimg.com/ext_tw_video_thumb/1569990463913852929/pu/img/jtvBzzGtZsaI9lVF.jpg")</f>
        <v>https://pbs.twimg.com/ext_tw_video_thumb/1569990463913852929/pu/img/jtvBzzGtZsaI9lVF.jpg</v>
      </c>
      <c r="V175" s="79" t="str">
        <f>HYPERLINK("https://pbs.twimg.com/ext_tw_video_thumb/1569990463913852929/pu/img/jtvBzzGtZsaI9lVF.jpg")</f>
        <v>https://pbs.twimg.com/ext_tw_video_thumb/1569990463913852929/pu/img/jtvBzzGtZsaI9lVF.jpg</v>
      </c>
      <c r="W175" s="78">
        <v>44818.54268518519</v>
      </c>
      <c r="X175" s="84">
        <v>44818</v>
      </c>
      <c r="Y175" s="81" t="s">
        <v>1067</v>
      </c>
      <c r="Z175" s="79" t="str">
        <f>HYPERLINK("https://twitter.com/witch_d0ct0r_/status/1570035001533825024")</f>
        <v>https://twitter.com/witch_d0ct0r_/status/1570035001533825024</v>
      </c>
      <c r="AA175" s="76"/>
      <c r="AB175" s="76"/>
      <c r="AC175" s="81" t="s">
        <v>1398</v>
      </c>
      <c r="AD175" s="76"/>
      <c r="AE175" s="76" t="b">
        <v>0</v>
      </c>
      <c r="AF175" s="76">
        <v>0</v>
      </c>
      <c r="AG175" s="81" t="s">
        <v>1674</v>
      </c>
      <c r="AH175" s="76" t="b">
        <v>0</v>
      </c>
      <c r="AI175" s="76" t="s">
        <v>1772</v>
      </c>
      <c r="AJ175" s="76"/>
      <c r="AK175" s="81" t="s">
        <v>1674</v>
      </c>
      <c r="AL175" s="76" t="b">
        <v>0</v>
      </c>
      <c r="AM175" s="76">
        <v>1</v>
      </c>
      <c r="AN175" s="81" t="s">
        <v>1563</v>
      </c>
      <c r="AO175" s="81" t="s">
        <v>1809</v>
      </c>
      <c r="AP175" s="76" t="b">
        <v>0</v>
      </c>
      <c r="AQ175" s="81" t="s">
        <v>1563</v>
      </c>
      <c r="AR175" s="76" t="s">
        <v>219</v>
      </c>
      <c r="AS175" s="76">
        <v>0</v>
      </c>
      <c r="AT175" s="76">
        <v>0</v>
      </c>
      <c r="AU175" s="76"/>
      <c r="AV175" s="76"/>
      <c r="AW175" s="76"/>
      <c r="AX175" s="76"/>
      <c r="AY175" s="76"/>
      <c r="AZ175" s="76"/>
      <c r="BA175" s="76"/>
      <c r="BB175" s="76"/>
      <c r="BC175">
        <v>1</v>
      </c>
      <c r="BD175" s="75" t="str">
        <f>REPLACE(INDEX(GroupVertices[Group],MATCH(Edges25[[#This Row],[Vertex 1]],GroupVertices[Vertex],0)),1,1,"")</f>
        <v>1</v>
      </c>
      <c r="BE175" s="75" t="str">
        <f>REPLACE(INDEX(GroupVertices[Group],MATCH(Edges25[[#This Row],[Vertex 2]],GroupVertices[Vertex],0)),1,1,"")</f>
        <v>1</v>
      </c>
      <c r="BF175" s="45">
        <v>0</v>
      </c>
      <c r="BG175" s="46">
        <v>0</v>
      </c>
      <c r="BH175" s="45">
        <v>0</v>
      </c>
      <c r="BI175" s="46">
        <v>0</v>
      </c>
      <c r="BJ175" s="45">
        <v>0</v>
      </c>
      <c r="BK175" s="46">
        <v>0</v>
      </c>
      <c r="BL175" s="45">
        <v>18</v>
      </c>
      <c r="BM175" s="46">
        <v>100</v>
      </c>
      <c r="BN175" s="45">
        <v>18</v>
      </c>
    </row>
    <row r="176" spans="1:66" ht="15">
      <c r="A176" s="61" t="s">
        <v>390</v>
      </c>
      <c r="B176" s="61" t="s">
        <v>536</v>
      </c>
      <c r="C176" s="62"/>
      <c r="D176" s="63"/>
      <c r="E176" s="62"/>
      <c r="F176" s="65"/>
      <c r="G176" s="62"/>
      <c r="H176" s="66"/>
      <c r="I176" s="67"/>
      <c r="J176" s="67"/>
      <c r="K176" s="31" t="s">
        <v>65</v>
      </c>
      <c r="L176" s="68">
        <v>261</v>
      </c>
      <c r="M176" s="68"/>
      <c r="N176" s="69"/>
      <c r="O176" s="76" t="s">
        <v>587</v>
      </c>
      <c r="P176" s="78">
        <v>44818.62299768518</v>
      </c>
      <c r="Q176" s="76" t="s">
        <v>701</v>
      </c>
      <c r="R176" s="76"/>
      <c r="S176" s="76"/>
      <c r="T176" s="81" t="s">
        <v>795</v>
      </c>
      <c r="U176" s="76"/>
      <c r="V176" s="79" t="str">
        <f>HYPERLINK("https://pbs.twimg.com/profile_images/1570054599981031427/WIkI4FNT_normal.jpg")</f>
        <v>https://pbs.twimg.com/profile_images/1570054599981031427/WIkI4FNT_normal.jpg</v>
      </c>
      <c r="W176" s="78">
        <v>44818.62299768518</v>
      </c>
      <c r="X176" s="84">
        <v>44818</v>
      </c>
      <c r="Y176" s="81" t="s">
        <v>1068</v>
      </c>
      <c r="Z176" s="79" t="str">
        <f>HYPERLINK("https://twitter.com/lux_edwards/status/1570064105083441153")</f>
        <v>https://twitter.com/lux_edwards/status/1570064105083441153</v>
      </c>
      <c r="AA176" s="76"/>
      <c r="AB176" s="76"/>
      <c r="AC176" s="81" t="s">
        <v>1399</v>
      </c>
      <c r="AD176" s="81" t="s">
        <v>1621</v>
      </c>
      <c r="AE176" s="76" t="b">
        <v>0</v>
      </c>
      <c r="AF176" s="76">
        <v>0</v>
      </c>
      <c r="AG176" s="81" t="s">
        <v>1731</v>
      </c>
      <c r="AH176" s="76" t="b">
        <v>0</v>
      </c>
      <c r="AI176" s="76" t="s">
        <v>1773</v>
      </c>
      <c r="AJ176" s="76"/>
      <c r="AK176" s="81" t="s">
        <v>1674</v>
      </c>
      <c r="AL176" s="76" t="b">
        <v>0</v>
      </c>
      <c r="AM176" s="76">
        <v>0</v>
      </c>
      <c r="AN176" s="81" t="s">
        <v>1674</v>
      </c>
      <c r="AO176" s="81" t="s">
        <v>1807</v>
      </c>
      <c r="AP176" s="76" t="b">
        <v>0</v>
      </c>
      <c r="AQ176" s="81" t="s">
        <v>1621</v>
      </c>
      <c r="AR176" s="76" t="s">
        <v>219</v>
      </c>
      <c r="AS176" s="76">
        <v>0</v>
      </c>
      <c r="AT176" s="76">
        <v>0</v>
      </c>
      <c r="AU176" s="76"/>
      <c r="AV176" s="76"/>
      <c r="AW176" s="76"/>
      <c r="AX176" s="76"/>
      <c r="AY176" s="76"/>
      <c r="AZ176" s="76"/>
      <c r="BA176" s="76"/>
      <c r="BB176" s="76"/>
      <c r="BC176">
        <v>1</v>
      </c>
      <c r="BD176" s="75" t="str">
        <f>REPLACE(INDEX(GroupVertices[Group],MATCH(Edges25[[#This Row],[Vertex 1]],GroupVertices[Vertex],0)),1,1,"")</f>
        <v>42</v>
      </c>
      <c r="BE176" s="75" t="str">
        <f>REPLACE(INDEX(GroupVertices[Group],MATCH(Edges25[[#This Row],[Vertex 2]],GroupVertices[Vertex],0)),1,1,"")</f>
        <v>42</v>
      </c>
      <c r="BF176" s="45">
        <v>0</v>
      </c>
      <c r="BG176" s="46">
        <v>0</v>
      </c>
      <c r="BH176" s="45">
        <v>0</v>
      </c>
      <c r="BI176" s="46">
        <v>0</v>
      </c>
      <c r="BJ176" s="45">
        <v>0</v>
      </c>
      <c r="BK176" s="46">
        <v>0</v>
      </c>
      <c r="BL176" s="45">
        <v>2</v>
      </c>
      <c r="BM176" s="46">
        <v>100</v>
      </c>
      <c r="BN176" s="45">
        <v>2</v>
      </c>
    </row>
    <row r="177" spans="1:66" ht="15">
      <c r="A177" s="61" t="s">
        <v>391</v>
      </c>
      <c r="B177" s="61" t="s">
        <v>414</v>
      </c>
      <c r="C177" s="62"/>
      <c r="D177" s="63"/>
      <c r="E177" s="62"/>
      <c r="F177" s="65"/>
      <c r="G177" s="62"/>
      <c r="H177" s="66"/>
      <c r="I177" s="67"/>
      <c r="J177" s="67"/>
      <c r="K177" s="31" t="s">
        <v>65</v>
      </c>
      <c r="L177" s="68">
        <v>262</v>
      </c>
      <c r="M177" s="68"/>
      <c r="N177" s="69"/>
      <c r="O177" s="76" t="s">
        <v>586</v>
      </c>
      <c r="P177" s="78">
        <v>44818.541446759256</v>
      </c>
      <c r="Q177" s="76" t="s">
        <v>702</v>
      </c>
      <c r="R177" s="76"/>
      <c r="S177" s="76"/>
      <c r="T177" s="81" t="s">
        <v>850</v>
      </c>
      <c r="U177" s="79" t="str">
        <f>HYPERLINK("https://pbs.twimg.com/media/FcnDhrKWQAAs5gQ.jpg")</f>
        <v>https://pbs.twimg.com/media/FcnDhrKWQAAs5gQ.jpg</v>
      </c>
      <c r="V177" s="79" t="str">
        <f>HYPERLINK("https://pbs.twimg.com/media/FcnDhrKWQAAs5gQ.jpg")</f>
        <v>https://pbs.twimg.com/media/FcnDhrKWQAAs5gQ.jpg</v>
      </c>
      <c r="W177" s="78">
        <v>44818.541446759256</v>
      </c>
      <c r="X177" s="84">
        <v>44818</v>
      </c>
      <c r="Y177" s="81" t="s">
        <v>1069</v>
      </c>
      <c r="Z177" s="79" t="str">
        <f>HYPERLINK("https://twitter.com/ozdenozhan2/status/1570034550562062338")</f>
        <v>https://twitter.com/ozdenozhan2/status/1570034550562062338</v>
      </c>
      <c r="AA177" s="76"/>
      <c r="AB177" s="76"/>
      <c r="AC177" s="81" t="s">
        <v>1400</v>
      </c>
      <c r="AD177" s="76"/>
      <c r="AE177" s="76" t="b">
        <v>0</v>
      </c>
      <c r="AF177" s="76">
        <v>0</v>
      </c>
      <c r="AG177" s="81" t="s">
        <v>1674</v>
      </c>
      <c r="AH177" s="76" t="b">
        <v>0</v>
      </c>
      <c r="AI177" s="76" t="s">
        <v>1771</v>
      </c>
      <c r="AJ177" s="76"/>
      <c r="AK177" s="81" t="s">
        <v>1674</v>
      </c>
      <c r="AL177" s="76" t="b">
        <v>0</v>
      </c>
      <c r="AM177" s="76">
        <v>2</v>
      </c>
      <c r="AN177" s="81" t="s">
        <v>1456</v>
      </c>
      <c r="AO177" s="81" t="s">
        <v>1807</v>
      </c>
      <c r="AP177" s="76" t="b">
        <v>0</v>
      </c>
      <c r="AQ177" s="81" t="s">
        <v>1456</v>
      </c>
      <c r="AR177" s="76" t="s">
        <v>219</v>
      </c>
      <c r="AS177" s="76">
        <v>0</v>
      </c>
      <c r="AT177" s="76">
        <v>0</v>
      </c>
      <c r="AU177" s="76"/>
      <c r="AV177" s="76"/>
      <c r="AW177" s="76"/>
      <c r="AX177" s="76"/>
      <c r="AY177" s="76"/>
      <c r="AZ177" s="76"/>
      <c r="BA177" s="76"/>
      <c r="BB177" s="76"/>
      <c r="BC177">
        <v>2</v>
      </c>
      <c r="BD177" s="75" t="str">
        <f>REPLACE(INDEX(GroupVertices[Group],MATCH(Edges25[[#This Row],[Vertex 1]],GroupVertices[Vertex],0)),1,1,"")</f>
        <v>3</v>
      </c>
      <c r="BE177" s="75" t="str">
        <f>REPLACE(INDEX(GroupVertices[Group],MATCH(Edges25[[#This Row],[Vertex 2]],GroupVertices[Vertex],0)),1,1,"")</f>
        <v>3</v>
      </c>
      <c r="BF177" s="45">
        <v>0</v>
      </c>
      <c r="BG177" s="46">
        <v>0</v>
      </c>
      <c r="BH177" s="45">
        <v>0</v>
      </c>
      <c r="BI177" s="46">
        <v>0</v>
      </c>
      <c r="BJ177" s="45">
        <v>0</v>
      </c>
      <c r="BK177" s="46">
        <v>0</v>
      </c>
      <c r="BL177" s="45">
        <v>17</v>
      </c>
      <c r="BM177" s="46">
        <v>100</v>
      </c>
      <c r="BN177" s="45">
        <v>17</v>
      </c>
    </row>
    <row r="178" spans="1:66" ht="15">
      <c r="A178" s="61" t="s">
        <v>391</v>
      </c>
      <c r="B178" s="61" t="s">
        <v>414</v>
      </c>
      <c r="C178" s="62"/>
      <c r="D178" s="63"/>
      <c r="E178" s="62"/>
      <c r="F178" s="65"/>
      <c r="G178" s="62"/>
      <c r="H178" s="66"/>
      <c r="I178" s="67"/>
      <c r="J178" s="67"/>
      <c r="K178" s="31" t="s">
        <v>65</v>
      </c>
      <c r="L178" s="68">
        <v>263</v>
      </c>
      <c r="M178" s="68"/>
      <c r="N178" s="69"/>
      <c r="O178" s="76" t="s">
        <v>586</v>
      </c>
      <c r="P178" s="78">
        <v>44818.64164351852</v>
      </c>
      <c r="Q178" s="76" t="s">
        <v>703</v>
      </c>
      <c r="R178" s="76"/>
      <c r="S178" s="76"/>
      <c r="T178" s="81" t="s">
        <v>842</v>
      </c>
      <c r="U178" s="79" t="str">
        <f>HYPERLINK("https://pbs.twimg.com/ext_tw_video_thumb/1570062212479287298/pu/img/ECVQJFVi9S35pAcj.jpg")</f>
        <v>https://pbs.twimg.com/ext_tw_video_thumb/1570062212479287298/pu/img/ECVQJFVi9S35pAcj.jpg</v>
      </c>
      <c r="V178" s="79" t="str">
        <f>HYPERLINK("https://pbs.twimg.com/ext_tw_video_thumb/1570062212479287298/pu/img/ECVQJFVi9S35pAcj.jpg")</f>
        <v>https://pbs.twimg.com/ext_tw_video_thumb/1570062212479287298/pu/img/ECVQJFVi9S35pAcj.jpg</v>
      </c>
      <c r="W178" s="78">
        <v>44818.64164351852</v>
      </c>
      <c r="X178" s="84">
        <v>44818</v>
      </c>
      <c r="Y178" s="81" t="s">
        <v>1070</v>
      </c>
      <c r="Z178" s="79" t="str">
        <f>HYPERLINK("https://twitter.com/ozdenozhan2/status/1570070862602149889")</f>
        <v>https://twitter.com/ozdenozhan2/status/1570070862602149889</v>
      </c>
      <c r="AA178" s="76"/>
      <c r="AB178" s="76"/>
      <c r="AC178" s="81" t="s">
        <v>1401</v>
      </c>
      <c r="AD178" s="76"/>
      <c r="AE178" s="76" t="b">
        <v>0</v>
      </c>
      <c r="AF178" s="76">
        <v>0</v>
      </c>
      <c r="AG178" s="81" t="s">
        <v>1674</v>
      </c>
      <c r="AH178" s="76" t="b">
        <v>0</v>
      </c>
      <c r="AI178" s="76" t="s">
        <v>1771</v>
      </c>
      <c r="AJ178" s="76"/>
      <c r="AK178" s="81" t="s">
        <v>1674</v>
      </c>
      <c r="AL178" s="76" t="b">
        <v>0</v>
      </c>
      <c r="AM178" s="76">
        <v>8</v>
      </c>
      <c r="AN178" s="81" t="s">
        <v>1457</v>
      </c>
      <c r="AO178" s="81" t="s">
        <v>1807</v>
      </c>
      <c r="AP178" s="76" t="b">
        <v>0</v>
      </c>
      <c r="AQ178" s="81" t="s">
        <v>1457</v>
      </c>
      <c r="AR178" s="76" t="s">
        <v>219</v>
      </c>
      <c r="AS178" s="76">
        <v>0</v>
      </c>
      <c r="AT178" s="76">
        <v>0</v>
      </c>
      <c r="AU178" s="76"/>
      <c r="AV178" s="76"/>
      <c r="AW178" s="76"/>
      <c r="AX178" s="76"/>
      <c r="AY178" s="76"/>
      <c r="AZ178" s="76"/>
      <c r="BA178" s="76"/>
      <c r="BB178" s="76"/>
      <c r="BC178">
        <v>2</v>
      </c>
      <c r="BD178" s="75" t="str">
        <f>REPLACE(INDEX(GroupVertices[Group],MATCH(Edges25[[#This Row],[Vertex 1]],GroupVertices[Vertex],0)),1,1,"")</f>
        <v>3</v>
      </c>
      <c r="BE178" s="75" t="str">
        <f>REPLACE(INDEX(GroupVertices[Group],MATCH(Edges25[[#This Row],[Vertex 2]],GroupVertices[Vertex],0)),1,1,"")</f>
        <v>3</v>
      </c>
      <c r="BF178" s="45">
        <v>0</v>
      </c>
      <c r="BG178" s="46">
        <v>0</v>
      </c>
      <c r="BH178" s="45">
        <v>0</v>
      </c>
      <c r="BI178" s="46">
        <v>0</v>
      </c>
      <c r="BJ178" s="45">
        <v>0</v>
      </c>
      <c r="BK178" s="46">
        <v>0</v>
      </c>
      <c r="BL178" s="45">
        <v>7</v>
      </c>
      <c r="BM178" s="46">
        <v>100</v>
      </c>
      <c r="BN178" s="45">
        <v>7</v>
      </c>
    </row>
    <row r="179" spans="1:66" ht="15">
      <c r="A179" s="61" t="s">
        <v>392</v>
      </c>
      <c r="B179" s="61" t="s">
        <v>414</v>
      </c>
      <c r="C179" s="62"/>
      <c r="D179" s="63"/>
      <c r="E179" s="62"/>
      <c r="F179" s="65"/>
      <c r="G179" s="62"/>
      <c r="H179" s="66"/>
      <c r="I179" s="67"/>
      <c r="J179" s="67"/>
      <c r="K179" s="31" t="s">
        <v>65</v>
      </c>
      <c r="L179" s="68">
        <v>264</v>
      </c>
      <c r="M179" s="68"/>
      <c r="N179" s="69"/>
      <c r="O179" s="76" t="s">
        <v>586</v>
      </c>
      <c r="P179" s="78">
        <v>44818.64579861111</v>
      </c>
      <c r="Q179" s="76" t="s">
        <v>703</v>
      </c>
      <c r="R179" s="76"/>
      <c r="S179" s="76"/>
      <c r="T179" s="81" t="s">
        <v>842</v>
      </c>
      <c r="U179" s="79" t="str">
        <f>HYPERLINK("https://pbs.twimg.com/ext_tw_video_thumb/1570062212479287298/pu/img/ECVQJFVi9S35pAcj.jpg")</f>
        <v>https://pbs.twimg.com/ext_tw_video_thumb/1570062212479287298/pu/img/ECVQJFVi9S35pAcj.jpg</v>
      </c>
      <c r="V179" s="79" t="str">
        <f>HYPERLINK("https://pbs.twimg.com/ext_tw_video_thumb/1570062212479287298/pu/img/ECVQJFVi9S35pAcj.jpg")</f>
        <v>https://pbs.twimg.com/ext_tw_video_thumb/1570062212479287298/pu/img/ECVQJFVi9S35pAcj.jpg</v>
      </c>
      <c r="W179" s="78">
        <v>44818.64579861111</v>
      </c>
      <c r="X179" s="84">
        <v>44818</v>
      </c>
      <c r="Y179" s="81" t="s">
        <v>1071</v>
      </c>
      <c r="Z179" s="79" t="str">
        <f>HYPERLINK("https://twitter.com/worldofnorth/status/1570072367061147655")</f>
        <v>https://twitter.com/worldofnorth/status/1570072367061147655</v>
      </c>
      <c r="AA179" s="76"/>
      <c r="AB179" s="76"/>
      <c r="AC179" s="81" t="s">
        <v>1402</v>
      </c>
      <c r="AD179" s="76"/>
      <c r="AE179" s="76" t="b">
        <v>0</v>
      </c>
      <c r="AF179" s="76">
        <v>0</v>
      </c>
      <c r="AG179" s="81" t="s">
        <v>1674</v>
      </c>
      <c r="AH179" s="76" t="b">
        <v>0</v>
      </c>
      <c r="AI179" s="76" t="s">
        <v>1771</v>
      </c>
      <c r="AJ179" s="76"/>
      <c r="AK179" s="81" t="s">
        <v>1674</v>
      </c>
      <c r="AL179" s="76" t="b">
        <v>0</v>
      </c>
      <c r="AM179" s="76">
        <v>8</v>
      </c>
      <c r="AN179" s="81" t="s">
        <v>1457</v>
      </c>
      <c r="AO179" s="81" t="s">
        <v>1808</v>
      </c>
      <c r="AP179" s="76" t="b">
        <v>0</v>
      </c>
      <c r="AQ179" s="81" t="s">
        <v>1457</v>
      </c>
      <c r="AR179" s="76" t="s">
        <v>219</v>
      </c>
      <c r="AS179" s="76">
        <v>0</v>
      </c>
      <c r="AT179" s="76">
        <v>0</v>
      </c>
      <c r="AU179" s="76"/>
      <c r="AV179" s="76"/>
      <c r="AW179" s="76"/>
      <c r="AX179" s="76"/>
      <c r="AY179" s="76"/>
      <c r="AZ179" s="76"/>
      <c r="BA179" s="76"/>
      <c r="BB179" s="76"/>
      <c r="BC179">
        <v>1</v>
      </c>
      <c r="BD179" s="75" t="str">
        <f>REPLACE(INDEX(GroupVertices[Group],MATCH(Edges25[[#This Row],[Vertex 1]],GroupVertices[Vertex],0)),1,1,"")</f>
        <v>3</v>
      </c>
      <c r="BE179" s="75" t="str">
        <f>REPLACE(INDEX(GroupVertices[Group],MATCH(Edges25[[#This Row],[Vertex 2]],GroupVertices[Vertex],0)),1,1,"")</f>
        <v>3</v>
      </c>
      <c r="BF179" s="45">
        <v>0</v>
      </c>
      <c r="BG179" s="46">
        <v>0</v>
      </c>
      <c r="BH179" s="45">
        <v>0</v>
      </c>
      <c r="BI179" s="46">
        <v>0</v>
      </c>
      <c r="BJ179" s="45">
        <v>0</v>
      </c>
      <c r="BK179" s="46">
        <v>0</v>
      </c>
      <c r="BL179" s="45">
        <v>7</v>
      </c>
      <c r="BM179" s="46">
        <v>100</v>
      </c>
      <c r="BN179" s="45">
        <v>7</v>
      </c>
    </row>
    <row r="180" spans="1:66" ht="15">
      <c r="A180" s="61" t="s">
        <v>393</v>
      </c>
      <c r="B180" s="61" t="s">
        <v>414</v>
      </c>
      <c r="C180" s="62"/>
      <c r="D180" s="63"/>
      <c r="E180" s="62"/>
      <c r="F180" s="65"/>
      <c r="G180" s="62"/>
      <c r="H180" s="66"/>
      <c r="I180" s="67"/>
      <c r="J180" s="67"/>
      <c r="K180" s="31" t="s">
        <v>65</v>
      </c>
      <c r="L180" s="68">
        <v>265</v>
      </c>
      <c r="M180" s="68"/>
      <c r="N180" s="69"/>
      <c r="O180" s="76" t="s">
        <v>586</v>
      </c>
      <c r="P180" s="78">
        <v>44818.67502314815</v>
      </c>
      <c r="Q180" s="76" t="s">
        <v>703</v>
      </c>
      <c r="R180" s="76"/>
      <c r="S180" s="76"/>
      <c r="T180" s="81" t="s">
        <v>842</v>
      </c>
      <c r="U180" s="79" t="str">
        <f>HYPERLINK("https://pbs.twimg.com/ext_tw_video_thumb/1570062212479287298/pu/img/ECVQJFVi9S35pAcj.jpg")</f>
        <v>https://pbs.twimg.com/ext_tw_video_thumb/1570062212479287298/pu/img/ECVQJFVi9S35pAcj.jpg</v>
      </c>
      <c r="V180" s="79" t="str">
        <f>HYPERLINK("https://pbs.twimg.com/ext_tw_video_thumb/1570062212479287298/pu/img/ECVQJFVi9S35pAcj.jpg")</f>
        <v>https://pbs.twimg.com/ext_tw_video_thumb/1570062212479287298/pu/img/ECVQJFVi9S35pAcj.jpg</v>
      </c>
      <c r="W180" s="78">
        <v>44818.67502314815</v>
      </c>
      <c r="X180" s="84">
        <v>44818</v>
      </c>
      <c r="Y180" s="81" t="s">
        <v>1072</v>
      </c>
      <c r="Z180" s="79" t="str">
        <f>HYPERLINK("https://twitter.com/1881mka1905/status/1570082956504449026")</f>
        <v>https://twitter.com/1881mka1905/status/1570082956504449026</v>
      </c>
      <c r="AA180" s="76"/>
      <c r="AB180" s="76"/>
      <c r="AC180" s="81" t="s">
        <v>1403</v>
      </c>
      <c r="AD180" s="76"/>
      <c r="AE180" s="76" t="b">
        <v>0</v>
      </c>
      <c r="AF180" s="76">
        <v>0</v>
      </c>
      <c r="AG180" s="81" t="s">
        <v>1674</v>
      </c>
      <c r="AH180" s="76" t="b">
        <v>0</v>
      </c>
      <c r="AI180" s="76" t="s">
        <v>1771</v>
      </c>
      <c r="AJ180" s="76"/>
      <c r="AK180" s="81" t="s">
        <v>1674</v>
      </c>
      <c r="AL180" s="76" t="b">
        <v>0</v>
      </c>
      <c r="AM180" s="76">
        <v>8</v>
      </c>
      <c r="AN180" s="81" t="s">
        <v>1457</v>
      </c>
      <c r="AO180" s="81" t="s">
        <v>1808</v>
      </c>
      <c r="AP180" s="76" t="b">
        <v>0</v>
      </c>
      <c r="AQ180" s="81" t="s">
        <v>1457</v>
      </c>
      <c r="AR180" s="76" t="s">
        <v>219</v>
      </c>
      <c r="AS180" s="76">
        <v>0</v>
      </c>
      <c r="AT180" s="76">
        <v>0</v>
      </c>
      <c r="AU180" s="76"/>
      <c r="AV180" s="76"/>
      <c r="AW180" s="76"/>
      <c r="AX180" s="76"/>
      <c r="AY180" s="76"/>
      <c r="AZ180" s="76"/>
      <c r="BA180" s="76"/>
      <c r="BB180" s="76"/>
      <c r="BC180">
        <v>1</v>
      </c>
      <c r="BD180" s="75" t="str">
        <f>REPLACE(INDEX(GroupVertices[Group],MATCH(Edges25[[#This Row],[Vertex 1]],GroupVertices[Vertex],0)),1,1,"")</f>
        <v>3</v>
      </c>
      <c r="BE180" s="75" t="str">
        <f>REPLACE(INDEX(GroupVertices[Group],MATCH(Edges25[[#This Row],[Vertex 2]],GroupVertices[Vertex],0)),1,1,"")</f>
        <v>3</v>
      </c>
      <c r="BF180" s="45">
        <v>0</v>
      </c>
      <c r="BG180" s="46">
        <v>0</v>
      </c>
      <c r="BH180" s="45">
        <v>0</v>
      </c>
      <c r="BI180" s="46">
        <v>0</v>
      </c>
      <c r="BJ180" s="45">
        <v>0</v>
      </c>
      <c r="BK180" s="46">
        <v>0</v>
      </c>
      <c r="BL180" s="45">
        <v>7</v>
      </c>
      <c r="BM180" s="46">
        <v>100</v>
      </c>
      <c r="BN180" s="45">
        <v>7</v>
      </c>
    </row>
    <row r="181" spans="1:66" ht="15">
      <c r="A181" s="61" t="s">
        <v>394</v>
      </c>
      <c r="B181" s="61" t="s">
        <v>394</v>
      </c>
      <c r="C181" s="62"/>
      <c r="D181" s="63"/>
      <c r="E181" s="62"/>
      <c r="F181" s="65"/>
      <c r="G181" s="62"/>
      <c r="H181" s="66"/>
      <c r="I181" s="67"/>
      <c r="J181" s="67"/>
      <c r="K181" s="31" t="s">
        <v>65</v>
      </c>
      <c r="L181" s="68">
        <v>266</v>
      </c>
      <c r="M181" s="68"/>
      <c r="N181" s="69"/>
      <c r="O181" s="76" t="s">
        <v>219</v>
      </c>
      <c r="P181" s="78">
        <v>44625.76697916666</v>
      </c>
      <c r="Q181" s="76" t="s">
        <v>704</v>
      </c>
      <c r="R181" s="76"/>
      <c r="S181" s="76"/>
      <c r="T181" s="81" t="s">
        <v>851</v>
      </c>
      <c r="U181" s="79" t="str">
        <f>HYPERLINK("https://pbs.twimg.com/media/FNGxlnqaIAAZ7wI.jpg")</f>
        <v>https://pbs.twimg.com/media/FNGxlnqaIAAZ7wI.jpg</v>
      </c>
      <c r="V181" s="79" t="str">
        <f>HYPERLINK("https://pbs.twimg.com/media/FNGxlnqaIAAZ7wI.jpg")</f>
        <v>https://pbs.twimg.com/media/FNGxlnqaIAAZ7wI.jpg</v>
      </c>
      <c r="W181" s="78">
        <v>44625.76697916666</v>
      </c>
      <c r="X181" s="84">
        <v>44625</v>
      </c>
      <c r="Y181" s="81" t="s">
        <v>1073</v>
      </c>
      <c r="Z181" s="79" t="str">
        <f>HYPERLINK("https://twitter.com/alfandioaditya1/status/1500175422939865089")</f>
        <v>https://twitter.com/alfandioaditya1/status/1500175422939865089</v>
      </c>
      <c r="AA181" s="76"/>
      <c r="AB181" s="76"/>
      <c r="AC181" s="81" t="s">
        <v>1404</v>
      </c>
      <c r="AD181" s="76"/>
      <c r="AE181" s="76" t="b">
        <v>0</v>
      </c>
      <c r="AF181" s="76">
        <v>10</v>
      </c>
      <c r="AG181" s="81" t="s">
        <v>1674</v>
      </c>
      <c r="AH181" s="76" t="b">
        <v>0</v>
      </c>
      <c r="AI181" s="76" t="s">
        <v>1772</v>
      </c>
      <c r="AJ181" s="76"/>
      <c r="AK181" s="81" t="s">
        <v>1674</v>
      </c>
      <c r="AL181" s="76" t="b">
        <v>0</v>
      </c>
      <c r="AM181" s="76">
        <v>3</v>
      </c>
      <c r="AN181" s="81" t="s">
        <v>1674</v>
      </c>
      <c r="AO181" s="81" t="s">
        <v>1807</v>
      </c>
      <c r="AP181" s="76" t="b">
        <v>0</v>
      </c>
      <c r="AQ181" s="81" t="s">
        <v>1404</v>
      </c>
      <c r="AR181" s="76" t="s">
        <v>586</v>
      </c>
      <c r="AS181" s="76">
        <v>0</v>
      </c>
      <c r="AT181" s="76">
        <v>0</v>
      </c>
      <c r="AU181" s="76"/>
      <c r="AV181" s="76"/>
      <c r="AW181" s="76"/>
      <c r="AX181" s="76"/>
      <c r="AY181" s="76"/>
      <c r="AZ181" s="76"/>
      <c r="BA181" s="76"/>
      <c r="BB181" s="76"/>
      <c r="BC181">
        <v>1</v>
      </c>
      <c r="BD181" s="75" t="str">
        <f>REPLACE(INDEX(GroupVertices[Group],MATCH(Edges25[[#This Row],[Vertex 1]],GroupVertices[Vertex],0)),1,1,"")</f>
        <v>41</v>
      </c>
      <c r="BE181" s="75" t="str">
        <f>REPLACE(INDEX(GroupVertices[Group],MATCH(Edges25[[#This Row],[Vertex 2]],GroupVertices[Vertex],0)),1,1,"")</f>
        <v>41</v>
      </c>
      <c r="BF181" s="45">
        <v>2</v>
      </c>
      <c r="BG181" s="46">
        <v>28.571428571428573</v>
      </c>
      <c r="BH181" s="45">
        <v>0</v>
      </c>
      <c r="BI181" s="46">
        <v>0</v>
      </c>
      <c r="BJ181" s="45">
        <v>0</v>
      </c>
      <c r="BK181" s="46">
        <v>0</v>
      </c>
      <c r="BL181" s="45">
        <v>5</v>
      </c>
      <c r="BM181" s="46">
        <v>71.42857142857143</v>
      </c>
      <c r="BN181" s="45">
        <v>7</v>
      </c>
    </row>
    <row r="182" spans="1:66" ht="15">
      <c r="A182" s="61" t="s">
        <v>395</v>
      </c>
      <c r="B182" s="61" t="s">
        <v>394</v>
      </c>
      <c r="C182" s="62"/>
      <c r="D182" s="63"/>
      <c r="E182" s="62"/>
      <c r="F182" s="65"/>
      <c r="G182" s="62"/>
      <c r="H182" s="66"/>
      <c r="I182" s="67"/>
      <c r="J182" s="67"/>
      <c r="K182" s="31" t="s">
        <v>65</v>
      </c>
      <c r="L182" s="68">
        <v>267</v>
      </c>
      <c r="M182" s="68"/>
      <c r="N182" s="69"/>
      <c r="O182" s="76" t="s">
        <v>586</v>
      </c>
      <c r="P182" s="78">
        <v>44818.76520833333</v>
      </c>
      <c r="Q182" s="76" t="s">
        <v>704</v>
      </c>
      <c r="R182" s="76"/>
      <c r="S182" s="76"/>
      <c r="T182" s="81" t="s">
        <v>851</v>
      </c>
      <c r="U182" s="79" t="str">
        <f>HYPERLINK("https://pbs.twimg.com/media/FNGxlnqaIAAZ7wI.jpg")</f>
        <v>https://pbs.twimg.com/media/FNGxlnqaIAAZ7wI.jpg</v>
      </c>
      <c r="V182" s="79" t="str">
        <f>HYPERLINK("https://pbs.twimg.com/media/FNGxlnqaIAAZ7wI.jpg")</f>
        <v>https://pbs.twimg.com/media/FNGxlnqaIAAZ7wI.jpg</v>
      </c>
      <c r="W182" s="78">
        <v>44818.76520833333</v>
      </c>
      <c r="X182" s="84">
        <v>44818</v>
      </c>
      <c r="Y182" s="81" t="s">
        <v>1074</v>
      </c>
      <c r="Z182" s="79" t="str">
        <f>HYPERLINK("https://twitter.com/rilawolf/status/1570115638416363521")</f>
        <v>https://twitter.com/rilawolf/status/1570115638416363521</v>
      </c>
      <c r="AA182" s="76"/>
      <c r="AB182" s="76"/>
      <c r="AC182" s="81" t="s">
        <v>1405</v>
      </c>
      <c r="AD182" s="76"/>
      <c r="AE182" s="76" t="b">
        <v>0</v>
      </c>
      <c r="AF182" s="76">
        <v>0</v>
      </c>
      <c r="AG182" s="81" t="s">
        <v>1674</v>
      </c>
      <c r="AH182" s="76" t="b">
        <v>0</v>
      </c>
      <c r="AI182" s="76" t="s">
        <v>1772</v>
      </c>
      <c r="AJ182" s="76"/>
      <c r="AK182" s="81" t="s">
        <v>1674</v>
      </c>
      <c r="AL182" s="76" t="b">
        <v>0</v>
      </c>
      <c r="AM182" s="76">
        <v>3</v>
      </c>
      <c r="AN182" s="81" t="s">
        <v>1404</v>
      </c>
      <c r="AO182" s="81" t="s">
        <v>1807</v>
      </c>
      <c r="AP182" s="76" t="b">
        <v>0</v>
      </c>
      <c r="AQ182" s="81" t="s">
        <v>1404</v>
      </c>
      <c r="AR182" s="76" t="s">
        <v>219</v>
      </c>
      <c r="AS182" s="76">
        <v>0</v>
      </c>
      <c r="AT182" s="76">
        <v>0</v>
      </c>
      <c r="AU182" s="76"/>
      <c r="AV182" s="76"/>
      <c r="AW182" s="76"/>
      <c r="AX182" s="76"/>
      <c r="AY182" s="76"/>
      <c r="AZ182" s="76"/>
      <c r="BA182" s="76"/>
      <c r="BB182" s="76"/>
      <c r="BC182">
        <v>1</v>
      </c>
      <c r="BD182" s="75" t="str">
        <f>REPLACE(INDEX(GroupVertices[Group],MATCH(Edges25[[#This Row],[Vertex 1]],GroupVertices[Vertex],0)),1,1,"")</f>
        <v>41</v>
      </c>
      <c r="BE182" s="75" t="str">
        <f>REPLACE(INDEX(GroupVertices[Group],MATCH(Edges25[[#This Row],[Vertex 2]],GroupVertices[Vertex],0)),1,1,"")</f>
        <v>41</v>
      </c>
      <c r="BF182" s="45">
        <v>2</v>
      </c>
      <c r="BG182" s="46">
        <v>28.571428571428573</v>
      </c>
      <c r="BH182" s="45">
        <v>0</v>
      </c>
      <c r="BI182" s="46">
        <v>0</v>
      </c>
      <c r="BJ182" s="45">
        <v>0</v>
      </c>
      <c r="BK182" s="46">
        <v>0</v>
      </c>
      <c r="BL182" s="45">
        <v>5</v>
      </c>
      <c r="BM182" s="46">
        <v>71.42857142857143</v>
      </c>
      <c r="BN182" s="45">
        <v>7</v>
      </c>
    </row>
    <row r="183" spans="1:66" ht="15">
      <c r="A183" s="61" t="s">
        <v>396</v>
      </c>
      <c r="B183" s="61" t="s">
        <v>446</v>
      </c>
      <c r="C183" s="62"/>
      <c r="D183" s="63"/>
      <c r="E183" s="62"/>
      <c r="F183" s="65"/>
      <c r="G183" s="62"/>
      <c r="H183" s="66"/>
      <c r="I183" s="67"/>
      <c r="J183" s="67"/>
      <c r="K183" s="31" t="s">
        <v>65</v>
      </c>
      <c r="L183" s="68">
        <v>268</v>
      </c>
      <c r="M183" s="68"/>
      <c r="N183" s="69"/>
      <c r="O183" s="76" t="s">
        <v>588</v>
      </c>
      <c r="P183" s="78">
        <v>44817.88494212963</v>
      </c>
      <c r="Q183" s="76" t="s">
        <v>705</v>
      </c>
      <c r="R183" s="79" t="str">
        <f>HYPERLINK("https://roma.mid.ru/it/press-centre/commento_della_rappresentante_ufficiale_del_ministero_degli_affari_esteri_della_federazione_russa_ma/")</f>
        <v>https://roma.mid.ru/it/press-centre/commento_della_rappresentante_ufficiale_del_ministero_degli_affari_esteri_della_federazione_russa_ma/</v>
      </c>
      <c r="S183" s="76" t="s">
        <v>787</v>
      </c>
      <c r="T183" s="81" t="s">
        <v>852</v>
      </c>
      <c r="U183" s="79" t="str">
        <f>HYPERLINK("https://pbs.twimg.com/ext_tw_video_thumb/1569796601345982466/pu/img/t3-5Jrh5GPemmrR0.jpg")</f>
        <v>https://pbs.twimg.com/ext_tw_video_thumb/1569796601345982466/pu/img/t3-5Jrh5GPemmrR0.jpg</v>
      </c>
      <c r="V183" s="79" t="str">
        <f>HYPERLINK("https://pbs.twimg.com/ext_tw_video_thumb/1569796601345982466/pu/img/t3-5Jrh5GPemmrR0.jpg")</f>
        <v>https://pbs.twimg.com/ext_tw_video_thumb/1569796601345982466/pu/img/t3-5Jrh5GPemmrR0.jpg</v>
      </c>
      <c r="W183" s="78">
        <v>44817.88494212963</v>
      </c>
      <c r="X183" s="84">
        <v>44817</v>
      </c>
      <c r="Y183" s="81" t="s">
        <v>1075</v>
      </c>
      <c r="Z183" s="79" t="str">
        <f>HYPERLINK("https://twitter.com/lucadaini1/status/1569796640101519361")</f>
        <v>https://twitter.com/lucadaini1/status/1569796640101519361</v>
      </c>
      <c r="AA183" s="76"/>
      <c r="AB183" s="76"/>
      <c r="AC183" s="81" t="s">
        <v>1406</v>
      </c>
      <c r="AD183" s="76"/>
      <c r="AE183" s="76" t="b">
        <v>0</v>
      </c>
      <c r="AF183" s="76">
        <v>0</v>
      </c>
      <c r="AG183" s="81" t="s">
        <v>1732</v>
      </c>
      <c r="AH183" s="76" t="b">
        <v>0</v>
      </c>
      <c r="AI183" s="76" t="s">
        <v>1776</v>
      </c>
      <c r="AJ183" s="76"/>
      <c r="AK183" s="81" t="s">
        <v>1674</v>
      </c>
      <c r="AL183" s="76" t="b">
        <v>0</v>
      </c>
      <c r="AM183" s="76">
        <v>0</v>
      </c>
      <c r="AN183" s="81" t="s">
        <v>1674</v>
      </c>
      <c r="AO183" s="81" t="s">
        <v>1809</v>
      </c>
      <c r="AP183" s="76" t="b">
        <v>0</v>
      </c>
      <c r="AQ183" s="81" t="s">
        <v>1406</v>
      </c>
      <c r="AR183" s="76" t="s">
        <v>219</v>
      </c>
      <c r="AS183" s="76">
        <v>0</v>
      </c>
      <c r="AT183" s="76">
        <v>0</v>
      </c>
      <c r="AU183" s="76"/>
      <c r="AV183" s="76"/>
      <c r="AW183" s="76"/>
      <c r="AX183" s="76"/>
      <c r="AY183" s="76"/>
      <c r="AZ183" s="76"/>
      <c r="BA183" s="76"/>
      <c r="BB183" s="76"/>
      <c r="BC183">
        <v>1</v>
      </c>
      <c r="BD183" s="75" t="str">
        <f>REPLACE(INDEX(GroupVertices[Group],MATCH(Edges25[[#This Row],[Vertex 1]],GroupVertices[Vertex],0)),1,1,"")</f>
        <v>1</v>
      </c>
      <c r="BE183" s="75" t="str">
        <f>REPLACE(INDEX(GroupVertices[Group],MATCH(Edges25[[#This Row],[Vertex 2]],GroupVertices[Vertex],0)),1,1,"")</f>
        <v>6</v>
      </c>
      <c r="BF183" s="45"/>
      <c r="BG183" s="46"/>
      <c r="BH183" s="45"/>
      <c r="BI183" s="46"/>
      <c r="BJ183" s="45"/>
      <c r="BK183" s="46"/>
      <c r="BL183" s="45"/>
      <c r="BM183" s="46"/>
      <c r="BN183" s="45"/>
    </row>
    <row r="184" spans="1:66" ht="15">
      <c r="A184" s="61" t="s">
        <v>396</v>
      </c>
      <c r="B184" s="61" t="s">
        <v>501</v>
      </c>
      <c r="C184" s="62"/>
      <c r="D184" s="63"/>
      <c r="E184" s="62"/>
      <c r="F184" s="65"/>
      <c r="G184" s="62"/>
      <c r="H184" s="66"/>
      <c r="I184" s="67"/>
      <c r="J184" s="67"/>
      <c r="K184" s="31" t="s">
        <v>65</v>
      </c>
      <c r="L184" s="68">
        <v>272</v>
      </c>
      <c r="M184" s="68"/>
      <c r="N184" s="69"/>
      <c r="O184" s="76" t="s">
        <v>588</v>
      </c>
      <c r="P184" s="78">
        <v>44812.7296875</v>
      </c>
      <c r="Q184" s="76" t="s">
        <v>706</v>
      </c>
      <c r="R184" s="79" t="str">
        <f>HYPERLINK("https://www.reuters.com/world/europe/tens-thousands-protest-prague-against-czech-government-eu-nato-2022-09-03/")</f>
        <v>https://www.reuters.com/world/europe/tens-thousands-protest-prague-against-czech-government-eu-nato-2022-09-03/</v>
      </c>
      <c r="S184" s="76" t="s">
        <v>788</v>
      </c>
      <c r="T184" s="81" t="s">
        <v>853</v>
      </c>
      <c r="U184" s="76"/>
      <c r="V184" s="79" t="str">
        <f>HYPERLINK("https://pbs.twimg.com/profile_images/1864138126/GANDALF_MSN_normal.jpg")</f>
        <v>https://pbs.twimg.com/profile_images/1864138126/GANDALF_MSN_normal.jpg</v>
      </c>
      <c r="W184" s="78">
        <v>44812.7296875</v>
      </c>
      <c r="X184" s="84">
        <v>44812</v>
      </c>
      <c r="Y184" s="81" t="s">
        <v>1076</v>
      </c>
      <c r="Z184" s="79" t="str">
        <f>HYPERLINK("https://twitter.com/lucadaini1/status/1567928440237727744")</f>
        <v>https://twitter.com/lucadaini1/status/1567928440237727744</v>
      </c>
      <c r="AA184" s="76"/>
      <c r="AB184" s="76"/>
      <c r="AC184" s="81" t="s">
        <v>1407</v>
      </c>
      <c r="AD184" s="81" t="s">
        <v>1622</v>
      </c>
      <c r="AE184" s="76" t="b">
        <v>0</v>
      </c>
      <c r="AF184" s="76">
        <v>0</v>
      </c>
      <c r="AG184" s="81" t="s">
        <v>1702</v>
      </c>
      <c r="AH184" s="76" t="b">
        <v>0</v>
      </c>
      <c r="AI184" s="76" t="s">
        <v>1772</v>
      </c>
      <c r="AJ184" s="76"/>
      <c r="AK184" s="81" t="s">
        <v>1674</v>
      </c>
      <c r="AL184" s="76" t="b">
        <v>0</v>
      </c>
      <c r="AM184" s="76">
        <v>0</v>
      </c>
      <c r="AN184" s="81" t="s">
        <v>1674</v>
      </c>
      <c r="AO184" s="81" t="s">
        <v>1809</v>
      </c>
      <c r="AP184" s="76" t="b">
        <v>0</v>
      </c>
      <c r="AQ184" s="81" t="s">
        <v>1622</v>
      </c>
      <c r="AR184" s="76" t="s">
        <v>219</v>
      </c>
      <c r="AS184" s="76">
        <v>0</v>
      </c>
      <c r="AT184" s="76">
        <v>0</v>
      </c>
      <c r="AU184" s="76"/>
      <c r="AV184" s="76"/>
      <c r="AW184" s="76"/>
      <c r="AX184" s="76"/>
      <c r="AY184" s="76"/>
      <c r="AZ184" s="76"/>
      <c r="BA184" s="76"/>
      <c r="BB184" s="76"/>
      <c r="BC184">
        <v>5</v>
      </c>
      <c r="BD184" s="75" t="str">
        <f>REPLACE(INDEX(GroupVertices[Group],MATCH(Edges25[[#This Row],[Vertex 1]],GroupVertices[Vertex],0)),1,1,"")</f>
        <v>1</v>
      </c>
      <c r="BE184" s="75" t="str">
        <f>REPLACE(INDEX(GroupVertices[Group],MATCH(Edges25[[#This Row],[Vertex 2]],GroupVertices[Vertex],0)),1,1,"")</f>
        <v>23</v>
      </c>
      <c r="BF184" s="45"/>
      <c r="BG184" s="46"/>
      <c r="BH184" s="45"/>
      <c r="BI184" s="46"/>
      <c r="BJ184" s="45"/>
      <c r="BK184" s="46"/>
      <c r="BL184" s="45"/>
      <c r="BM184" s="46"/>
      <c r="BN184" s="45"/>
    </row>
    <row r="185" spans="1:66" ht="15">
      <c r="A185" s="61" t="s">
        <v>396</v>
      </c>
      <c r="B185" s="61" t="s">
        <v>501</v>
      </c>
      <c r="C185" s="62"/>
      <c r="D185" s="63"/>
      <c r="E185" s="62"/>
      <c r="F185" s="65"/>
      <c r="G185" s="62"/>
      <c r="H185" s="66"/>
      <c r="I185" s="67"/>
      <c r="J185" s="67"/>
      <c r="K185" s="31" t="s">
        <v>65</v>
      </c>
      <c r="L185" s="68">
        <v>273</v>
      </c>
      <c r="M185" s="68"/>
      <c r="N185" s="69"/>
      <c r="O185" s="76" t="s">
        <v>588</v>
      </c>
      <c r="P185" s="78">
        <v>44814.73302083334</v>
      </c>
      <c r="Q185" s="76" t="s">
        <v>707</v>
      </c>
      <c r="R185" s="76"/>
      <c r="S185" s="76"/>
      <c r="T185" s="81" t="s">
        <v>853</v>
      </c>
      <c r="U185" s="76"/>
      <c r="V185" s="79" t="str">
        <f>HYPERLINK("https://pbs.twimg.com/profile_images/1864138126/GANDALF_MSN_normal.jpg")</f>
        <v>https://pbs.twimg.com/profile_images/1864138126/GANDALF_MSN_normal.jpg</v>
      </c>
      <c r="W185" s="78">
        <v>44814.73302083334</v>
      </c>
      <c r="X185" s="84">
        <v>44814</v>
      </c>
      <c r="Y185" s="81" t="s">
        <v>1077</v>
      </c>
      <c r="Z185" s="79" t="str">
        <f>HYPERLINK("https://twitter.com/lucadaini1/status/1568654424272166912")</f>
        <v>https://twitter.com/lucadaini1/status/1568654424272166912</v>
      </c>
      <c r="AA185" s="76"/>
      <c r="AB185" s="76"/>
      <c r="AC185" s="81" t="s">
        <v>1408</v>
      </c>
      <c r="AD185" s="81" t="s">
        <v>1596</v>
      </c>
      <c r="AE185" s="76" t="b">
        <v>0</v>
      </c>
      <c r="AF185" s="76">
        <v>0</v>
      </c>
      <c r="AG185" s="81" t="s">
        <v>1706</v>
      </c>
      <c r="AH185" s="76" t="b">
        <v>0</v>
      </c>
      <c r="AI185" s="76" t="s">
        <v>1772</v>
      </c>
      <c r="AJ185" s="76"/>
      <c r="AK185" s="81" t="s">
        <v>1674</v>
      </c>
      <c r="AL185" s="76" t="b">
        <v>0</v>
      </c>
      <c r="AM185" s="76">
        <v>0</v>
      </c>
      <c r="AN185" s="81" t="s">
        <v>1674</v>
      </c>
      <c r="AO185" s="81" t="s">
        <v>1809</v>
      </c>
      <c r="AP185" s="76" t="b">
        <v>0</v>
      </c>
      <c r="AQ185" s="81" t="s">
        <v>1596</v>
      </c>
      <c r="AR185" s="76" t="s">
        <v>219</v>
      </c>
      <c r="AS185" s="76">
        <v>0</v>
      </c>
      <c r="AT185" s="76">
        <v>0</v>
      </c>
      <c r="AU185" s="76"/>
      <c r="AV185" s="76"/>
      <c r="AW185" s="76"/>
      <c r="AX185" s="76"/>
      <c r="AY185" s="76"/>
      <c r="AZ185" s="76"/>
      <c r="BA185" s="76"/>
      <c r="BB185" s="76"/>
      <c r="BC185">
        <v>5</v>
      </c>
      <c r="BD185" s="75" t="str">
        <f>REPLACE(INDEX(GroupVertices[Group],MATCH(Edges25[[#This Row],[Vertex 1]],GroupVertices[Vertex],0)),1,1,"")</f>
        <v>1</v>
      </c>
      <c r="BE185" s="75" t="str">
        <f>REPLACE(INDEX(GroupVertices[Group],MATCH(Edges25[[#This Row],[Vertex 2]],GroupVertices[Vertex],0)),1,1,"")</f>
        <v>23</v>
      </c>
      <c r="BF185" s="45"/>
      <c r="BG185" s="46"/>
      <c r="BH185" s="45"/>
      <c r="BI185" s="46"/>
      <c r="BJ185" s="45"/>
      <c r="BK185" s="46"/>
      <c r="BL185" s="45"/>
      <c r="BM185" s="46"/>
      <c r="BN185" s="45"/>
    </row>
    <row r="186" spans="1:66" ht="15">
      <c r="A186" s="61" t="s">
        <v>396</v>
      </c>
      <c r="B186" s="61" t="s">
        <v>501</v>
      </c>
      <c r="C186" s="62"/>
      <c r="D186" s="63"/>
      <c r="E186" s="62"/>
      <c r="F186" s="65"/>
      <c r="G186" s="62"/>
      <c r="H186" s="66"/>
      <c r="I186" s="67"/>
      <c r="J186" s="67"/>
      <c r="K186" s="31" t="s">
        <v>65</v>
      </c>
      <c r="L186" s="68">
        <v>274</v>
      </c>
      <c r="M186" s="68"/>
      <c r="N186" s="69"/>
      <c r="O186" s="76" t="s">
        <v>588</v>
      </c>
      <c r="P186" s="78">
        <v>44815.89501157407</v>
      </c>
      <c r="Q186" s="76" t="s">
        <v>708</v>
      </c>
      <c r="R186" s="76"/>
      <c r="S186" s="76"/>
      <c r="T186" s="81" t="s">
        <v>854</v>
      </c>
      <c r="U186" s="76"/>
      <c r="V186" s="79" t="str">
        <f>HYPERLINK("https://pbs.twimg.com/profile_images/1864138126/GANDALF_MSN_normal.jpg")</f>
        <v>https://pbs.twimg.com/profile_images/1864138126/GANDALF_MSN_normal.jpg</v>
      </c>
      <c r="W186" s="78">
        <v>44815.89501157407</v>
      </c>
      <c r="X186" s="84">
        <v>44815</v>
      </c>
      <c r="Y186" s="81" t="s">
        <v>1078</v>
      </c>
      <c r="Z186" s="79" t="str">
        <f>HYPERLINK("https://twitter.com/lucadaini1/status/1569075515788775424")</f>
        <v>https://twitter.com/lucadaini1/status/1569075515788775424</v>
      </c>
      <c r="AA186" s="76"/>
      <c r="AB186" s="76"/>
      <c r="AC186" s="81" t="s">
        <v>1409</v>
      </c>
      <c r="AD186" s="81" t="s">
        <v>1623</v>
      </c>
      <c r="AE186" s="76" t="b">
        <v>0</v>
      </c>
      <c r="AF186" s="76">
        <v>1</v>
      </c>
      <c r="AG186" s="81" t="s">
        <v>1706</v>
      </c>
      <c r="AH186" s="76" t="b">
        <v>0</v>
      </c>
      <c r="AI186" s="76" t="s">
        <v>1772</v>
      </c>
      <c r="AJ186" s="76"/>
      <c r="AK186" s="81" t="s">
        <v>1674</v>
      </c>
      <c r="AL186" s="76" t="b">
        <v>0</v>
      </c>
      <c r="AM186" s="76">
        <v>0</v>
      </c>
      <c r="AN186" s="81" t="s">
        <v>1674</v>
      </c>
      <c r="AO186" s="81" t="s">
        <v>1809</v>
      </c>
      <c r="AP186" s="76" t="b">
        <v>0</v>
      </c>
      <c r="AQ186" s="81" t="s">
        <v>1623</v>
      </c>
      <c r="AR186" s="76" t="s">
        <v>219</v>
      </c>
      <c r="AS186" s="76">
        <v>0</v>
      </c>
      <c r="AT186" s="76">
        <v>0</v>
      </c>
      <c r="AU186" s="76"/>
      <c r="AV186" s="76"/>
      <c r="AW186" s="76"/>
      <c r="AX186" s="76"/>
      <c r="AY186" s="76"/>
      <c r="AZ186" s="76"/>
      <c r="BA186" s="76"/>
      <c r="BB186" s="76"/>
      <c r="BC186">
        <v>5</v>
      </c>
      <c r="BD186" s="75" t="str">
        <f>REPLACE(INDEX(GroupVertices[Group],MATCH(Edges25[[#This Row],[Vertex 1]],GroupVertices[Vertex],0)),1,1,"")</f>
        <v>1</v>
      </c>
      <c r="BE186" s="75" t="str">
        <f>REPLACE(INDEX(GroupVertices[Group],MATCH(Edges25[[#This Row],[Vertex 2]],GroupVertices[Vertex],0)),1,1,"")</f>
        <v>23</v>
      </c>
      <c r="BF186" s="45"/>
      <c r="BG186" s="46"/>
      <c r="BH186" s="45"/>
      <c r="BI186" s="46"/>
      <c r="BJ186" s="45"/>
      <c r="BK186" s="46"/>
      <c r="BL186" s="45"/>
      <c r="BM186" s="46"/>
      <c r="BN186" s="45"/>
    </row>
    <row r="187" spans="1:66" ht="15">
      <c r="A187" s="61" t="s">
        <v>396</v>
      </c>
      <c r="B187" s="61" t="s">
        <v>501</v>
      </c>
      <c r="C187" s="62"/>
      <c r="D187" s="63"/>
      <c r="E187" s="62"/>
      <c r="F187" s="65"/>
      <c r="G187" s="62"/>
      <c r="H187" s="66"/>
      <c r="I187" s="67"/>
      <c r="J187" s="67"/>
      <c r="K187" s="31" t="s">
        <v>65</v>
      </c>
      <c r="L187" s="68">
        <v>275</v>
      </c>
      <c r="M187" s="68"/>
      <c r="N187" s="69"/>
      <c r="O187" s="76" t="s">
        <v>588</v>
      </c>
      <c r="P187" s="78">
        <v>44817.87739583333</v>
      </c>
      <c r="Q187" s="76" t="s">
        <v>709</v>
      </c>
      <c r="R187" s="76"/>
      <c r="S187" s="76"/>
      <c r="T187" s="81" t="s">
        <v>855</v>
      </c>
      <c r="U187" s="76"/>
      <c r="V187" s="79" t="str">
        <f>HYPERLINK("https://pbs.twimg.com/profile_images/1864138126/GANDALF_MSN_normal.jpg")</f>
        <v>https://pbs.twimg.com/profile_images/1864138126/GANDALF_MSN_normal.jpg</v>
      </c>
      <c r="W187" s="78">
        <v>44817.87739583333</v>
      </c>
      <c r="X187" s="84">
        <v>44817</v>
      </c>
      <c r="Y187" s="81" t="s">
        <v>1079</v>
      </c>
      <c r="Z187" s="79" t="str">
        <f>HYPERLINK("https://twitter.com/lucadaini1/status/1569793907872960512")</f>
        <v>https://twitter.com/lucadaini1/status/1569793907872960512</v>
      </c>
      <c r="AA187" s="76"/>
      <c r="AB187" s="76"/>
      <c r="AC187" s="81" t="s">
        <v>1410</v>
      </c>
      <c r="AD187" s="81" t="s">
        <v>1618</v>
      </c>
      <c r="AE187" s="76" t="b">
        <v>0</v>
      </c>
      <c r="AF187" s="76">
        <v>0</v>
      </c>
      <c r="AG187" s="81" t="s">
        <v>1702</v>
      </c>
      <c r="AH187" s="76" t="b">
        <v>0</v>
      </c>
      <c r="AI187" s="76" t="s">
        <v>1772</v>
      </c>
      <c r="AJ187" s="76"/>
      <c r="AK187" s="81" t="s">
        <v>1674</v>
      </c>
      <c r="AL187" s="76" t="b">
        <v>0</v>
      </c>
      <c r="AM187" s="76">
        <v>0</v>
      </c>
      <c r="AN187" s="81" t="s">
        <v>1674</v>
      </c>
      <c r="AO187" s="81" t="s">
        <v>1809</v>
      </c>
      <c r="AP187" s="76" t="b">
        <v>0</v>
      </c>
      <c r="AQ187" s="81" t="s">
        <v>1618</v>
      </c>
      <c r="AR187" s="76" t="s">
        <v>219</v>
      </c>
      <c r="AS187" s="76">
        <v>0</v>
      </c>
      <c r="AT187" s="76">
        <v>0</v>
      </c>
      <c r="AU187" s="76"/>
      <c r="AV187" s="76"/>
      <c r="AW187" s="76"/>
      <c r="AX187" s="76"/>
      <c r="AY187" s="76"/>
      <c r="AZ187" s="76"/>
      <c r="BA187" s="76"/>
      <c r="BB187" s="76"/>
      <c r="BC187">
        <v>5</v>
      </c>
      <c r="BD187" s="75" t="str">
        <f>REPLACE(INDEX(GroupVertices[Group],MATCH(Edges25[[#This Row],[Vertex 1]],GroupVertices[Vertex],0)),1,1,"")</f>
        <v>1</v>
      </c>
      <c r="BE187" s="75" t="str">
        <f>REPLACE(INDEX(GroupVertices[Group],MATCH(Edges25[[#This Row],[Vertex 2]],GroupVertices[Vertex],0)),1,1,"")</f>
        <v>23</v>
      </c>
      <c r="BF187" s="45"/>
      <c r="BG187" s="46"/>
      <c r="BH187" s="45"/>
      <c r="BI187" s="46"/>
      <c r="BJ187" s="45"/>
      <c r="BK187" s="46"/>
      <c r="BL187" s="45"/>
      <c r="BM187" s="46"/>
      <c r="BN187" s="45"/>
    </row>
    <row r="188" spans="1:66" ht="15">
      <c r="A188" s="61" t="s">
        <v>396</v>
      </c>
      <c r="B188" s="61" t="s">
        <v>501</v>
      </c>
      <c r="C188" s="62"/>
      <c r="D188" s="63"/>
      <c r="E188" s="62"/>
      <c r="F188" s="65"/>
      <c r="G188" s="62"/>
      <c r="H188" s="66"/>
      <c r="I188" s="67"/>
      <c r="J188" s="67"/>
      <c r="K188" s="31" t="s">
        <v>65</v>
      </c>
      <c r="L188" s="68">
        <v>276</v>
      </c>
      <c r="M188" s="68"/>
      <c r="N188" s="69"/>
      <c r="O188" s="76" t="s">
        <v>588</v>
      </c>
      <c r="P188" s="78">
        <v>44818.76804398148</v>
      </c>
      <c r="Q188" s="76" t="s">
        <v>710</v>
      </c>
      <c r="R188" s="76"/>
      <c r="S188" s="76"/>
      <c r="T188" s="81" t="s">
        <v>856</v>
      </c>
      <c r="U188" s="76"/>
      <c r="V188" s="79" t="str">
        <f>HYPERLINK("https://pbs.twimg.com/profile_images/1864138126/GANDALF_MSN_normal.jpg")</f>
        <v>https://pbs.twimg.com/profile_images/1864138126/GANDALF_MSN_normal.jpg</v>
      </c>
      <c r="W188" s="78">
        <v>44818.76804398148</v>
      </c>
      <c r="X188" s="84">
        <v>44818</v>
      </c>
      <c r="Y188" s="81" t="s">
        <v>1080</v>
      </c>
      <c r="Z188" s="79" t="str">
        <f>HYPERLINK("https://twitter.com/lucadaini1/status/1570116666486362113")</f>
        <v>https://twitter.com/lucadaini1/status/1570116666486362113</v>
      </c>
      <c r="AA188" s="76"/>
      <c r="AB188" s="76"/>
      <c r="AC188" s="81" t="s">
        <v>1411</v>
      </c>
      <c r="AD188" s="81" t="s">
        <v>1624</v>
      </c>
      <c r="AE188" s="76" t="b">
        <v>0</v>
      </c>
      <c r="AF188" s="76">
        <v>1</v>
      </c>
      <c r="AG188" s="81" t="s">
        <v>1701</v>
      </c>
      <c r="AH188" s="76" t="b">
        <v>0</v>
      </c>
      <c r="AI188" s="76" t="s">
        <v>1772</v>
      </c>
      <c r="AJ188" s="76"/>
      <c r="AK188" s="81" t="s">
        <v>1674</v>
      </c>
      <c r="AL188" s="76" t="b">
        <v>0</v>
      </c>
      <c r="AM188" s="76">
        <v>0</v>
      </c>
      <c r="AN188" s="81" t="s">
        <v>1674</v>
      </c>
      <c r="AO188" s="81" t="s">
        <v>1809</v>
      </c>
      <c r="AP188" s="76" t="b">
        <v>0</v>
      </c>
      <c r="AQ188" s="81" t="s">
        <v>1624</v>
      </c>
      <c r="AR188" s="76" t="s">
        <v>219</v>
      </c>
      <c r="AS188" s="76">
        <v>0</v>
      </c>
      <c r="AT188" s="76">
        <v>0</v>
      </c>
      <c r="AU188" s="76"/>
      <c r="AV188" s="76"/>
      <c r="AW188" s="76"/>
      <c r="AX188" s="76"/>
      <c r="AY188" s="76"/>
      <c r="AZ188" s="76"/>
      <c r="BA188" s="76"/>
      <c r="BB188" s="76"/>
      <c r="BC188">
        <v>5</v>
      </c>
      <c r="BD188" s="75" t="str">
        <f>REPLACE(INDEX(GroupVertices[Group],MATCH(Edges25[[#This Row],[Vertex 1]],GroupVertices[Vertex],0)),1,1,"")</f>
        <v>1</v>
      </c>
      <c r="BE188" s="75" t="str">
        <f>REPLACE(INDEX(GroupVertices[Group],MATCH(Edges25[[#This Row],[Vertex 2]],GroupVertices[Vertex],0)),1,1,"")</f>
        <v>23</v>
      </c>
      <c r="BF188" s="45"/>
      <c r="BG188" s="46"/>
      <c r="BH188" s="45"/>
      <c r="BI188" s="46"/>
      <c r="BJ188" s="45"/>
      <c r="BK188" s="46"/>
      <c r="BL188" s="45"/>
      <c r="BM188" s="46"/>
      <c r="BN188" s="45"/>
    </row>
    <row r="189" spans="1:66" ht="15">
      <c r="A189" s="61" t="s">
        <v>397</v>
      </c>
      <c r="B189" s="61" t="s">
        <v>414</v>
      </c>
      <c r="C189" s="62"/>
      <c r="D189" s="63"/>
      <c r="E189" s="62"/>
      <c r="F189" s="65"/>
      <c r="G189" s="62"/>
      <c r="H189" s="66"/>
      <c r="I189" s="67"/>
      <c r="J189" s="67"/>
      <c r="K189" s="31" t="s">
        <v>65</v>
      </c>
      <c r="L189" s="68">
        <v>297</v>
      </c>
      <c r="M189" s="68"/>
      <c r="N189" s="69"/>
      <c r="O189" s="76" t="s">
        <v>586</v>
      </c>
      <c r="P189" s="78">
        <v>44818.773877314816</v>
      </c>
      <c r="Q189" s="76" t="s">
        <v>711</v>
      </c>
      <c r="R189" s="76"/>
      <c r="S189" s="76"/>
      <c r="T189" s="81" t="s">
        <v>795</v>
      </c>
      <c r="U189" s="79" t="str">
        <f>HYPERLINK("https://pbs.twimg.com/ext_tw_video_thumb/1570079315068424192/pu/img/yVxrXvHEmivLuWgt.jpg")</f>
        <v>https://pbs.twimg.com/ext_tw_video_thumb/1570079315068424192/pu/img/yVxrXvHEmivLuWgt.jpg</v>
      </c>
      <c r="V189" s="79" t="str">
        <f>HYPERLINK("https://pbs.twimg.com/ext_tw_video_thumb/1570079315068424192/pu/img/yVxrXvHEmivLuWgt.jpg")</f>
        <v>https://pbs.twimg.com/ext_tw_video_thumb/1570079315068424192/pu/img/yVxrXvHEmivLuWgt.jpg</v>
      </c>
      <c r="W189" s="78">
        <v>44818.773877314816</v>
      </c>
      <c r="X189" s="84">
        <v>44818</v>
      </c>
      <c r="Y189" s="81" t="s">
        <v>1081</v>
      </c>
      <c r="Z189" s="79" t="str">
        <f>HYPERLINK("https://twitter.com/bnryklmz/status/1570118779765415936")</f>
        <v>https://twitter.com/bnryklmz/status/1570118779765415936</v>
      </c>
      <c r="AA189" s="76"/>
      <c r="AB189" s="76"/>
      <c r="AC189" s="81" t="s">
        <v>1412</v>
      </c>
      <c r="AD189" s="76"/>
      <c r="AE189" s="76" t="b">
        <v>0</v>
      </c>
      <c r="AF189" s="76">
        <v>0</v>
      </c>
      <c r="AG189" s="81" t="s">
        <v>1674</v>
      </c>
      <c r="AH189" s="76" t="b">
        <v>0</v>
      </c>
      <c r="AI189" s="76" t="s">
        <v>1771</v>
      </c>
      <c r="AJ189" s="76"/>
      <c r="AK189" s="81" t="s">
        <v>1674</v>
      </c>
      <c r="AL189" s="76" t="b">
        <v>0</v>
      </c>
      <c r="AM189" s="76">
        <v>2</v>
      </c>
      <c r="AN189" s="81" t="s">
        <v>1458</v>
      </c>
      <c r="AO189" s="81" t="s">
        <v>1809</v>
      </c>
      <c r="AP189" s="76" t="b">
        <v>0</v>
      </c>
      <c r="AQ189" s="81" t="s">
        <v>1458</v>
      </c>
      <c r="AR189" s="76" t="s">
        <v>219</v>
      </c>
      <c r="AS189" s="76">
        <v>0</v>
      </c>
      <c r="AT189" s="76">
        <v>0</v>
      </c>
      <c r="AU189" s="76"/>
      <c r="AV189" s="76"/>
      <c r="AW189" s="76"/>
      <c r="AX189" s="76"/>
      <c r="AY189" s="76"/>
      <c r="AZ189" s="76"/>
      <c r="BA189" s="76"/>
      <c r="BB189" s="76"/>
      <c r="BC189">
        <v>1</v>
      </c>
      <c r="BD189" s="75" t="str">
        <f>REPLACE(INDEX(GroupVertices[Group],MATCH(Edges25[[#This Row],[Vertex 1]],GroupVertices[Vertex],0)),1,1,"")</f>
        <v>3</v>
      </c>
      <c r="BE189" s="75" t="str">
        <f>REPLACE(INDEX(GroupVertices[Group],MATCH(Edges25[[#This Row],[Vertex 2]],GroupVertices[Vertex],0)),1,1,"")</f>
        <v>3</v>
      </c>
      <c r="BF189" s="45">
        <v>0</v>
      </c>
      <c r="BG189" s="46">
        <v>0</v>
      </c>
      <c r="BH189" s="45">
        <v>0</v>
      </c>
      <c r="BI189" s="46">
        <v>0</v>
      </c>
      <c r="BJ189" s="45">
        <v>0</v>
      </c>
      <c r="BK189" s="46">
        <v>0</v>
      </c>
      <c r="BL189" s="45">
        <v>36</v>
      </c>
      <c r="BM189" s="46">
        <v>100</v>
      </c>
      <c r="BN189" s="45">
        <v>36</v>
      </c>
    </row>
    <row r="190" spans="1:66" ht="15">
      <c r="A190" s="61" t="s">
        <v>398</v>
      </c>
      <c r="B190" s="61" t="s">
        <v>398</v>
      </c>
      <c r="C190" s="62"/>
      <c r="D190" s="63"/>
      <c r="E190" s="62"/>
      <c r="F190" s="65"/>
      <c r="G190" s="62"/>
      <c r="H190" s="66"/>
      <c r="I190" s="67"/>
      <c r="J190" s="67"/>
      <c r="K190" s="31" t="s">
        <v>65</v>
      </c>
      <c r="L190" s="68">
        <v>298</v>
      </c>
      <c r="M190" s="68"/>
      <c r="N190" s="69"/>
      <c r="O190" s="76" t="s">
        <v>219</v>
      </c>
      <c r="P190" s="78">
        <v>44818.78704861111</v>
      </c>
      <c r="Q190" s="76" t="s">
        <v>712</v>
      </c>
      <c r="R190" s="76"/>
      <c r="S190" s="76"/>
      <c r="T190" s="76"/>
      <c r="U190" s="76"/>
      <c r="V190" s="79" t="str">
        <f>HYPERLINK("https://pbs.twimg.com/profile_images/1566174687704403968/v1BRKIY1_normal.jpg")</f>
        <v>https://pbs.twimg.com/profile_images/1566174687704403968/v1BRKIY1_normal.jpg</v>
      </c>
      <c r="W190" s="78">
        <v>44818.78704861111</v>
      </c>
      <c r="X190" s="84">
        <v>44818</v>
      </c>
      <c r="Y190" s="81" t="s">
        <v>1082</v>
      </c>
      <c r="Z190" s="79" t="str">
        <f>HYPERLINK("https://twitter.com/jbl375537500/status/1570123555630874624")</f>
        <v>https://twitter.com/jbl375537500/status/1570123555630874624</v>
      </c>
      <c r="AA190" s="76"/>
      <c r="AB190" s="76"/>
      <c r="AC190" s="81" t="s">
        <v>1413</v>
      </c>
      <c r="AD190" s="81" t="s">
        <v>1625</v>
      </c>
      <c r="AE190" s="76" t="b">
        <v>0</v>
      </c>
      <c r="AF190" s="76">
        <v>0</v>
      </c>
      <c r="AG190" s="81" t="s">
        <v>1733</v>
      </c>
      <c r="AH190" s="76" t="b">
        <v>0</v>
      </c>
      <c r="AI190" s="76" t="s">
        <v>1782</v>
      </c>
      <c r="AJ190" s="76"/>
      <c r="AK190" s="81" t="s">
        <v>1674</v>
      </c>
      <c r="AL190" s="76" t="b">
        <v>0</v>
      </c>
      <c r="AM190" s="76">
        <v>0</v>
      </c>
      <c r="AN190" s="81" t="s">
        <v>1674</v>
      </c>
      <c r="AO190" s="81" t="s">
        <v>1808</v>
      </c>
      <c r="AP190" s="76" t="b">
        <v>0</v>
      </c>
      <c r="AQ190" s="81" t="s">
        <v>1625</v>
      </c>
      <c r="AR190" s="76" t="s">
        <v>219</v>
      </c>
      <c r="AS190" s="76">
        <v>0</v>
      </c>
      <c r="AT190" s="76">
        <v>0</v>
      </c>
      <c r="AU190" s="76"/>
      <c r="AV190" s="76"/>
      <c r="AW190" s="76"/>
      <c r="AX190" s="76"/>
      <c r="AY190" s="76"/>
      <c r="AZ190" s="76"/>
      <c r="BA190" s="76"/>
      <c r="BB190" s="76"/>
      <c r="BC190">
        <v>1</v>
      </c>
      <c r="BD190" s="75" t="str">
        <f>REPLACE(INDEX(GroupVertices[Group],MATCH(Edges25[[#This Row],[Vertex 1]],GroupVertices[Vertex],0)),1,1,"")</f>
        <v>2</v>
      </c>
      <c r="BE190" s="75" t="str">
        <f>REPLACE(INDEX(GroupVertices[Group],MATCH(Edges25[[#This Row],[Vertex 2]],GroupVertices[Vertex],0)),1,1,"")</f>
        <v>2</v>
      </c>
      <c r="BF190" s="45">
        <v>0</v>
      </c>
      <c r="BG190" s="46">
        <v>0</v>
      </c>
      <c r="BH190" s="45">
        <v>0</v>
      </c>
      <c r="BI190" s="46">
        <v>0</v>
      </c>
      <c r="BJ190" s="45">
        <v>0</v>
      </c>
      <c r="BK190" s="46">
        <v>0</v>
      </c>
      <c r="BL190" s="45">
        <v>14</v>
      </c>
      <c r="BM190" s="46">
        <v>100</v>
      </c>
      <c r="BN190" s="45">
        <v>14</v>
      </c>
    </row>
    <row r="191" spans="1:66" ht="15">
      <c r="A191" s="61" t="s">
        <v>399</v>
      </c>
      <c r="B191" s="61" t="s">
        <v>414</v>
      </c>
      <c r="C191" s="62"/>
      <c r="D191" s="63"/>
      <c r="E191" s="62"/>
      <c r="F191" s="65"/>
      <c r="G191" s="62"/>
      <c r="H191" s="66"/>
      <c r="I191" s="67"/>
      <c r="J191" s="67"/>
      <c r="K191" s="31" t="s">
        <v>65</v>
      </c>
      <c r="L191" s="68">
        <v>299</v>
      </c>
      <c r="M191" s="68"/>
      <c r="N191" s="69"/>
      <c r="O191" s="76" t="s">
        <v>586</v>
      </c>
      <c r="P191" s="78">
        <v>44812.003645833334</v>
      </c>
      <c r="Q191" s="76" t="s">
        <v>590</v>
      </c>
      <c r="R191" s="76"/>
      <c r="S191" s="76"/>
      <c r="T191" s="81" t="s">
        <v>793</v>
      </c>
      <c r="U191" s="79" t="str">
        <f>HYPERLINK("https://pbs.twimg.com/media/FcCNOtRX0AMZ0JE.jpg")</f>
        <v>https://pbs.twimg.com/media/FcCNOtRX0AMZ0JE.jpg</v>
      </c>
      <c r="V191" s="79" t="str">
        <f>HYPERLINK("https://pbs.twimg.com/media/FcCNOtRX0AMZ0JE.jpg")</f>
        <v>https://pbs.twimg.com/media/FcCNOtRX0AMZ0JE.jpg</v>
      </c>
      <c r="W191" s="78">
        <v>44812.003645833334</v>
      </c>
      <c r="X191" s="84">
        <v>44812</v>
      </c>
      <c r="Y191" s="81" t="s">
        <v>1083</v>
      </c>
      <c r="Z191" s="79" t="str">
        <f>HYPERLINK("https://twitter.com/ekormfs1qvxzxvp/status/1567665333342978049")</f>
        <v>https://twitter.com/ekormfs1qvxzxvp/status/1567665333342978049</v>
      </c>
      <c r="AA191" s="76"/>
      <c r="AB191" s="76"/>
      <c r="AC191" s="81" t="s">
        <v>1414</v>
      </c>
      <c r="AD191" s="76"/>
      <c r="AE191" s="76" t="b">
        <v>0</v>
      </c>
      <c r="AF191" s="76">
        <v>0</v>
      </c>
      <c r="AG191" s="81" t="s">
        <v>1674</v>
      </c>
      <c r="AH191" s="76" t="b">
        <v>0</v>
      </c>
      <c r="AI191" s="76" t="s">
        <v>1771</v>
      </c>
      <c r="AJ191" s="76"/>
      <c r="AK191" s="81" t="s">
        <v>1674</v>
      </c>
      <c r="AL191" s="76" t="b">
        <v>0</v>
      </c>
      <c r="AM191" s="76">
        <v>3</v>
      </c>
      <c r="AN191" s="81" t="s">
        <v>1447</v>
      </c>
      <c r="AO191" s="81" t="s">
        <v>1807</v>
      </c>
      <c r="AP191" s="76" t="b">
        <v>0</v>
      </c>
      <c r="AQ191" s="81" t="s">
        <v>1447</v>
      </c>
      <c r="AR191" s="76" t="s">
        <v>219</v>
      </c>
      <c r="AS191" s="76">
        <v>0</v>
      </c>
      <c r="AT191" s="76">
        <v>0</v>
      </c>
      <c r="AU191" s="76"/>
      <c r="AV191" s="76"/>
      <c r="AW191" s="76"/>
      <c r="AX191" s="76"/>
      <c r="AY191" s="76"/>
      <c r="AZ191" s="76"/>
      <c r="BA191" s="76"/>
      <c r="BB191" s="76"/>
      <c r="BC191">
        <v>4</v>
      </c>
      <c r="BD191" s="75" t="str">
        <f>REPLACE(INDEX(GroupVertices[Group],MATCH(Edges25[[#This Row],[Vertex 1]],GroupVertices[Vertex],0)),1,1,"")</f>
        <v>3</v>
      </c>
      <c r="BE191" s="75" t="str">
        <f>REPLACE(INDEX(GroupVertices[Group],MATCH(Edges25[[#This Row],[Vertex 2]],GroupVertices[Vertex],0)),1,1,"")</f>
        <v>3</v>
      </c>
      <c r="BF191" s="45">
        <v>0</v>
      </c>
      <c r="BG191" s="46">
        <v>0</v>
      </c>
      <c r="BH191" s="45">
        <v>0</v>
      </c>
      <c r="BI191" s="46">
        <v>0</v>
      </c>
      <c r="BJ191" s="45">
        <v>0</v>
      </c>
      <c r="BK191" s="46">
        <v>0</v>
      </c>
      <c r="BL191" s="45">
        <v>12</v>
      </c>
      <c r="BM191" s="46">
        <v>100</v>
      </c>
      <c r="BN191" s="45">
        <v>12</v>
      </c>
    </row>
    <row r="192" spans="1:66" ht="15">
      <c r="A192" s="61" t="s">
        <v>399</v>
      </c>
      <c r="B192" s="61" t="s">
        <v>414</v>
      </c>
      <c r="C192" s="62"/>
      <c r="D192" s="63"/>
      <c r="E192" s="62"/>
      <c r="F192" s="65"/>
      <c r="G192" s="62"/>
      <c r="H192" s="66"/>
      <c r="I192" s="67"/>
      <c r="J192" s="67"/>
      <c r="K192" s="31" t="s">
        <v>65</v>
      </c>
      <c r="L192" s="68">
        <v>300</v>
      </c>
      <c r="M192" s="68"/>
      <c r="N192" s="69"/>
      <c r="O192" s="76" t="s">
        <v>586</v>
      </c>
      <c r="P192" s="78">
        <v>44816.482141203705</v>
      </c>
      <c r="Q192" s="76" t="s">
        <v>713</v>
      </c>
      <c r="R192" s="76"/>
      <c r="S192" s="76"/>
      <c r="T192" s="81" t="s">
        <v>819</v>
      </c>
      <c r="U192" s="79" t="str">
        <f>HYPERLINK("https://pbs.twimg.com/ext_tw_video_thumb/1569282039861452802/pu/img/hpYkNNY2FvFNCj_Q.jpg")</f>
        <v>https://pbs.twimg.com/ext_tw_video_thumb/1569282039861452802/pu/img/hpYkNNY2FvFNCj_Q.jpg</v>
      </c>
      <c r="V192" s="79" t="str">
        <f>HYPERLINK("https://pbs.twimg.com/ext_tw_video_thumb/1569282039861452802/pu/img/hpYkNNY2FvFNCj_Q.jpg")</f>
        <v>https://pbs.twimg.com/ext_tw_video_thumb/1569282039861452802/pu/img/hpYkNNY2FvFNCj_Q.jpg</v>
      </c>
      <c r="W192" s="78">
        <v>44816.482141203705</v>
      </c>
      <c r="X192" s="84">
        <v>44816</v>
      </c>
      <c r="Y192" s="81" t="s">
        <v>1084</v>
      </c>
      <c r="Z192" s="79" t="str">
        <f>HYPERLINK("https://twitter.com/ekormfs1qvxzxvp/status/1569288285893304320")</f>
        <v>https://twitter.com/ekormfs1qvxzxvp/status/1569288285893304320</v>
      </c>
      <c r="AA192" s="76"/>
      <c r="AB192" s="76"/>
      <c r="AC192" s="81" t="s">
        <v>1415</v>
      </c>
      <c r="AD192" s="76"/>
      <c r="AE192" s="76" t="b">
        <v>0</v>
      </c>
      <c r="AF192" s="76">
        <v>0</v>
      </c>
      <c r="AG192" s="81" t="s">
        <v>1674</v>
      </c>
      <c r="AH192" s="76" t="b">
        <v>0</v>
      </c>
      <c r="AI192" s="76" t="s">
        <v>1771</v>
      </c>
      <c r="AJ192" s="76"/>
      <c r="AK192" s="81" t="s">
        <v>1674</v>
      </c>
      <c r="AL192" s="76" t="b">
        <v>0</v>
      </c>
      <c r="AM192" s="76">
        <v>3</v>
      </c>
      <c r="AN192" s="81" t="s">
        <v>1452</v>
      </c>
      <c r="AO192" s="81" t="s">
        <v>1807</v>
      </c>
      <c r="AP192" s="76" t="b">
        <v>0</v>
      </c>
      <c r="AQ192" s="81" t="s">
        <v>1452</v>
      </c>
      <c r="AR192" s="76" t="s">
        <v>219</v>
      </c>
      <c r="AS192" s="76">
        <v>0</v>
      </c>
      <c r="AT192" s="76">
        <v>0</v>
      </c>
      <c r="AU192" s="76"/>
      <c r="AV192" s="76"/>
      <c r="AW192" s="76"/>
      <c r="AX192" s="76"/>
      <c r="AY192" s="76"/>
      <c r="AZ192" s="76"/>
      <c r="BA192" s="76"/>
      <c r="BB192" s="76"/>
      <c r="BC192">
        <v>4</v>
      </c>
      <c r="BD192" s="75" t="str">
        <f>REPLACE(INDEX(GroupVertices[Group],MATCH(Edges25[[#This Row],[Vertex 1]],GroupVertices[Vertex],0)),1,1,"")</f>
        <v>3</v>
      </c>
      <c r="BE192" s="75" t="str">
        <f>REPLACE(INDEX(GroupVertices[Group],MATCH(Edges25[[#This Row],[Vertex 2]],GroupVertices[Vertex],0)),1,1,"")</f>
        <v>3</v>
      </c>
      <c r="BF192" s="45">
        <v>0</v>
      </c>
      <c r="BG192" s="46">
        <v>0</v>
      </c>
      <c r="BH192" s="45">
        <v>0</v>
      </c>
      <c r="BI192" s="46">
        <v>0</v>
      </c>
      <c r="BJ192" s="45">
        <v>0</v>
      </c>
      <c r="BK192" s="46">
        <v>0</v>
      </c>
      <c r="BL192" s="45">
        <v>12</v>
      </c>
      <c r="BM192" s="46">
        <v>100</v>
      </c>
      <c r="BN192" s="45">
        <v>12</v>
      </c>
    </row>
    <row r="193" spans="1:66" ht="15">
      <c r="A193" s="61" t="s">
        <v>399</v>
      </c>
      <c r="B193" s="61" t="s">
        <v>414</v>
      </c>
      <c r="C193" s="62"/>
      <c r="D193" s="63"/>
      <c r="E193" s="62"/>
      <c r="F193" s="65"/>
      <c r="G193" s="62"/>
      <c r="H193" s="66"/>
      <c r="I193" s="67"/>
      <c r="J193" s="67"/>
      <c r="K193" s="31" t="s">
        <v>65</v>
      </c>
      <c r="L193" s="68">
        <v>301</v>
      </c>
      <c r="M193" s="68"/>
      <c r="N193" s="69"/>
      <c r="O193" s="76" t="s">
        <v>586</v>
      </c>
      <c r="P193" s="78">
        <v>44818.83583333333</v>
      </c>
      <c r="Q193" s="76" t="s">
        <v>714</v>
      </c>
      <c r="R193" s="76"/>
      <c r="S193" s="76"/>
      <c r="T193" s="81" t="s">
        <v>857</v>
      </c>
      <c r="U193" s="79" t="str">
        <f>HYPERLINK("https://pbs.twimg.com/media/Fco1Im5WAAwCNtd.jpg")</f>
        <v>https://pbs.twimg.com/media/Fco1Im5WAAwCNtd.jpg</v>
      </c>
      <c r="V193" s="79" t="str">
        <f>HYPERLINK("https://pbs.twimg.com/media/Fco1Im5WAAwCNtd.jpg")</f>
        <v>https://pbs.twimg.com/media/Fco1Im5WAAwCNtd.jpg</v>
      </c>
      <c r="W193" s="78">
        <v>44818.83583333333</v>
      </c>
      <c r="X193" s="84">
        <v>44818</v>
      </c>
      <c r="Y193" s="81" t="s">
        <v>1085</v>
      </c>
      <c r="Z193" s="79" t="str">
        <f>HYPERLINK("https://twitter.com/ekormfs1qvxzxvp/status/1570141232244097026")</f>
        <v>https://twitter.com/ekormfs1qvxzxvp/status/1570141232244097026</v>
      </c>
      <c r="AA193" s="76"/>
      <c r="AB193" s="76"/>
      <c r="AC193" s="81" t="s">
        <v>1416</v>
      </c>
      <c r="AD193" s="76"/>
      <c r="AE193" s="76" t="b">
        <v>0</v>
      </c>
      <c r="AF193" s="76">
        <v>0</v>
      </c>
      <c r="AG193" s="81" t="s">
        <v>1674</v>
      </c>
      <c r="AH193" s="76" t="b">
        <v>0</v>
      </c>
      <c r="AI193" s="76" t="s">
        <v>1783</v>
      </c>
      <c r="AJ193" s="76"/>
      <c r="AK193" s="81" t="s">
        <v>1674</v>
      </c>
      <c r="AL193" s="76" t="b">
        <v>0</v>
      </c>
      <c r="AM193" s="76">
        <v>3</v>
      </c>
      <c r="AN193" s="81" t="s">
        <v>1459</v>
      </c>
      <c r="AO193" s="81" t="s">
        <v>1807</v>
      </c>
      <c r="AP193" s="76" t="b">
        <v>0</v>
      </c>
      <c r="AQ193" s="81" t="s">
        <v>1459</v>
      </c>
      <c r="AR193" s="76" t="s">
        <v>219</v>
      </c>
      <c r="AS193" s="76">
        <v>0</v>
      </c>
      <c r="AT193" s="76">
        <v>0</v>
      </c>
      <c r="AU193" s="76"/>
      <c r="AV193" s="76"/>
      <c r="AW193" s="76"/>
      <c r="AX193" s="76"/>
      <c r="AY193" s="76"/>
      <c r="AZ193" s="76"/>
      <c r="BA193" s="76"/>
      <c r="BB193" s="76"/>
      <c r="BC193">
        <v>4</v>
      </c>
      <c r="BD193" s="75" t="str">
        <f>REPLACE(INDEX(GroupVertices[Group],MATCH(Edges25[[#This Row],[Vertex 1]],GroupVertices[Vertex],0)),1,1,"")</f>
        <v>3</v>
      </c>
      <c r="BE193" s="75" t="str">
        <f>REPLACE(INDEX(GroupVertices[Group],MATCH(Edges25[[#This Row],[Vertex 2]],GroupVertices[Vertex],0)),1,1,"")</f>
        <v>3</v>
      </c>
      <c r="BF193" s="45">
        <v>0</v>
      </c>
      <c r="BG193" s="46">
        <v>0</v>
      </c>
      <c r="BH193" s="45">
        <v>0</v>
      </c>
      <c r="BI193" s="46">
        <v>0</v>
      </c>
      <c r="BJ193" s="45">
        <v>0</v>
      </c>
      <c r="BK193" s="46">
        <v>0</v>
      </c>
      <c r="BL193" s="45">
        <v>5</v>
      </c>
      <c r="BM193" s="46">
        <v>100</v>
      </c>
      <c r="BN193" s="45">
        <v>5</v>
      </c>
    </row>
    <row r="194" spans="1:66" ht="15">
      <c r="A194" s="61" t="s">
        <v>399</v>
      </c>
      <c r="B194" s="61" t="s">
        <v>414</v>
      </c>
      <c r="C194" s="62"/>
      <c r="D194" s="63"/>
      <c r="E194" s="62"/>
      <c r="F194" s="65"/>
      <c r="G194" s="62"/>
      <c r="H194" s="66"/>
      <c r="I194" s="67"/>
      <c r="J194" s="67"/>
      <c r="K194" s="31" t="s">
        <v>65</v>
      </c>
      <c r="L194" s="68">
        <v>302</v>
      </c>
      <c r="M194" s="68"/>
      <c r="N194" s="69"/>
      <c r="O194" s="76" t="s">
        <v>586</v>
      </c>
      <c r="P194" s="78">
        <v>44818.8359375</v>
      </c>
      <c r="Q194" s="76" t="s">
        <v>703</v>
      </c>
      <c r="R194" s="76"/>
      <c r="S194" s="76"/>
      <c r="T194" s="81" t="s">
        <v>842</v>
      </c>
      <c r="U194" s="79" t="str">
        <f>HYPERLINK("https://pbs.twimg.com/ext_tw_video_thumb/1570062212479287298/pu/img/ECVQJFVi9S35pAcj.jpg")</f>
        <v>https://pbs.twimg.com/ext_tw_video_thumb/1570062212479287298/pu/img/ECVQJFVi9S35pAcj.jpg</v>
      </c>
      <c r="V194" s="79" t="str">
        <f>HYPERLINK("https://pbs.twimg.com/ext_tw_video_thumb/1570062212479287298/pu/img/ECVQJFVi9S35pAcj.jpg")</f>
        <v>https://pbs.twimg.com/ext_tw_video_thumb/1570062212479287298/pu/img/ECVQJFVi9S35pAcj.jpg</v>
      </c>
      <c r="W194" s="78">
        <v>44818.8359375</v>
      </c>
      <c r="X194" s="84">
        <v>44818</v>
      </c>
      <c r="Y194" s="81" t="s">
        <v>1086</v>
      </c>
      <c r="Z194" s="79" t="str">
        <f>HYPERLINK("https://twitter.com/ekormfs1qvxzxvp/status/1570141270001201153")</f>
        <v>https://twitter.com/ekormfs1qvxzxvp/status/1570141270001201153</v>
      </c>
      <c r="AA194" s="76"/>
      <c r="AB194" s="76"/>
      <c r="AC194" s="81" t="s">
        <v>1417</v>
      </c>
      <c r="AD194" s="76"/>
      <c r="AE194" s="76" t="b">
        <v>0</v>
      </c>
      <c r="AF194" s="76">
        <v>0</v>
      </c>
      <c r="AG194" s="81" t="s">
        <v>1674</v>
      </c>
      <c r="AH194" s="76" t="b">
        <v>0</v>
      </c>
      <c r="AI194" s="76" t="s">
        <v>1771</v>
      </c>
      <c r="AJ194" s="76"/>
      <c r="AK194" s="81" t="s">
        <v>1674</v>
      </c>
      <c r="AL194" s="76" t="b">
        <v>0</v>
      </c>
      <c r="AM194" s="76">
        <v>8</v>
      </c>
      <c r="AN194" s="81" t="s">
        <v>1457</v>
      </c>
      <c r="AO194" s="81" t="s">
        <v>1807</v>
      </c>
      <c r="AP194" s="76" t="b">
        <v>0</v>
      </c>
      <c r="AQ194" s="81" t="s">
        <v>1457</v>
      </c>
      <c r="AR194" s="76" t="s">
        <v>219</v>
      </c>
      <c r="AS194" s="76">
        <v>0</v>
      </c>
      <c r="AT194" s="76">
        <v>0</v>
      </c>
      <c r="AU194" s="76"/>
      <c r="AV194" s="76"/>
      <c r="AW194" s="76"/>
      <c r="AX194" s="76"/>
      <c r="AY194" s="76"/>
      <c r="AZ194" s="76"/>
      <c r="BA194" s="76"/>
      <c r="BB194" s="76"/>
      <c r="BC194">
        <v>4</v>
      </c>
      <c r="BD194" s="75" t="str">
        <f>REPLACE(INDEX(GroupVertices[Group],MATCH(Edges25[[#This Row],[Vertex 1]],GroupVertices[Vertex],0)),1,1,"")</f>
        <v>3</v>
      </c>
      <c r="BE194" s="75" t="str">
        <f>REPLACE(INDEX(GroupVertices[Group],MATCH(Edges25[[#This Row],[Vertex 2]],GroupVertices[Vertex],0)),1,1,"")</f>
        <v>3</v>
      </c>
      <c r="BF194" s="45">
        <v>0</v>
      </c>
      <c r="BG194" s="46">
        <v>0</v>
      </c>
      <c r="BH194" s="45">
        <v>0</v>
      </c>
      <c r="BI194" s="46">
        <v>0</v>
      </c>
      <c r="BJ194" s="45">
        <v>0</v>
      </c>
      <c r="BK194" s="46">
        <v>0</v>
      </c>
      <c r="BL194" s="45">
        <v>7</v>
      </c>
      <c r="BM194" s="46">
        <v>100</v>
      </c>
      <c r="BN194" s="45">
        <v>7</v>
      </c>
    </row>
    <row r="195" spans="1:66" ht="15">
      <c r="A195" s="61" t="s">
        <v>400</v>
      </c>
      <c r="B195" s="61" t="s">
        <v>543</v>
      </c>
      <c r="C195" s="62"/>
      <c r="D195" s="63"/>
      <c r="E195" s="62"/>
      <c r="F195" s="65"/>
      <c r="G195" s="62"/>
      <c r="H195" s="66"/>
      <c r="I195" s="67"/>
      <c r="J195" s="67"/>
      <c r="K195" s="31" t="s">
        <v>65</v>
      </c>
      <c r="L195" s="68">
        <v>303</v>
      </c>
      <c r="M195" s="68"/>
      <c r="N195" s="69"/>
      <c r="O195" s="76" t="s">
        <v>587</v>
      </c>
      <c r="P195" s="78">
        <v>44818.837164351855</v>
      </c>
      <c r="Q195" s="76" t="s">
        <v>715</v>
      </c>
      <c r="R195" s="76"/>
      <c r="S195" s="76"/>
      <c r="T195" s="81" t="s">
        <v>858</v>
      </c>
      <c r="U195" s="79" t="str">
        <f>HYPERLINK("https://pbs.twimg.com/media/FcpCpSIWYAEY1lU.png")</f>
        <v>https://pbs.twimg.com/media/FcpCpSIWYAEY1lU.png</v>
      </c>
      <c r="V195" s="79" t="str">
        <f>HYPERLINK("https://pbs.twimg.com/media/FcpCpSIWYAEY1lU.png")</f>
        <v>https://pbs.twimg.com/media/FcpCpSIWYAEY1lU.png</v>
      </c>
      <c r="W195" s="78">
        <v>44818.837164351855</v>
      </c>
      <c r="X195" s="84">
        <v>44818</v>
      </c>
      <c r="Y195" s="81" t="s">
        <v>1087</v>
      </c>
      <c r="Z195" s="79" t="str">
        <f>HYPERLINK("https://twitter.com/3ct3r/status/1570141714551115777")</f>
        <v>https://twitter.com/3ct3r/status/1570141714551115777</v>
      </c>
      <c r="AA195" s="76"/>
      <c r="AB195" s="76"/>
      <c r="AC195" s="81" t="s">
        <v>1418</v>
      </c>
      <c r="AD195" s="81" t="s">
        <v>1626</v>
      </c>
      <c r="AE195" s="76" t="b">
        <v>0</v>
      </c>
      <c r="AF195" s="76">
        <v>0</v>
      </c>
      <c r="AG195" s="81" t="s">
        <v>1734</v>
      </c>
      <c r="AH195" s="76" t="b">
        <v>0</v>
      </c>
      <c r="AI195" s="76" t="s">
        <v>1770</v>
      </c>
      <c r="AJ195" s="76"/>
      <c r="AK195" s="81" t="s">
        <v>1674</v>
      </c>
      <c r="AL195" s="76" t="b">
        <v>0</v>
      </c>
      <c r="AM195" s="76">
        <v>0</v>
      </c>
      <c r="AN195" s="81" t="s">
        <v>1674</v>
      </c>
      <c r="AO195" s="81" t="s">
        <v>1808</v>
      </c>
      <c r="AP195" s="76" t="b">
        <v>0</v>
      </c>
      <c r="AQ195" s="81" t="s">
        <v>1626</v>
      </c>
      <c r="AR195" s="76" t="s">
        <v>219</v>
      </c>
      <c r="AS195" s="76">
        <v>0</v>
      </c>
      <c r="AT195" s="76">
        <v>0</v>
      </c>
      <c r="AU195" s="76"/>
      <c r="AV195" s="76"/>
      <c r="AW195" s="76"/>
      <c r="AX195" s="76"/>
      <c r="AY195" s="76"/>
      <c r="AZ195" s="76"/>
      <c r="BA195" s="76"/>
      <c r="BB195" s="76"/>
      <c r="BC195">
        <v>1</v>
      </c>
      <c r="BD195" s="75" t="str">
        <f>REPLACE(INDEX(GroupVertices[Group],MATCH(Edges25[[#This Row],[Vertex 1]],GroupVertices[Vertex],0)),1,1,"")</f>
        <v>40</v>
      </c>
      <c r="BE195" s="75" t="str">
        <f>REPLACE(INDEX(GroupVertices[Group],MATCH(Edges25[[#This Row],[Vertex 2]],GroupVertices[Vertex],0)),1,1,"")</f>
        <v>40</v>
      </c>
      <c r="BF195" s="45">
        <v>0</v>
      </c>
      <c r="BG195" s="46">
        <v>0</v>
      </c>
      <c r="BH195" s="45">
        <v>0</v>
      </c>
      <c r="BI195" s="46">
        <v>0</v>
      </c>
      <c r="BJ195" s="45">
        <v>0</v>
      </c>
      <c r="BK195" s="46">
        <v>0</v>
      </c>
      <c r="BL195" s="45">
        <v>32</v>
      </c>
      <c r="BM195" s="46">
        <v>100</v>
      </c>
      <c r="BN195" s="45">
        <v>32</v>
      </c>
    </row>
    <row r="196" spans="1:66" ht="15">
      <c r="A196" s="61" t="s">
        <v>401</v>
      </c>
      <c r="B196" s="61" t="s">
        <v>414</v>
      </c>
      <c r="C196" s="62"/>
      <c r="D196" s="63"/>
      <c r="E196" s="62"/>
      <c r="F196" s="65"/>
      <c r="G196" s="62"/>
      <c r="H196" s="66"/>
      <c r="I196" s="67"/>
      <c r="J196" s="67"/>
      <c r="K196" s="31" t="s">
        <v>65</v>
      </c>
      <c r="L196" s="68">
        <v>304</v>
      </c>
      <c r="M196" s="68"/>
      <c r="N196" s="69"/>
      <c r="O196" s="76" t="s">
        <v>586</v>
      </c>
      <c r="P196" s="78">
        <v>44818.88695601852</v>
      </c>
      <c r="Q196" s="76" t="s">
        <v>703</v>
      </c>
      <c r="R196" s="76"/>
      <c r="S196" s="76"/>
      <c r="T196" s="81" t="s">
        <v>842</v>
      </c>
      <c r="U196" s="79" t="str">
        <f>HYPERLINK("https://pbs.twimg.com/ext_tw_video_thumb/1570062212479287298/pu/img/ECVQJFVi9S35pAcj.jpg")</f>
        <v>https://pbs.twimg.com/ext_tw_video_thumb/1570062212479287298/pu/img/ECVQJFVi9S35pAcj.jpg</v>
      </c>
      <c r="V196" s="79" t="str">
        <f>HYPERLINK("https://pbs.twimg.com/ext_tw_video_thumb/1570062212479287298/pu/img/ECVQJFVi9S35pAcj.jpg")</f>
        <v>https://pbs.twimg.com/ext_tw_video_thumb/1570062212479287298/pu/img/ECVQJFVi9S35pAcj.jpg</v>
      </c>
      <c r="W196" s="78">
        <v>44818.88695601852</v>
      </c>
      <c r="X196" s="84">
        <v>44818</v>
      </c>
      <c r="Y196" s="81" t="s">
        <v>1088</v>
      </c>
      <c r="Z196" s="79" t="str">
        <f>HYPERLINK("https://twitter.com/alim_gokce45/status/1570159757755023360")</f>
        <v>https://twitter.com/alim_gokce45/status/1570159757755023360</v>
      </c>
      <c r="AA196" s="76"/>
      <c r="AB196" s="76"/>
      <c r="AC196" s="81" t="s">
        <v>1419</v>
      </c>
      <c r="AD196" s="76"/>
      <c r="AE196" s="76" t="b">
        <v>0</v>
      </c>
      <c r="AF196" s="76">
        <v>0</v>
      </c>
      <c r="AG196" s="81" t="s">
        <v>1674</v>
      </c>
      <c r="AH196" s="76" t="b">
        <v>0</v>
      </c>
      <c r="AI196" s="76" t="s">
        <v>1771</v>
      </c>
      <c r="AJ196" s="76"/>
      <c r="AK196" s="81" t="s">
        <v>1674</v>
      </c>
      <c r="AL196" s="76" t="b">
        <v>0</v>
      </c>
      <c r="AM196" s="76">
        <v>8</v>
      </c>
      <c r="AN196" s="81" t="s">
        <v>1457</v>
      </c>
      <c r="AO196" s="81" t="s">
        <v>1807</v>
      </c>
      <c r="AP196" s="76" t="b">
        <v>0</v>
      </c>
      <c r="AQ196" s="81" t="s">
        <v>1457</v>
      </c>
      <c r="AR196" s="76" t="s">
        <v>219</v>
      </c>
      <c r="AS196" s="76">
        <v>0</v>
      </c>
      <c r="AT196" s="76">
        <v>0</v>
      </c>
      <c r="AU196" s="76"/>
      <c r="AV196" s="76"/>
      <c r="AW196" s="76"/>
      <c r="AX196" s="76"/>
      <c r="AY196" s="76"/>
      <c r="AZ196" s="76"/>
      <c r="BA196" s="76"/>
      <c r="BB196" s="76"/>
      <c r="BC196">
        <v>1</v>
      </c>
      <c r="BD196" s="75" t="str">
        <f>REPLACE(INDEX(GroupVertices[Group],MATCH(Edges25[[#This Row],[Vertex 1]],GroupVertices[Vertex],0)),1,1,"")</f>
        <v>3</v>
      </c>
      <c r="BE196" s="75" t="str">
        <f>REPLACE(INDEX(GroupVertices[Group],MATCH(Edges25[[#This Row],[Vertex 2]],GroupVertices[Vertex],0)),1,1,"")</f>
        <v>3</v>
      </c>
      <c r="BF196" s="45">
        <v>0</v>
      </c>
      <c r="BG196" s="46">
        <v>0</v>
      </c>
      <c r="BH196" s="45">
        <v>0</v>
      </c>
      <c r="BI196" s="46">
        <v>0</v>
      </c>
      <c r="BJ196" s="45">
        <v>0</v>
      </c>
      <c r="BK196" s="46">
        <v>0</v>
      </c>
      <c r="BL196" s="45">
        <v>7</v>
      </c>
      <c r="BM196" s="46">
        <v>100</v>
      </c>
      <c r="BN196" s="45">
        <v>7</v>
      </c>
    </row>
    <row r="197" spans="1:66" ht="15">
      <c r="A197" s="61" t="s">
        <v>402</v>
      </c>
      <c r="B197" s="61" t="s">
        <v>414</v>
      </c>
      <c r="C197" s="62"/>
      <c r="D197" s="63"/>
      <c r="E197" s="62"/>
      <c r="F197" s="65"/>
      <c r="G197" s="62"/>
      <c r="H197" s="66"/>
      <c r="I197" s="67"/>
      <c r="J197" s="67"/>
      <c r="K197" s="31" t="s">
        <v>65</v>
      </c>
      <c r="L197" s="68">
        <v>305</v>
      </c>
      <c r="M197" s="68"/>
      <c r="N197" s="69"/>
      <c r="O197" s="76" t="s">
        <v>586</v>
      </c>
      <c r="P197" s="78">
        <v>44818.94337962963</v>
      </c>
      <c r="Q197" s="76" t="s">
        <v>716</v>
      </c>
      <c r="R197" s="76"/>
      <c r="S197" s="76"/>
      <c r="T197" s="81" t="s">
        <v>819</v>
      </c>
      <c r="U197" s="79" t="str">
        <f>HYPERLINK("https://pbs.twimg.com/media/FcpmLrCWQAEizKT.jpg")</f>
        <v>https://pbs.twimg.com/media/FcpmLrCWQAEizKT.jpg</v>
      </c>
      <c r="V197" s="79" t="str">
        <f>HYPERLINK("https://pbs.twimg.com/media/FcpmLrCWQAEizKT.jpg")</f>
        <v>https://pbs.twimg.com/media/FcpmLrCWQAEizKT.jpg</v>
      </c>
      <c r="W197" s="78">
        <v>44818.94337962963</v>
      </c>
      <c r="X197" s="84">
        <v>44818</v>
      </c>
      <c r="Y197" s="81" t="s">
        <v>1089</v>
      </c>
      <c r="Z197" s="79" t="str">
        <f>HYPERLINK("https://twitter.com/tekinyamur6/status/1570180206790610944")</f>
        <v>https://twitter.com/tekinyamur6/status/1570180206790610944</v>
      </c>
      <c r="AA197" s="76"/>
      <c r="AB197" s="76"/>
      <c r="AC197" s="81" t="s">
        <v>1420</v>
      </c>
      <c r="AD197" s="76"/>
      <c r="AE197" s="76" t="b">
        <v>0</v>
      </c>
      <c r="AF197" s="76">
        <v>0</v>
      </c>
      <c r="AG197" s="81" t="s">
        <v>1674</v>
      </c>
      <c r="AH197" s="76" t="b">
        <v>0</v>
      </c>
      <c r="AI197" s="76" t="s">
        <v>1771</v>
      </c>
      <c r="AJ197" s="76"/>
      <c r="AK197" s="81" t="s">
        <v>1674</v>
      </c>
      <c r="AL197" s="76" t="b">
        <v>0</v>
      </c>
      <c r="AM197" s="76">
        <v>3</v>
      </c>
      <c r="AN197" s="81" t="s">
        <v>1460</v>
      </c>
      <c r="AO197" s="81" t="s">
        <v>1808</v>
      </c>
      <c r="AP197" s="76" t="b">
        <v>0</v>
      </c>
      <c r="AQ197" s="81" t="s">
        <v>1460</v>
      </c>
      <c r="AR197" s="76" t="s">
        <v>219</v>
      </c>
      <c r="AS197" s="76">
        <v>0</v>
      </c>
      <c r="AT197" s="76">
        <v>0</v>
      </c>
      <c r="AU197" s="76"/>
      <c r="AV197" s="76"/>
      <c r="AW197" s="76"/>
      <c r="AX197" s="76"/>
      <c r="AY197" s="76"/>
      <c r="AZ197" s="76"/>
      <c r="BA197" s="76"/>
      <c r="BB197" s="76"/>
      <c r="BC197">
        <v>1</v>
      </c>
      <c r="BD197" s="75" t="str">
        <f>REPLACE(INDEX(GroupVertices[Group],MATCH(Edges25[[#This Row],[Vertex 1]],GroupVertices[Vertex],0)),1,1,"")</f>
        <v>3</v>
      </c>
      <c r="BE197" s="75" t="str">
        <f>REPLACE(INDEX(GroupVertices[Group],MATCH(Edges25[[#This Row],[Vertex 2]],GroupVertices[Vertex],0)),1,1,"")</f>
        <v>3</v>
      </c>
      <c r="BF197" s="45">
        <v>0</v>
      </c>
      <c r="BG197" s="46">
        <v>0</v>
      </c>
      <c r="BH197" s="45">
        <v>0</v>
      </c>
      <c r="BI197" s="46">
        <v>0</v>
      </c>
      <c r="BJ197" s="45">
        <v>0</v>
      </c>
      <c r="BK197" s="46">
        <v>0</v>
      </c>
      <c r="BL197" s="45">
        <v>10</v>
      </c>
      <c r="BM197" s="46">
        <v>100</v>
      </c>
      <c r="BN197" s="45">
        <v>10</v>
      </c>
    </row>
    <row r="198" spans="1:66" ht="15">
      <c r="A198" s="61" t="s">
        <v>403</v>
      </c>
      <c r="B198" s="61" t="s">
        <v>403</v>
      </c>
      <c r="C198" s="62"/>
      <c r="D198" s="63"/>
      <c r="E198" s="62"/>
      <c r="F198" s="65"/>
      <c r="G198" s="62"/>
      <c r="H198" s="66"/>
      <c r="I198" s="67"/>
      <c r="J198" s="67"/>
      <c r="K198" s="31" t="s">
        <v>65</v>
      </c>
      <c r="L198" s="68">
        <v>306</v>
      </c>
      <c r="M198" s="68"/>
      <c r="N198" s="69"/>
      <c r="O198" s="76" t="s">
        <v>219</v>
      </c>
      <c r="P198" s="78">
        <v>44819.01291666667</v>
      </c>
      <c r="Q198" s="76" t="s">
        <v>717</v>
      </c>
      <c r="R198" s="79" t="str">
        <f>HYPERLINK("https://twitter.com/AriSL2022/status/1569952276776714240")</f>
        <v>https://twitter.com/AriSL2022/status/1569952276776714240</v>
      </c>
      <c r="S198" s="76" t="s">
        <v>783</v>
      </c>
      <c r="T198" s="81" t="s">
        <v>795</v>
      </c>
      <c r="U198" s="76"/>
      <c r="V198" s="79" t="str">
        <f>HYPERLINK("https://pbs.twimg.com/profile_images/1515746353204408330/g2iiRyHU_normal.jpg")</f>
        <v>https://pbs.twimg.com/profile_images/1515746353204408330/g2iiRyHU_normal.jpg</v>
      </c>
      <c r="W198" s="78">
        <v>44819.01291666667</v>
      </c>
      <c r="X198" s="84">
        <v>44819</v>
      </c>
      <c r="Y198" s="81" t="s">
        <v>1090</v>
      </c>
      <c r="Z198" s="79" t="str">
        <f>HYPERLINK("https://twitter.com/24_yuvi/status/1570205405468409856")</f>
        <v>https://twitter.com/24_yuvi/status/1570205405468409856</v>
      </c>
      <c r="AA198" s="76"/>
      <c r="AB198" s="76"/>
      <c r="AC198" s="81" t="s">
        <v>1421</v>
      </c>
      <c r="AD198" s="76"/>
      <c r="AE198" s="76" t="b">
        <v>0</v>
      </c>
      <c r="AF198" s="76">
        <v>1</v>
      </c>
      <c r="AG198" s="81" t="s">
        <v>1674</v>
      </c>
      <c r="AH198" s="76" t="b">
        <v>1</v>
      </c>
      <c r="AI198" s="76" t="s">
        <v>1784</v>
      </c>
      <c r="AJ198" s="76"/>
      <c r="AK198" s="81" t="s">
        <v>1803</v>
      </c>
      <c r="AL198" s="76" t="b">
        <v>0</v>
      </c>
      <c r="AM198" s="76">
        <v>0</v>
      </c>
      <c r="AN198" s="81" t="s">
        <v>1674</v>
      </c>
      <c r="AO198" s="81" t="s">
        <v>1807</v>
      </c>
      <c r="AP198" s="76" t="b">
        <v>0</v>
      </c>
      <c r="AQ198" s="81" t="s">
        <v>1421</v>
      </c>
      <c r="AR198" s="76" t="s">
        <v>219</v>
      </c>
      <c r="AS198" s="76">
        <v>0</v>
      </c>
      <c r="AT198" s="76">
        <v>0</v>
      </c>
      <c r="AU198" s="76"/>
      <c r="AV198" s="76"/>
      <c r="AW198" s="76"/>
      <c r="AX198" s="76"/>
      <c r="AY198" s="76"/>
      <c r="AZ198" s="76"/>
      <c r="BA198" s="76"/>
      <c r="BB198" s="76"/>
      <c r="BC198">
        <v>1</v>
      </c>
      <c r="BD198" s="75" t="str">
        <f>REPLACE(INDEX(GroupVertices[Group],MATCH(Edges25[[#This Row],[Vertex 1]],GroupVertices[Vertex],0)),1,1,"")</f>
        <v>2</v>
      </c>
      <c r="BE198" s="75" t="str">
        <f>REPLACE(INDEX(GroupVertices[Group],MATCH(Edges25[[#This Row],[Vertex 2]],GroupVertices[Vertex],0)),1,1,"")</f>
        <v>2</v>
      </c>
      <c r="BF198" s="45">
        <v>0</v>
      </c>
      <c r="BG198" s="46">
        <v>0</v>
      </c>
      <c r="BH198" s="45">
        <v>0</v>
      </c>
      <c r="BI198" s="46">
        <v>0</v>
      </c>
      <c r="BJ198" s="45">
        <v>0</v>
      </c>
      <c r="BK198" s="46">
        <v>0</v>
      </c>
      <c r="BL198" s="45">
        <v>16</v>
      </c>
      <c r="BM198" s="46">
        <v>100</v>
      </c>
      <c r="BN198" s="45">
        <v>16</v>
      </c>
    </row>
    <row r="199" spans="1:66" ht="15">
      <c r="A199" s="61" t="s">
        <v>404</v>
      </c>
      <c r="B199" s="61" t="s">
        <v>414</v>
      </c>
      <c r="C199" s="62"/>
      <c r="D199" s="63"/>
      <c r="E199" s="62"/>
      <c r="F199" s="65"/>
      <c r="G199" s="62"/>
      <c r="H199" s="66"/>
      <c r="I199" s="67"/>
      <c r="J199" s="67"/>
      <c r="K199" s="31" t="s">
        <v>65</v>
      </c>
      <c r="L199" s="68">
        <v>307</v>
      </c>
      <c r="M199" s="68"/>
      <c r="N199" s="69"/>
      <c r="O199" s="76" t="s">
        <v>586</v>
      </c>
      <c r="P199" s="78">
        <v>44819.024513888886</v>
      </c>
      <c r="Q199" s="76" t="s">
        <v>716</v>
      </c>
      <c r="R199" s="76"/>
      <c r="S199" s="76"/>
      <c r="T199" s="81" t="s">
        <v>819</v>
      </c>
      <c r="U199" s="79" t="str">
        <f>HYPERLINK("https://pbs.twimg.com/media/FcpmLrCWQAEizKT.jpg")</f>
        <v>https://pbs.twimg.com/media/FcpmLrCWQAEizKT.jpg</v>
      </c>
      <c r="V199" s="79" t="str">
        <f>HYPERLINK("https://pbs.twimg.com/media/FcpmLrCWQAEizKT.jpg")</f>
        <v>https://pbs.twimg.com/media/FcpmLrCWQAEizKT.jpg</v>
      </c>
      <c r="W199" s="78">
        <v>44819.024513888886</v>
      </c>
      <c r="X199" s="84">
        <v>44819</v>
      </c>
      <c r="Y199" s="81" t="s">
        <v>1091</v>
      </c>
      <c r="Z199" s="79" t="str">
        <f>HYPERLINK("https://twitter.com/cnyana322/status/1570209609507565569")</f>
        <v>https://twitter.com/cnyana322/status/1570209609507565569</v>
      </c>
      <c r="AA199" s="76"/>
      <c r="AB199" s="76"/>
      <c r="AC199" s="81" t="s">
        <v>1422</v>
      </c>
      <c r="AD199" s="76"/>
      <c r="AE199" s="76" t="b">
        <v>0</v>
      </c>
      <c r="AF199" s="76">
        <v>0</v>
      </c>
      <c r="AG199" s="81" t="s">
        <v>1674</v>
      </c>
      <c r="AH199" s="76" t="b">
        <v>0</v>
      </c>
      <c r="AI199" s="76" t="s">
        <v>1771</v>
      </c>
      <c r="AJ199" s="76"/>
      <c r="AK199" s="81" t="s">
        <v>1674</v>
      </c>
      <c r="AL199" s="76" t="b">
        <v>0</v>
      </c>
      <c r="AM199" s="76">
        <v>3</v>
      </c>
      <c r="AN199" s="81" t="s">
        <v>1460</v>
      </c>
      <c r="AO199" s="81" t="s">
        <v>1808</v>
      </c>
      <c r="AP199" s="76" t="b">
        <v>0</v>
      </c>
      <c r="AQ199" s="81" t="s">
        <v>1460</v>
      </c>
      <c r="AR199" s="76" t="s">
        <v>219</v>
      </c>
      <c r="AS199" s="76">
        <v>0</v>
      </c>
      <c r="AT199" s="76">
        <v>0</v>
      </c>
      <c r="AU199" s="76"/>
      <c r="AV199" s="76"/>
      <c r="AW199" s="76"/>
      <c r="AX199" s="76"/>
      <c r="AY199" s="76"/>
      <c r="AZ199" s="76"/>
      <c r="BA199" s="76"/>
      <c r="BB199" s="76"/>
      <c r="BC199">
        <v>1</v>
      </c>
      <c r="BD199" s="75" t="str">
        <f>REPLACE(INDEX(GroupVertices[Group],MATCH(Edges25[[#This Row],[Vertex 1]],GroupVertices[Vertex],0)),1,1,"")</f>
        <v>3</v>
      </c>
      <c r="BE199" s="75" t="str">
        <f>REPLACE(INDEX(GroupVertices[Group],MATCH(Edges25[[#This Row],[Vertex 2]],GroupVertices[Vertex],0)),1,1,"")</f>
        <v>3</v>
      </c>
      <c r="BF199" s="45">
        <v>0</v>
      </c>
      <c r="BG199" s="46">
        <v>0</v>
      </c>
      <c r="BH199" s="45">
        <v>0</v>
      </c>
      <c r="BI199" s="46">
        <v>0</v>
      </c>
      <c r="BJ199" s="45">
        <v>0</v>
      </c>
      <c r="BK199" s="46">
        <v>0</v>
      </c>
      <c r="BL199" s="45">
        <v>10</v>
      </c>
      <c r="BM199" s="46">
        <v>100</v>
      </c>
      <c r="BN199" s="45">
        <v>10</v>
      </c>
    </row>
    <row r="200" spans="1:66" ht="15">
      <c r="A200" s="61" t="s">
        <v>405</v>
      </c>
      <c r="B200" s="61" t="s">
        <v>544</v>
      </c>
      <c r="C200" s="62"/>
      <c r="D200" s="63"/>
      <c r="E200" s="62"/>
      <c r="F200" s="65"/>
      <c r="G200" s="62"/>
      <c r="H200" s="66"/>
      <c r="I200" s="67"/>
      <c r="J200" s="67"/>
      <c r="K200" s="31" t="s">
        <v>65</v>
      </c>
      <c r="L200" s="68">
        <v>308</v>
      </c>
      <c r="M200" s="68"/>
      <c r="N200" s="69"/>
      <c r="O200" s="76" t="s">
        <v>587</v>
      </c>
      <c r="P200" s="78">
        <v>44819.34898148148</v>
      </c>
      <c r="Q200" s="76" t="s">
        <v>718</v>
      </c>
      <c r="R200" s="76"/>
      <c r="S200" s="76"/>
      <c r="T200" s="81" t="s">
        <v>795</v>
      </c>
      <c r="U200" s="76"/>
      <c r="V200" s="79" t="str">
        <f>HYPERLINK("https://pbs.twimg.com/profile_images/1568827986241011713/IP20qKm__normal.jpg")</f>
        <v>https://pbs.twimg.com/profile_images/1568827986241011713/IP20qKm__normal.jpg</v>
      </c>
      <c r="W200" s="78">
        <v>44819.34898148148</v>
      </c>
      <c r="X200" s="84">
        <v>44819</v>
      </c>
      <c r="Y200" s="81" t="s">
        <v>1092</v>
      </c>
      <c r="Z200" s="79" t="str">
        <f>HYPERLINK("https://twitter.com/tuk95993809/status/1570327193804234756")</f>
        <v>https://twitter.com/tuk95993809/status/1570327193804234756</v>
      </c>
      <c r="AA200" s="76"/>
      <c r="AB200" s="76"/>
      <c r="AC200" s="81" t="s">
        <v>1423</v>
      </c>
      <c r="AD200" s="81" t="s">
        <v>1627</v>
      </c>
      <c r="AE200" s="76" t="b">
        <v>0</v>
      </c>
      <c r="AF200" s="76">
        <v>0</v>
      </c>
      <c r="AG200" s="81" t="s">
        <v>1735</v>
      </c>
      <c r="AH200" s="76" t="b">
        <v>0</v>
      </c>
      <c r="AI200" s="76" t="s">
        <v>1772</v>
      </c>
      <c r="AJ200" s="76"/>
      <c r="AK200" s="81" t="s">
        <v>1674</v>
      </c>
      <c r="AL200" s="76" t="b">
        <v>0</v>
      </c>
      <c r="AM200" s="76">
        <v>0</v>
      </c>
      <c r="AN200" s="81" t="s">
        <v>1674</v>
      </c>
      <c r="AO200" s="81" t="s">
        <v>1809</v>
      </c>
      <c r="AP200" s="76" t="b">
        <v>0</v>
      </c>
      <c r="AQ200" s="81" t="s">
        <v>1627</v>
      </c>
      <c r="AR200" s="76" t="s">
        <v>219</v>
      </c>
      <c r="AS200" s="76">
        <v>0</v>
      </c>
      <c r="AT200" s="76">
        <v>0</v>
      </c>
      <c r="AU200" s="76"/>
      <c r="AV200" s="76"/>
      <c r="AW200" s="76"/>
      <c r="AX200" s="76"/>
      <c r="AY200" s="76"/>
      <c r="AZ200" s="76"/>
      <c r="BA200" s="76"/>
      <c r="BB200" s="76"/>
      <c r="BC200">
        <v>1</v>
      </c>
      <c r="BD200" s="75" t="str">
        <f>REPLACE(INDEX(GroupVertices[Group],MATCH(Edges25[[#This Row],[Vertex 1]],GroupVertices[Vertex],0)),1,1,"")</f>
        <v>39</v>
      </c>
      <c r="BE200" s="75" t="str">
        <f>REPLACE(INDEX(GroupVertices[Group],MATCH(Edges25[[#This Row],[Vertex 2]],GroupVertices[Vertex],0)),1,1,"")</f>
        <v>39</v>
      </c>
      <c r="BF200" s="45">
        <v>0</v>
      </c>
      <c r="BG200" s="46">
        <v>0</v>
      </c>
      <c r="BH200" s="45">
        <v>0</v>
      </c>
      <c r="BI200" s="46">
        <v>0</v>
      </c>
      <c r="BJ200" s="45">
        <v>0</v>
      </c>
      <c r="BK200" s="46">
        <v>0</v>
      </c>
      <c r="BL200" s="45">
        <v>17</v>
      </c>
      <c r="BM200" s="46">
        <v>100</v>
      </c>
      <c r="BN200" s="45">
        <v>17</v>
      </c>
    </row>
    <row r="201" spans="1:66" ht="15">
      <c r="A201" s="61" t="s">
        <v>406</v>
      </c>
      <c r="B201" s="61" t="s">
        <v>414</v>
      </c>
      <c r="C201" s="62"/>
      <c r="D201" s="63"/>
      <c r="E201" s="62"/>
      <c r="F201" s="65"/>
      <c r="G201" s="62"/>
      <c r="H201" s="66"/>
      <c r="I201" s="67"/>
      <c r="J201" s="67"/>
      <c r="K201" s="31" t="s">
        <v>65</v>
      </c>
      <c r="L201" s="68">
        <v>309</v>
      </c>
      <c r="M201" s="68"/>
      <c r="N201" s="69"/>
      <c r="O201" s="76" t="s">
        <v>586</v>
      </c>
      <c r="P201" s="78">
        <v>44819.356307870374</v>
      </c>
      <c r="Q201" s="76" t="s">
        <v>714</v>
      </c>
      <c r="R201" s="76"/>
      <c r="S201" s="76"/>
      <c r="T201" s="81" t="s">
        <v>857</v>
      </c>
      <c r="U201" s="79" t="str">
        <f>HYPERLINK("https://pbs.twimg.com/media/Fco1Im5WAAwCNtd.jpg")</f>
        <v>https://pbs.twimg.com/media/Fco1Im5WAAwCNtd.jpg</v>
      </c>
      <c r="V201" s="79" t="str">
        <f>HYPERLINK("https://pbs.twimg.com/media/Fco1Im5WAAwCNtd.jpg")</f>
        <v>https://pbs.twimg.com/media/Fco1Im5WAAwCNtd.jpg</v>
      </c>
      <c r="W201" s="78">
        <v>44819.356307870374</v>
      </c>
      <c r="X201" s="84">
        <v>44819</v>
      </c>
      <c r="Y201" s="81" t="s">
        <v>1093</v>
      </c>
      <c r="Z201" s="79" t="str">
        <f>HYPERLINK("https://twitter.com/arasdal7/status/1570329845804011525")</f>
        <v>https://twitter.com/arasdal7/status/1570329845804011525</v>
      </c>
      <c r="AA201" s="76"/>
      <c r="AB201" s="76"/>
      <c r="AC201" s="81" t="s">
        <v>1424</v>
      </c>
      <c r="AD201" s="76"/>
      <c r="AE201" s="76" t="b">
        <v>0</v>
      </c>
      <c r="AF201" s="76">
        <v>0</v>
      </c>
      <c r="AG201" s="81" t="s">
        <v>1674</v>
      </c>
      <c r="AH201" s="76" t="b">
        <v>0</v>
      </c>
      <c r="AI201" s="76" t="s">
        <v>1783</v>
      </c>
      <c r="AJ201" s="76"/>
      <c r="AK201" s="81" t="s">
        <v>1674</v>
      </c>
      <c r="AL201" s="76" t="b">
        <v>0</v>
      </c>
      <c r="AM201" s="76">
        <v>3</v>
      </c>
      <c r="AN201" s="81" t="s">
        <v>1459</v>
      </c>
      <c r="AO201" s="81" t="s">
        <v>1808</v>
      </c>
      <c r="AP201" s="76" t="b">
        <v>0</v>
      </c>
      <c r="AQ201" s="81" t="s">
        <v>1459</v>
      </c>
      <c r="AR201" s="76" t="s">
        <v>219</v>
      </c>
      <c r="AS201" s="76">
        <v>0</v>
      </c>
      <c r="AT201" s="76">
        <v>0</v>
      </c>
      <c r="AU201" s="76"/>
      <c r="AV201" s="76"/>
      <c r="AW201" s="76"/>
      <c r="AX201" s="76"/>
      <c r="AY201" s="76"/>
      <c r="AZ201" s="76"/>
      <c r="BA201" s="76"/>
      <c r="BB201" s="76"/>
      <c r="BC201">
        <v>1</v>
      </c>
      <c r="BD201" s="75" t="str">
        <f>REPLACE(INDEX(GroupVertices[Group],MATCH(Edges25[[#This Row],[Vertex 1]],GroupVertices[Vertex],0)),1,1,"")</f>
        <v>3</v>
      </c>
      <c r="BE201" s="75" t="str">
        <f>REPLACE(INDEX(GroupVertices[Group],MATCH(Edges25[[#This Row],[Vertex 2]],GroupVertices[Vertex],0)),1,1,"")</f>
        <v>3</v>
      </c>
      <c r="BF201" s="45">
        <v>0</v>
      </c>
      <c r="BG201" s="46">
        <v>0</v>
      </c>
      <c r="BH201" s="45">
        <v>0</v>
      </c>
      <c r="BI201" s="46">
        <v>0</v>
      </c>
      <c r="BJ201" s="45">
        <v>0</v>
      </c>
      <c r="BK201" s="46">
        <v>0</v>
      </c>
      <c r="BL201" s="45">
        <v>5</v>
      </c>
      <c r="BM201" s="46">
        <v>100</v>
      </c>
      <c r="BN201" s="45">
        <v>5</v>
      </c>
    </row>
    <row r="202" spans="1:66" ht="15">
      <c r="A202" s="61" t="s">
        <v>407</v>
      </c>
      <c r="B202" s="61" t="s">
        <v>407</v>
      </c>
      <c r="C202" s="62"/>
      <c r="D202" s="63"/>
      <c r="E202" s="62"/>
      <c r="F202" s="65"/>
      <c r="G202" s="62"/>
      <c r="H202" s="66"/>
      <c r="I202" s="67"/>
      <c r="J202" s="67"/>
      <c r="K202" s="31" t="s">
        <v>65</v>
      </c>
      <c r="L202" s="68">
        <v>310</v>
      </c>
      <c r="M202" s="68"/>
      <c r="N202" s="69"/>
      <c r="O202" s="76" t="s">
        <v>219</v>
      </c>
      <c r="P202" s="78">
        <v>44819.36394675926</v>
      </c>
      <c r="Q202" s="76" t="s">
        <v>719</v>
      </c>
      <c r="R202" s="79" t="str">
        <f>HYPERLINK("https://twitter.com/DmitryEvic/status/1570320429495226371")</f>
        <v>https://twitter.com/DmitryEvic/status/1570320429495226371</v>
      </c>
      <c r="S202" s="76" t="s">
        <v>783</v>
      </c>
      <c r="T202" s="81" t="s">
        <v>795</v>
      </c>
      <c r="U202" s="76"/>
      <c r="V202" s="79" t="str">
        <f>HYPERLINK("https://pbs.twimg.com/profile_images/1242761071749890048/s64OEQOZ_normal.jpg")</f>
        <v>https://pbs.twimg.com/profile_images/1242761071749890048/s64OEQOZ_normal.jpg</v>
      </c>
      <c r="W202" s="78">
        <v>44819.36394675926</v>
      </c>
      <c r="X202" s="84">
        <v>44819</v>
      </c>
      <c r="Y202" s="81" t="s">
        <v>1094</v>
      </c>
      <c r="Z202" s="79" t="str">
        <f>HYPERLINK("https://twitter.com/evabergamo/status/1570332613533118464")</f>
        <v>https://twitter.com/evabergamo/status/1570332613533118464</v>
      </c>
      <c r="AA202" s="76"/>
      <c r="AB202" s="76"/>
      <c r="AC202" s="81" t="s">
        <v>1425</v>
      </c>
      <c r="AD202" s="76"/>
      <c r="AE202" s="76" t="b">
        <v>0</v>
      </c>
      <c r="AF202" s="76">
        <v>0</v>
      </c>
      <c r="AG202" s="81" t="s">
        <v>1674</v>
      </c>
      <c r="AH202" s="76" t="b">
        <v>1</v>
      </c>
      <c r="AI202" s="76" t="s">
        <v>1773</v>
      </c>
      <c r="AJ202" s="76"/>
      <c r="AK202" s="81" t="s">
        <v>1804</v>
      </c>
      <c r="AL202" s="76" t="b">
        <v>0</v>
      </c>
      <c r="AM202" s="76">
        <v>0</v>
      </c>
      <c r="AN202" s="81" t="s">
        <v>1674</v>
      </c>
      <c r="AO202" s="81" t="s">
        <v>1808</v>
      </c>
      <c r="AP202" s="76" t="b">
        <v>0</v>
      </c>
      <c r="AQ202" s="81" t="s">
        <v>1425</v>
      </c>
      <c r="AR202" s="76" t="s">
        <v>219</v>
      </c>
      <c r="AS202" s="76">
        <v>0</v>
      </c>
      <c r="AT202" s="76">
        <v>0</v>
      </c>
      <c r="AU202" s="76"/>
      <c r="AV202" s="76"/>
      <c r="AW202" s="76"/>
      <c r="AX202" s="76"/>
      <c r="AY202" s="76"/>
      <c r="AZ202" s="76"/>
      <c r="BA202" s="76"/>
      <c r="BB202" s="76"/>
      <c r="BC202">
        <v>1</v>
      </c>
      <c r="BD202" s="75" t="str">
        <f>REPLACE(INDEX(GroupVertices[Group],MATCH(Edges25[[#This Row],[Vertex 1]],GroupVertices[Vertex],0)),1,1,"")</f>
        <v>2</v>
      </c>
      <c r="BE202" s="75" t="str">
        <f>REPLACE(INDEX(GroupVertices[Group],MATCH(Edges25[[#This Row],[Vertex 2]],GroupVertices[Vertex],0)),1,1,"")</f>
        <v>2</v>
      </c>
      <c r="BF202" s="45">
        <v>0</v>
      </c>
      <c r="BG202" s="46">
        <v>0</v>
      </c>
      <c r="BH202" s="45">
        <v>0</v>
      </c>
      <c r="BI202" s="46">
        <v>0</v>
      </c>
      <c r="BJ202" s="45">
        <v>0</v>
      </c>
      <c r="BK202" s="46">
        <v>0</v>
      </c>
      <c r="BL202" s="45">
        <v>1</v>
      </c>
      <c r="BM202" s="46">
        <v>100</v>
      </c>
      <c r="BN202" s="45">
        <v>1</v>
      </c>
    </row>
    <row r="203" spans="1:66" ht="15">
      <c r="A203" s="61" t="s">
        <v>408</v>
      </c>
      <c r="B203" s="61" t="s">
        <v>414</v>
      </c>
      <c r="C203" s="62"/>
      <c r="D203" s="63"/>
      <c r="E203" s="62"/>
      <c r="F203" s="65"/>
      <c r="G203" s="62"/>
      <c r="H203" s="66"/>
      <c r="I203" s="67"/>
      <c r="J203" s="67"/>
      <c r="K203" s="31" t="s">
        <v>65</v>
      </c>
      <c r="L203" s="68">
        <v>311</v>
      </c>
      <c r="M203" s="68"/>
      <c r="N203" s="69"/>
      <c r="O203" s="76" t="s">
        <v>586</v>
      </c>
      <c r="P203" s="78">
        <v>44811.77967592593</v>
      </c>
      <c r="Q203" s="76" t="s">
        <v>590</v>
      </c>
      <c r="R203" s="76"/>
      <c r="S203" s="76"/>
      <c r="T203" s="81" t="s">
        <v>793</v>
      </c>
      <c r="U203" s="79" t="str">
        <f>HYPERLINK("https://pbs.twimg.com/media/FcCNOtRX0AMZ0JE.jpg")</f>
        <v>https://pbs.twimg.com/media/FcCNOtRX0AMZ0JE.jpg</v>
      </c>
      <c r="V203" s="79" t="str">
        <f>HYPERLINK("https://pbs.twimg.com/media/FcCNOtRX0AMZ0JE.jpg")</f>
        <v>https://pbs.twimg.com/media/FcCNOtRX0AMZ0JE.jpg</v>
      </c>
      <c r="W203" s="78">
        <v>44811.77967592593</v>
      </c>
      <c r="X203" s="84">
        <v>44811</v>
      </c>
      <c r="Y203" s="81" t="s">
        <v>1095</v>
      </c>
      <c r="Z203" s="79" t="str">
        <f>HYPERLINK("https://twitter.com/star48625796202/status/1567584166719492096")</f>
        <v>https://twitter.com/star48625796202/status/1567584166719492096</v>
      </c>
      <c r="AA203" s="76"/>
      <c r="AB203" s="76"/>
      <c r="AC203" s="81" t="s">
        <v>1426</v>
      </c>
      <c r="AD203" s="76"/>
      <c r="AE203" s="76" t="b">
        <v>0</v>
      </c>
      <c r="AF203" s="76">
        <v>0</v>
      </c>
      <c r="AG203" s="81" t="s">
        <v>1674</v>
      </c>
      <c r="AH203" s="76" t="b">
        <v>0</v>
      </c>
      <c r="AI203" s="76" t="s">
        <v>1771</v>
      </c>
      <c r="AJ203" s="76"/>
      <c r="AK203" s="81" t="s">
        <v>1674</v>
      </c>
      <c r="AL203" s="76" t="b">
        <v>0</v>
      </c>
      <c r="AM203" s="76">
        <v>3</v>
      </c>
      <c r="AN203" s="81" t="s">
        <v>1447</v>
      </c>
      <c r="AO203" s="81" t="s">
        <v>1809</v>
      </c>
      <c r="AP203" s="76" t="b">
        <v>0</v>
      </c>
      <c r="AQ203" s="81" t="s">
        <v>1447</v>
      </c>
      <c r="AR203" s="76" t="s">
        <v>219</v>
      </c>
      <c r="AS203" s="76">
        <v>0</v>
      </c>
      <c r="AT203" s="76">
        <v>0</v>
      </c>
      <c r="AU203" s="76"/>
      <c r="AV203" s="76"/>
      <c r="AW203" s="76"/>
      <c r="AX203" s="76"/>
      <c r="AY203" s="76"/>
      <c r="AZ203" s="76"/>
      <c r="BA203" s="76"/>
      <c r="BB203" s="76"/>
      <c r="BC203">
        <v>12</v>
      </c>
      <c r="BD203" s="75" t="str">
        <f>REPLACE(INDEX(GroupVertices[Group],MATCH(Edges25[[#This Row],[Vertex 1]],GroupVertices[Vertex],0)),1,1,"")</f>
        <v>3</v>
      </c>
      <c r="BE203" s="75" t="str">
        <f>REPLACE(INDEX(GroupVertices[Group],MATCH(Edges25[[#This Row],[Vertex 2]],GroupVertices[Vertex],0)),1,1,"")</f>
        <v>3</v>
      </c>
      <c r="BF203" s="45">
        <v>0</v>
      </c>
      <c r="BG203" s="46">
        <v>0</v>
      </c>
      <c r="BH203" s="45">
        <v>0</v>
      </c>
      <c r="BI203" s="46">
        <v>0</v>
      </c>
      <c r="BJ203" s="45">
        <v>0</v>
      </c>
      <c r="BK203" s="46">
        <v>0</v>
      </c>
      <c r="BL203" s="45">
        <v>12</v>
      </c>
      <c r="BM203" s="46">
        <v>100</v>
      </c>
      <c r="BN203" s="45">
        <v>12</v>
      </c>
    </row>
    <row r="204" spans="1:66" ht="15">
      <c r="A204" s="61" t="s">
        <v>408</v>
      </c>
      <c r="B204" s="61" t="s">
        <v>414</v>
      </c>
      <c r="C204" s="62"/>
      <c r="D204" s="63"/>
      <c r="E204" s="62"/>
      <c r="F204" s="65"/>
      <c r="G204" s="62"/>
      <c r="H204" s="66"/>
      <c r="I204" s="67"/>
      <c r="J204" s="67"/>
      <c r="K204" s="31" t="s">
        <v>65</v>
      </c>
      <c r="L204" s="68">
        <v>312</v>
      </c>
      <c r="M204" s="68"/>
      <c r="N204" s="69"/>
      <c r="O204" s="76" t="s">
        <v>586</v>
      </c>
      <c r="P204" s="78">
        <v>44814.89787037037</v>
      </c>
      <c r="Q204" s="76" t="s">
        <v>632</v>
      </c>
      <c r="R204" s="76"/>
      <c r="S204" s="76"/>
      <c r="T204" s="81" t="s">
        <v>819</v>
      </c>
      <c r="U204" s="76"/>
      <c r="V204" s="79" t="str">
        <f>HYPERLINK("https://abs.twimg.com/sticky/default_profile_images/default_profile_normal.png")</f>
        <v>https://abs.twimg.com/sticky/default_profile_images/default_profile_normal.png</v>
      </c>
      <c r="W204" s="78">
        <v>44814.89787037037</v>
      </c>
      <c r="X204" s="84">
        <v>44814</v>
      </c>
      <c r="Y204" s="81" t="s">
        <v>1096</v>
      </c>
      <c r="Z204" s="79" t="str">
        <f>HYPERLINK("https://twitter.com/star48625796202/status/1568714165241487363")</f>
        <v>https://twitter.com/star48625796202/status/1568714165241487363</v>
      </c>
      <c r="AA204" s="76"/>
      <c r="AB204" s="76"/>
      <c r="AC204" s="81" t="s">
        <v>1427</v>
      </c>
      <c r="AD204" s="76"/>
      <c r="AE204" s="76" t="b">
        <v>0</v>
      </c>
      <c r="AF204" s="76">
        <v>0</v>
      </c>
      <c r="AG204" s="81" t="s">
        <v>1674</v>
      </c>
      <c r="AH204" s="76" t="b">
        <v>0</v>
      </c>
      <c r="AI204" s="76" t="s">
        <v>1771</v>
      </c>
      <c r="AJ204" s="76"/>
      <c r="AK204" s="81" t="s">
        <v>1674</v>
      </c>
      <c r="AL204" s="76" t="b">
        <v>0</v>
      </c>
      <c r="AM204" s="76">
        <v>4</v>
      </c>
      <c r="AN204" s="81" t="s">
        <v>1450</v>
      </c>
      <c r="AO204" s="81" t="s">
        <v>1809</v>
      </c>
      <c r="AP204" s="76" t="b">
        <v>0</v>
      </c>
      <c r="AQ204" s="81" t="s">
        <v>1450</v>
      </c>
      <c r="AR204" s="76" t="s">
        <v>219</v>
      </c>
      <c r="AS204" s="76">
        <v>0</v>
      </c>
      <c r="AT204" s="76">
        <v>0</v>
      </c>
      <c r="AU204" s="76"/>
      <c r="AV204" s="76"/>
      <c r="AW204" s="76"/>
      <c r="AX204" s="76"/>
      <c r="AY204" s="76"/>
      <c r="AZ204" s="76"/>
      <c r="BA204" s="76"/>
      <c r="BB204" s="76"/>
      <c r="BC204">
        <v>12</v>
      </c>
      <c r="BD204" s="75" t="str">
        <f>REPLACE(INDEX(GroupVertices[Group],MATCH(Edges25[[#This Row],[Vertex 1]],GroupVertices[Vertex],0)),1,1,"")</f>
        <v>3</v>
      </c>
      <c r="BE204" s="75" t="str">
        <f>REPLACE(INDEX(GroupVertices[Group],MATCH(Edges25[[#This Row],[Vertex 2]],GroupVertices[Vertex],0)),1,1,"")</f>
        <v>3</v>
      </c>
      <c r="BF204" s="45">
        <v>0</v>
      </c>
      <c r="BG204" s="46">
        <v>0</v>
      </c>
      <c r="BH204" s="45">
        <v>0</v>
      </c>
      <c r="BI204" s="46">
        <v>0</v>
      </c>
      <c r="BJ204" s="45">
        <v>0</v>
      </c>
      <c r="BK204" s="46">
        <v>0</v>
      </c>
      <c r="BL204" s="45">
        <v>5</v>
      </c>
      <c r="BM204" s="46">
        <v>100</v>
      </c>
      <c r="BN204" s="45">
        <v>5</v>
      </c>
    </row>
    <row r="205" spans="1:66" ht="15">
      <c r="A205" s="61" t="s">
        <v>408</v>
      </c>
      <c r="B205" s="61" t="s">
        <v>414</v>
      </c>
      <c r="C205" s="62"/>
      <c r="D205" s="63"/>
      <c r="E205" s="62"/>
      <c r="F205" s="65"/>
      <c r="G205" s="62"/>
      <c r="H205" s="66"/>
      <c r="I205" s="67"/>
      <c r="J205" s="67"/>
      <c r="K205" s="31" t="s">
        <v>65</v>
      </c>
      <c r="L205" s="68">
        <v>313</v>
      </c>
      <c r="M205" s="68"/>
      <c r="N205" s="69"/>
      <c r="O205" s="76" t="s">
        <v>586</v>
      </c>
      <c r="P205" s="78">
        <v>44816.36386574074</v>
      </c>
      <c r="Q205" s="76" t="s">
        <v>657</v>
      </c>
      <c r="R205" s="76"/>
      <c r="S205" s="76"/>
      <c r="T205" s="81" t="s">
        <v>819</v>
      </c>
      <c r="U205" s="76"/>
      <c r="V205" s="79" t="str">
        <f>HYPERLINK("https://abs.twimg.com/sticky/default_profile_images/default_profile_normal.png")</f>
        <v>https://abs.twimg.com/sticky/default_profile_images/default_profile_normal.png</v>
      </c>
      <c r="W205" s="78">
        <v>44816.36386574074</v>
      </c>
      <c r="X205" s="84">
        <v>44816</v>
      </c>
      <c r="Y205" s="81" t="s">
        <v>1097</v>
      </c>
      <c r="Z205" s="79" t="str">
        <f>HYPERLINK("https://twitter.com/star48625796202/status/1569245422165655555")</f>
        <v>https://twitter.com/star48625796202/status/1569245422165655555</v>
      </c>
      <c r="AA205" s="76"/>
      <c r="AB205" s="76"/>
      <c r="AC205" s="81" t="s">
        <v>1428</v>
      </c>
      <c r="AD205" s="76"/>
      <c r="AE205" s="76" t="b">
        <v>0</v>
      </c>
      <c r="AF205" s="76">
        <v>0</v>
      </c>
      <c r="AG205" s="81" t="s">
        <v>1674</v>
      </c>
      <c r="AH205" s="76" t="b">
        <v>0</v>
      </c>
      <c r="AI205" s="76" t="s">
        <v>1771</v>
      </c>
      <c r="AJ205" s="76"/>
      <c r="AK205" s="81" t="s">
        <v>1674</v>
      </c>
      <c r="AL205" s="76" t="b">
        <v>0</v>
      </c>
      <c r="AM205" s="76">
        <v>2</v>
      </c>
      <c r="AN205" s="81" t="s">
        <v>1451</v>
      </c>
      <c r="AO205" s="81" t="s">
        <v>1809</v>
      </c>
      <c r="AP205" s="76" t="b">
        <v>0</v>
      </c>
      <c r="AQ205" s="81" t="s">
        <v>1451</v>
      </c>
      <c r="AR205" s="76" t="s">
        <v>219</v>
      </c>
      <c r="AS205" s="76">
        <v>0</v>
      </c>
      <c r="AT205" s="76">
        <v>0</v>
      </c>
      <c r="AU205" s="76"/>
      <c r="AV205" s="76"/>
      <c r="AW205" s="76"/>
      <c r="AX205" s="76"/>
      <c r="AY205" s="76"/>
      <c r="AZ205" s="76"/>
      <c r="BA205" s="76"/>
      <c r="BB205" s="76"/>
      <c r="BC205">
        <v>12</v>
      </c>
      <c r="BD205" s="75" t="str">
        <f>REPLACE(INDEX(GroupVertices[Group],MATCH(Edges25[[#This Row],[Vertex 1]],GroupVertices[Vertex],0)),1,1,"")</f>
        <v>3</v>
      </c>
      <c r="BE205" s="75" t="str">
        <f>REPLACE(INDEX(GroupVertices[Group],MATCH(Edges25[[#This Row],[Vertex 2]],GroupVertices[Vertex],0)),1,1,"")</f>
        <v>3</v>
      </c>
      <c r="BF205" s="45">
        <v>0</v>
      </c>
      <c r="BG205" s="46">
        <v>0</v>
      </c>
      <c r="BH205" s="45">
        <v>0</v>
      </c>
      <c r="BI205" s="46">
        <v>0</v>
      </c>
      <c r="BJ205" s="45">
        <v>0</v>
      </c>
      <c r="BK205" s="46">
        <v>0</v>
      </c>
      <c r="BL205" s="45">
        <v>20</v>
      </c>
      <c r="BM205" s="46">
        <v>100</v>
      </c>
      <c r="BN205" s="45">
        <v>20</v>
      </c>
    </row>
    <row r="206" spans="1:66" ht="15">
      <c r="A206" s="61" t="s">
        <v>408</v>
      </c>
      <c r="B206" s="61" t="s">
        <v>414</v>
      </c>
      <c r="C206" s="62"/>
      <c r="D206" s="63"/>
      <c r="E206" s="62"/>
      <c r="F206" s="65"/>
      <c r="G206" s="62"/>
      <c r="H206" s="66"/>
      <c r="I206" s="67"/>
      <c r="J206" s="67"/>
      <c r="K206" s="31" t="s">
        <v>65</v>
      </c>
      <c r="L206" s="68">
        <v>314</v>
      </c>
      <c r="M206" s="68"/>
      <c r="N206" s="69"/>
      <c r="O206" s="76" t="s">
        <v>586</v>
      </c>
      <c r="P206" s="78">
        <v>44816.55152777778</v>
      </c>
      <c r="Q206" s="76" t="s">
        <v>713</v>
      </c>
      <c r="R206" s="76"/>
      <c r="S206" s="76"/>
      <c r="T206" s="81" t="s">
        <v>819</v>
      </c>
      <c r="U206" s="79" t="str">
        <f>HYPERLINK("https://pbs.twimg.com/ext_tw_video_thumb/1569282039861452802/pu/img/hpYkNNY2FvFNCj_Q.jpg")</f>
        <v>https://pbs.twimg.com/ext_tw_video_thumb/1569282039861452802/pu/img/hpYkNNY2FvFNCj_Q.jpg</v>
      </c>
      <c r="V206" s="79" t="str">
        <f>HYPERLINK("https://pbs.twimg.com/ext_tw_video_thumb/1569282039861452802/pu/img/hpYkNNY2FvFNCj_Q.jpg")</f>
        <v>https://pbs.twimg.com/ext_tw_video_thumb/1569282039861452802/pu/img/hpYkNNY2FvFNCj_Q.jpg</v>
      </c>
      <c r="W206" s="78">
        <v>44816.55152777778</v>
      </c>
      <c r="X206" s="84">
        <v>44816</v>
      </c>
      <c r="Y206" s="81" t="s">
        <v>1098</v>
      </c>
      <c r="Z206" s="79" t="str">
        <f>HYPERLINK("https://twitter.com/star48625796202/status/1569313428002447360")</f>
        <v>https://twitter.com/star48625796202/status/1569313428002447360</v>
      </c>
      <c r="AA206" s="76"/>
      <c r="AB206" s="76"/>
      <c r="AC206" s="81" t="s">
        <v>1429</v>
      </c>
      <c r="AD206" s="76"/>
      <c r="AE206" s="76" t="b">
        <v>0</v>
      </c>
      <c r="AF206" s="76">
        <v>0</v>
      </c>
      <c r="AG206" s="81" t="s">
        <v>1674</v>
      </c>
      <c r="AH206" s="76" t="b">
        <v>0</v>
      </c>
      <c r="AI206" s="76" t="s">
        <v>1771</v>
      </c>
      <c r="AJ206" s="76"/>
      <c r="AK206" s="81" t="s">
        <v>1674</v>
      </c>
      <c r="AL206" s="76" t="b">
        <v>0</v>
      </c>
      <c r="AM206" s="76">
        <v>3</v>
      </c>
      <c r="AN206" s="81" t="s">
        <v>1452</v>
      </c>
      <c r="AO206" s="81" t="s">
        <v>1809</v>
      </c>
      <c r="AP206" s="76" t="b">
        <v>0</v>
      </c>
      <c r="AQ206" s="81" t="s">
        <v>1452</v>
      </c>
      <c r="AR206" s="76" t="s">
        <v>219</v>
      </c>
      <c r="AS206" s="76">
        <v>0</v>
      </c>
      <c r="AT206" s="76">
        <v>0</v>
      </c>
      <c r="AU206" s="76"/>
      <c r="AV206" s="76"/>
      <c r="AW206" s="76"/>
      <c r="AX206" s="76"/>
      <c r="AY206" s="76"/>
      <c r="AZ206" s="76"/>
      <c r="BA206" s="76"/>
      <c r="BB206" s="76"/>
      <c r="BC206">
        <v>12</v>
      </c>
      <c r="BD206" s="75" t="str">
        <f>REPLACE(INDEX(GroupVertices[Group],MATCH(Edges25[[#This Row],[Vertex 1]],GroupVertices[Vertex],0)),1,1,"")</f>
        <v>3</v>
      </c>
      <c r="BE206" s="75" t="str">
        <f>REPLACE(INDEX(GroupVertices[Group],MATCH(Edges25[[#This Row],[Vertex 2]],GroupVertices[Vertex],0)),1,1,"")</f>
        <v>3</v>
      </c>
      <c r="BF206" s="45">
        <v>0</v>
      </c>
      <c r="BG206" s="46">
        <v>0</v>
      </c>
      <c r="BH206" s="45">
        <v>0</v>
      </c>
      <c r="BI206" s="46">
        <v>0</v>
      </c>
      <c r="BJ206" s="45">
        <v>0</v>
      </c>
      <c r="BK206" s="46">
        <v>0</v>
      </c>
      <c r="BL206" s="45">
        <v>12</v>
      </c>
      <c r="BM206" s="46">
        <v>100</v>
      </c>
      <c r="BN206" s="45">
        <v>12</v>
      </c>
    </row>
    <row r="207" spans="1:66" ht="15">
      <c r="A207" s="61" t="s">
        <v>408</v>
      </c>
      <c r="B207" s="61" t="s">
        <v>497</v>
      </c>
      <c r="C207" s="62"/>
      <c r="D207" s="63"/>
      <c r="E207" s="62"/>
      <c r="F207" s="65"/>
      <c r="G207" s="62"/>
      <c r="H207" s="66"/>
      <c r="I207" s="67"/>
      <c r="J207" s="67"/>
      <c r="K207" s="31" t="s">
        <v>65</v>
      </c>
      <c r="L207" s="68">
        <v>315</v>
      </c>
      <c r="M207" s="68"/>
      <c r="N207" s="69"/>
      <c r="O207" s="76" t="s">
        <v>585</v>
      </c>
      <c r="P207" s="78">
        <v>44816.64712962963</v>
      </c>
      <c r="Q207" s="76" t="s">
        <v>686</v>
      </c>
      <c r="R207" s="76"/>
      <c r="S207" s="76"/>
      <c r="T207" s="81" t="s">
        <v>842</v>
      </c>
      <c r="U207" s="79" t="str">
        <f>HYPERLINK("https://pbs.twimg.com/ext_tw_video_thumb/1569314489102630913/pu/img/BR0KDvRYMz2wMx5y.jpg")</f>
        <v>https://pbs.twimg.com/ext_tw_video_thumb/1569314489102630913/pu/img/BR0KDvRYMz2wMx5y.jpg</v>
      </c>
      <c r="V207" s="79" t="str">
        <f>HYPERLINK("https://pbs.twimg.com/ext_tw_video_thumb/1569314489102630913/pu/img/BR0KDvRYMz2wMx5y.jpg")</f>
        <v>https://pbs.twimg.com/ext_tw_video_thumb/1569314489102630913/pu/img/BR0KDvRYMz2wMx5y.jpg</v>
      </c>
      <c r="W207" s="78">
        <v>44816.64712962963</v>
      </c>
      <c r="X207" s="84">
        <v>44816</v>
      </c>
      <c r="Y207" s="81" t="s">
        <v>1099</v>
      </c>
      <c r="Z207" s="79" t="str">
        <f>HYPERLINK("https://twitter.com/star48625796202/status/1569348073012490240")</f>
        <v>https://twitter.com/star48625796202/status/1569348073012490240</v>
      </c>
      <c r="AA207" s="76"/>
      <c r="AB207" s="76"/>
      <c r="AC207" s="81" t="s">
        <v>1430</v>
      </c>
      <c r="AD207" s="76"/>
      <c r="AE207" s="76" t="b">
        <v>0</v>
      </c>
      <c r="AF207" s="76">
        <v>0</v>
      </c>
      <c r="AG207" s="81" t="s">
        <v>1674</v>
      </c>
      <c r="AH207" s="76" t="b">
        <v>0</v>
      </c>
      <c r="AI207" s="76" t="s">
        <v>1771</v>
      </c>
      <c r="AJ207" s="76"/>
      <c r="AK207" s="81" t="s">
        <v>1674</v>
      </c>
      <c r="AL207" s="76" t="b">
        <v>0</v>
      </c>
      <c r="AM207" s="76">
        <v>2</v>
      </c>
      <c r="AN207" s="81" t="s">
        <v>1453</v>
      </c>
      <c r="AO207" s="81" t="s">
        <v>1809</v>
      </c>
      <c r="AP207" s="76" t="b">
        <v>0</v>
      </c>
      <c r="AQ207" s="81" t="s">
        <v>1453</v>
      </c>
      <c r="AR207" s="76" t="s">
        <v>219</v>
      </c>
      <c r="AS207" s="76">
        <v>0</v>
      </c>
      <c r="AT207" s="76">
        <v>0</v>
      </c>
      <c r="AU207" s="76"/>
      <c r="AV207" s="76"/>
      <c r="AW207" s="76"/>
      <c r="AX207" s="76"/>
      <c r="AY207" s="76"/>
      <c r="AZ207" s="76"/>
      <c r="BA207" s="76"/>
      <c r="BB207" s="76"/>
      <c r="BC207">
        <v>1</v>
      </c>
      <c r="BD207" s="75" t="str">
        <f>REPLACE(INDEX(GroupVertices[Group],MATCH(Edges25[[#This Row],[Vertex 1]],GroupVertices[Vertex],0)),1,1,"")</f>
        <v>3</v>
      </c>
      <c r="BE207" s="75" t="str">
        <f>REPLACE(INDEX(GroupVertices[Group],MATCH(Edges25[[#This Row],[Vertex 2]],GroupVertices[Vertex],0)),1,1,"")</f>
        <v>3</v>
      </c>
      <c r="BF207" s="45"/>
      <c r="BG207" s="46"/>
      <c r="BH207" s="45"/>
      <c r="BI207" s="46"/>
      <c r="BJ207" s="45"/>
      <c r="BK207" s="46"/>
      <c r="BL207" s="45"/>
      <c r="BM207" s="46"/>
      <c r="BN207" s="45"/>
    </row>
    <row r="208" spans="1:66" ht="15">
      <c r="A208" s="61" t="s">
        <v>408</v>
      </c>
      <c r="B208" s="61" t="s">
        <v>414</v>
      </c>
      <c r="C208" s="62"/>
      <c r="D208" s="63"/>
      <c r="E208" s="62"/>
      <c r="F208" s="65"/>
      <c r="G208" s="62"/>
      <c r="H208" s="66"/>
      <c r="I208" s="67"/>
      <c r="J208" s="67"/>
      <c r="K208" s="31" t="s">
        <v>65</v>
      </c>
      <c r="L208" s="68">
        <v>317</v>
      </c>
      <c r="M208" s="68"/>
      <c r="N208" s="69"/>
      <c r="O208" s="76" t="s">
        <v>586</v>
      </c>
      <c r="P208" s="78">
        <v>44818.208645833336</v>
      </c>
      <c r="Q208" s="76" t="s">
        <v>720</v>
      </c>
      <c r="R208" s="76"/>
      <c r="S208" s="76"/>
      <c r="T208" s="81" t="s">
        <v>842</v>
      </c>
      <c r="U208" s="76"/>
      <c r="V208" s="79" t="str">
        <f>HYPERLINK("https://abs.twimg.com/sticky/default_profile_images/default_profile_normal.png")</f>
        <v>https://abs.twimg.com/sticky/default_profile_images/default_profile_normal.png</v>
      </c>
      <c r="W208" s="78">
        <v>44818.208645833336</v>
      </c>
      <c r="X208" s="84">
        <v>44818</v>
      </c>
      <c r="Y208" s="81" t="s">
        <v>1100</v>
      </c>
      <c r="Z208" s="79" t="str">
        <f>HYPERLINK("https://twitter.com/star48625796202/status/1569913947133812737")</f>
        <v>https://twitter.com/star48625796202/status/1569913947133812737</v>
      </c>
      <c r="AA208" s="76"/>
      <c r="AB208" s="76"/>
      <c r="AC208" s="81" t="s">
        <v>1431</v>
      </c>
      <c r="AD208" s="76"/>
      <c r="AE208" s="76" t="b">
        <v>0</v>
      </c>
      <c r="AF208" s="76">
        <v>0</v>
      </c>
      <c r="AG208" s="81" t="s">
        <v>1674</v>
      </c>
      <c r="AH208" s="76" t="b">
        <v>0</v>
      </c>
      <c r="AI208" s="76" t="s">
        <v>1771</v>
      </c>
      <c r="AJ208" s="76"/>
      <c r="AK208" s="81" t="s">
        <v>1674</v>
      </c>
      <c r="AL208" s="76" t="b">
        <v>0</v>
      </c>
      <c r="AM208" s="76">
        <v>2</v>
      </c>
      <c r="AN208" s="81" t="s">
        <v>1455</v>
      </c>
      <c r="AO208" s="81" t="s">
        <v>1809</v>
      </c>
      <c r="AP208" s="76" t="b">
        <v>0</v>
      </c>
      <c r="AQ208" s="81" t="s">
        <v>1455</v>
      </c>
      <c r="AR208" s="76" t="s">
        <v>219</v>
      </c>
      <c r="AS208" s="76">
        <v>0</v>
      </c>
      <c r="AT208" s="76">
        <v>0</v>
      </c>
      <c r="AU208" s="76"/>
      <c r="AV208" s="76"/>
      <c r="AW208" s="76"/>
      <c r="AX208" s="76"/>
      <c r="AY208" s="76"/>
      <c r="AZ208" s="76"/>
      <c r="BA208" s="76"/>
      <c r="BB208" s="76"/>
      <c r="BC208">
        <v>12</v>
      </c>
      <c r="BD208" s="75" t="str">
        <f>REPLACE(INDEX(GroupVertices[Group],MATCH(Edges25[[#This Row],[Vertex 1]],GroupVertices[Vertex],0)),1,1,"")</f>
        <v>3</v>
      </c>
      <c r="BE208" s="75" t="str">
        <f>REPLACE(INDEX(GroupVertices[Group],MATCH(Edges25[[#This Row],[Vertex 2]],GroupVertices[Vertex],0)),1,1,"")</f>
        <v>3</v>
      </c>
      <c r="BF208" s="45">
        <v>0</v>
      </c>
      <c r="BG208" s="46">
        <v>0</v>
      </c>
      <c r="BH208" s="45">
        <v>0</v>
      </c>
      <c r="BI208" s="46">
        <v>0</v>
      </c>
      <c r="BJ208" s="45">
        <v>0</v>
      </c>
      <c r="BK208" s="46">
        <v>0</v>
      </c>
      <c r="BL208" s="45">
        <v>31</v>
      </c>
      <c r="BM208" s="46">
        <v>100</v>
      </c>
      <c r="BN208" s="45">
        <v>31</v>
      </c>
    </row>
    <row r="209" spans="1:66" ht="15">
      <c r="A209" s="61" t="s">
        <v>408</v>
      </c>
      <c r="B209" s="61" t="s">
        <v>414</v>
      </c>
      <c r="C209" s="62"/>
      <c r="D209" s="63"/>
      <c r="E209" s="62"/>
      <c r="F209" s="65"/>
      <c r="G209" s="62"/>
      <c r="H209" s="66"/>
      <c r="I209" s="67"/>
      <c r="J209" s="67"/>
      <c r="K209" s="31" t="s">
        <v>65</v>
      </c>
      <c r="L209" s="68">
        <v>318</v>
      </c>
      <c r="M209" s="68"/>
      <c r="N209" s="69"/>
      <c r="O209" s="76" t="s">
        <v>586</v>
      </c>
      <c r="P209" s="78">
        <v>44818.20894675926</v>
      </c>
      <c r="Q209" s="76" t="s">
        <v>687</v>
      </c>
      <c r="R209" s="76"/>
      <c r="S209" s="76"/>
      <c r="T209" s="81" t="s">
        <v>843</v>
      </c>
      <c r="U209" s="79" t="str">
        <f>HYPERLINK("https://pbs.twimg.com/media/FciVAscX0AA7C40.jpg")</f>
        <v>https://pbs.twimg.com/media/FciVAscX0AA7C40.jpg</v>
      </c>
      <c r="V209" s="79" t="str">
        <f>HYPERLINK("https://pbs.twimg.com/media/FciVAscX0AA7C40.jpg")</f>
        <v>https://pbs.twimg.com/media/FciVAscX0AA7C40.jpg</v>
      </c>
      <c r="W209" s="78">
        <v>44818.20894675926</v>
      </c>
      <c r="X209" s="84">
        <v>44818</v>
      </c>
      <c r="Y209" s="81" t="s">
        <v>1101</v>
      </c>
      <c r="Z209" s="79" t="str">
        <f>HYPERLINK("https://twitter.com/star48625796202/status/1569914056672440323")</f>
        <v>https://twitter.com/star48625796202/status/1569914056672440323</v>
      </c>
      <c r="AA209" s="76"/>
      <c r="AB209" s="76"/>
      <c r="AC209" s="81" t="s">
        <v>1432</v>
      </c>
      <c r="AD209" s="76"/>
      <c r="AE209" s="76" t="b">
        <v>0</v>
      </c>
      <c r="AF209" s="76">
        <v>0</v>
      </c>
      <c r="AG209" s="81" t="s">
        <v>1674</v>
      </c>
      <c r="AH209" s="76" t="b">
        <v>0</v>
      </c>
      <c r="AI209" s="76" t="s">
        <v>1771</v>
      </c>
      <c r="AJ209" s="76"/>
      <c r="AK209" s="81" t="s">
        <v>1674</v>
      </c>
      <c r="AL209" s="76" t="b">
        <v>0</v>
      </c>
      <c r="AM209" s="76">
        <v>2</v>
      </c>
      <c r="AN209" s="81" t="s">
        <v>1454</v>
      </c>
      <c r="AO209" s="81" t="s">
        <v>1809</v>
      </c>
      <c r="AP209" s="76" t="b">
        <v>0</v>
      </c>
      <c r="AQ209" s="81" t="s">
        <v>1454</v>
      </c>
      <c r="AR209" s="76" t="s">
        <v>219</v>
      </c>
      <c r="AS209" s="76">
        <v>0</v>
      </c>
      <c r="AT209" s="76">
        <v>0</v>
      </c>
      <c r="AU209" s="76"/>
      <c r="AV209" s="76"/>
      <c r="AW209" s="76"/>
      <c r="AX209" s="76"/>
      <c r="AY209" s="76"/>
      <c r="AZ209" s="76"/>
      <c r="BA209" s="76"/>
      <c r="BB209" s="76"/>
      <c r="BC209">
        <v>12</v>
      </c>
      <c r="BD209" s="75" t="str">
        <f>REPLACE(INDEX(GroupVertices[Group],MATCH(Edges25[[#This Row],[Vertex 1]],GroupVertices[Vertex],0)),1,1,"")</f>
        <v>3</v>
      </c>
      <c r="BE209" s="75" t="str">
        <f>REPLACE(INDEX(GroupVertices[Group],MATCH(Edges25[[#This Row],[Vertex 2]],GroupVertices[Vertex],0)),1,1,"")</f>
        <v>3</v>
      </c>
      <c r="BF209" s="45">
        <v>0</v>
      </c>
      <c r="BG209" s="46">
        <v>0</v>
      </c>
      <c r="BH209" s="45">
        <v>0</v>
      </c>
      <c r="BI209" s="46">
        <v>0</v>
      </c>
      <c r="BJ209" s="45">
        <v>0</v>
      </c>
      <c r="BK209" s="46">
        <v>0</v>
      </c>
      <c r="BL209" s="45">
        <v>13</v>
      </c>
      <c r="BM209" s="46">
        <v>100</v>
      </c>
      <c r="BN209" s="45">
        <v>13</v>
      </c>
    </row>
    <row r="210" spans="1:66" ht="15">
      <c r="A210" s="61" t="s">
        <v>408</v>
      </c>
      <c r="B210" s="61" t="s">
        <v>414</v>
      </c>
      <c r="C210" s="62"/>
      <c r="D210" s="63"/>
      <c r="E210" s="62"/>
      <c r="F210" s="65"/>
      <c r="G210" s="62"/>
      <c r="H210" s="66"/>
      <c r="I210" s="67"/>
      <c r="J210" s="67"/>
      <c r="K210" s="31" t="s">
        <v>65</v>
      </c>
      <c r="L210" s="68">
        <v>319</v>
      </c>
      <c r="M210" s="68"/>
      <c r="N210" s="69"/>
      <c r="O210" s="76" t="s">
        <v>586</v>
      </c>
      <c r="P210" s="78">
        <v>44818.8191087963</v>
      </c>
      <c r="Q210" s="76" t="s">
        <v>714</v>
      </c>
      <c r="R210" s="76"/>
      <c r="S210" s="76"/>
      <c r="T210" s="81" t="s">
        <v>857</v>
      </c>
      <c r="U210" s="79" t="str">
        <f>HYPERLINK("https://pbs.twimg.com/media/Fco1Im5WAAwCNtd.jpg")</f>
        <v>https://pbs.twimg.com/media/Fco1Im5WAAwCNtd.jpg</v>
      </c>
      <c r="V210" s="79" t="str">
        <f>HYPERLINK("https://pbs.twimg.com/media/Fco1Im5WAAwCNtd.jpg")</f>
        <v>https://pbs.twimg.com/media/Fco1Im5WAAwCNtd.jpg</v>
      </c>
      <c r="W210" s="78">
        <v>44818.8191087963</v>
      </c>
      <c r="X210" s="84">
        <v>44818</v>
      </c>
      <c r="Y210" s="81" t="s">
        <v>1102</v>
      </c>
      <c r="Z210" s="79" t="str">
        <f>HYPERLINK("https://twitter.com/star48625796202/status/1570135173198663680")</f>
        <v>https://twitter.com/star48625796202/status/1570135173198663680</v>
      </c>
      <c r="AA210" s="76"/>
      <c r="AB210" s="76"/>
      <c r="AC210" s="81" t="s">
        <v>1433</v>
      </c>
      <c r="AD210" s="76"/>
      <c r="AE210" s="76" t="b">
        <v>0</v>
      </c>
      <c r="AF210" s="76">
        <v>0</v>
      </c>
      <c r="AG210" s="81" t="s">
        <v>1674</v>
      </c>
      <c r="AH210" s="76" t="b">
        <v>0</v>
      </c>
      <c r="AI210" s="76" t="s">
        <v>1783</v>
      </c>
      <c r="AJ210" s="76"/>
      <c r="AK210" s="81" t="s">
        <v>1674</v>
      </c>
      <c r="AL210" s="76" t="b">
        <v>0</v>
      </c>
      <c r="AM210" s="76">
        <v>3</v>
      </c>
      <c r="AN210" s="81" t="s">
        <v>1459</v>
      </c>
      <c r="AO210" s="81" t="s">
        <v>1809</v>
      </c>
      <c r="AP210" s="76" t="b">
        <v>0</v>
      </c>
      <c r="AQ210" s="81" t="s">
        <v>1459</v>
      </c>
      <c r="AR210" s="76" t="s">
        <v>219</v>
      </c>
      <c r="AS210" s="76">
        <v>0</v>
      </c>
      <c r="AT210" s="76">
        <v>0</v>
      </c>
      <c r="AU210" s="76"/>
      <c r="AV210" s="76"/>
      <c r="AW210" s="76"/>
      <c r="AX210" s="76"/>
      <c r="AY210" s="76"/>
      <c r="AZ210" s="76"/>
      <c r="BA210" s="76"/>
      <c r="BB210" s="76"/>
      <c r="BC210">
        <v>12</v>
      </c>
      <c r="BD210" s="75" t="str">
        <f>REPLACE(INDEX(GroupVertices[Group],MATCH(Edges25[[#This Row],[Vertex 1]],GroupVertices[Vertex],0)),1,1,"")</f>
        <v>3</v>
      </c>
      <c r="BE210" s="75" t="str">
        <f>REPLACE(INDEX(GroupVertices[Group],MATCH(Edges25[[#This Row],[Vertex 2]],GroupVertices[Vertex],0)),1,1,"")</f>
        <v>3</v>
      </c>
      <c r="BF210" s="45">
        <v>0</v>
      </c>
      <c r="BG210" s="46">
        <v>0</v>
      </c>
      <c r="BH210" s="45">
        <v>0</v>
      </c>
      <c r="BI210" s="46">
        <v>0</v>
      </c>
      <c r="BJ210" s="45">
        <v>0</v>
      </c>
      <c r="BK210" s="46">
        <v>0</v>
      </c>
      <c r="BL210" s="45">
        <v>5</v>
      </c>
      <c r="BM210" s="46">
        <v>100</v>
      </c>
      <c r="BN210" s="45">
        <v>5</v>
      </c>
    </row>
    <row r="211" spans="1:66" ht="15">
      <c r="A211" s="61" t="s">
        <v>408</v>
      </c>
      <c r="B211" s="61" t="s">
        <v>414</v>
      </c>
      <c r="C211" s="62"/>
      <c r="D211" s="63"/>
      <c r="E211" s="62"/>
      <c r="F211" s="65"/>
      <c r="G211" s="62"/>
      <c r="H211" s="66"/>
      <c r="I211" s="67"/>
      <c r="J211" s="67"/>
      <c r="K211" s="31" t="s">
        <v>65</v>
      </c>
      <c r="L211" s="68">
        <v>320</v>
      </c>
      <c r="M211" s="68"/>
      <c r="N211" s="69"/>
      <c r="O211" s="76" t="s">
        <v>586</v>
      </c>
      <c r="P211" s="78">
        <v>44818.819398148145</v>
      </c>
      <c r="Q211" s="76" t="s">
        <v>711</v>
      </c>
      <c r="R211" s="76"/>
      <c r="S211" s="76"/>
      <c r="T211" s="81" t="s">
        <v>795</v>
      </c>
      <c r="U211" s="79" t="str">
        <f>HYPERLINK("https://pbs.twimg.com/ext_tw_video_thumb/1570079315068424192/pu/img/yVxrXvHEmivLuWgt.jpg")</f>
        <v>https://pbs.twimg.com/ext_tw_video_thumb/1570079315068424192/pu/img/yVxrXvHEmivLuWgt.jpg</v>
      </c>
      <c r="V211" s="79" t="str">
        <f>HYPERLINK("https://pbs.twimg.com/ext_tw_video_thumb/1570079315068424192/pu/img/yVxrXvHEmivLuWgt.jpg")</f>
        <v>https://pbs.twimg.com/ext_tw_video_thumb/1570079315068424192/pu/img/yVxrXvHEmivLuWgt.jpg</v>
      </c>
      <c r="W211" s="78">
        <v>44818.819398148145</v>
      </c>
      <c r="X211" s="84">
        <v>44818</v>
      </c>
      <c r="Y211" s="81" t="s">
        <v>1103</v>
      </c>
      <c r="Z211" s="79" t="str">
        <f>HYPERLINK("https://twitter.com/star48625796202/status/1570135276290469888")</f>
        <v>https://twitter.com/star48625796202/status/1570135276290469888</v>
      </c>
      <c r="AA211" s="76"/>
      <c r="AB211" s="76"/>
      <c r="AC211" s="81" t="s">
        <v>1434</v>
      </c>
      <c r="AD211" s="76"/>
      <c r="AE211" s="76" t="b">
        <v>0</v>
      </c>
      <c r="AF211" s="76">
        <v>0</v>
      </c>
      <c r="AG211" s="81" t="s">
        <v>1674</v>
      </c>
      <c r="AH211" s="76" t="b">
        <v>0</v>
      </c>
      <c r="AI211" s="76" t="s">
        <v>1771</v>
      </c>
      <c r="AJ211" s="76"/>
      <c r="AK211" s="81" t="s">
        <v>1674</v>
      </c>
      <c r="AL211" s="76" t="b">
        <v>0</v>
      </c>
      <c r="AM211" s="76">
        <v>2</v>
      </c>
      <c r="AN211" s="81" t="s">
        <v>1458</v>
      </c>
      <c r="AO211" s="81" t="s">
        <v>1809</v>
      </c>
      <c r="AP211" s="76" t="b">
        <v>0</v>
      </c>
      <c r="AQ211" s="81" t="s">
        <v>1458</v>
      </c>
      <c r="AR211" s="76" t="s">
        <v>219</v>
      </c>
      <c r="AS211" s="76">
        <v>0</v>
      </c>
      <c r="AT211" s="76">
        <v>0</v>
      </c>
      <c r="AU211" s="76"/>
      <c r="AV211" s="76"/>
      <c r="AW211" s="76"/>
      <c r="AX211" s="76"/>
      <c r="AY211" s="76"/>
      <c r="AZ211" s="76"/>
      <c r="BA211" s="76"/>
      <c r="BB211" s="76"/>
      <c r="BC211">
        <v>12</v>
      </c>
      <c r="BD211" s="75" t="str">
        <f>REPLACE(INDEX(GroupVertices[Group],MATCH(Edges25[[#This Row],[Vertex 1]],GroupVertices[Vertex],0)),1,1,"")</f>
        <v>3</v>
      </c>
      <c r="BE211" s="75" t="str">
        <f>REPLACE(INDEX(GroupVertices[Group],MATCH(Edges25[[#This Row],[Vertex 2]],GroupVertices[Vertex],0)),1,1,"")</f>
        <v>3</v>
      </c>
      <c r="BF211" s="45">
        <v>0</v>
      </c>
      <c r="BG211" s="46">
        <v>0</v>
      </c>
      <c r="BH211" s="45">
        <v>0</v>
      </c>
      <c r="BI211" s="46">
        <v>0</v>
      </c>
      <c r="BJ211" s="45">
        <v>0</v>
      </c>
      <c r="BK211" s="46">
        <v>0</v>
      </c>
      <c r="BL211" s="45">
        <v>36</v>
      </c>
      <c r="BM211" s="46">
        <v>100</v>
      </c>
      <c r="BN211" s="45">
        <v>36</v>
      </c>
    </row>
    <row r="212" spans="1:66" ht="15">
      <c r="A212" s="61" t="s">
        <v>408</v>
      </c>
      <c r="B212" s="61" t="s">
        <v>414</v>
      </c>
      <c r="C212" s="62"/>
      <c r="D212" s="63"/>
      <c r="E212" s="62"/>
      <c r="F212" s="65"/>
      <c r="G212" s="62"/>
      <c r="H212" s="66"/>
      <c r="I212" s="67"/>
      <c r="J212" s="67"/>
      <c r="K212" s="31" t="s">
        <v>65</v>
      </c>
      <c r="L212" s="68">
        <v>321</v>
      </c>
      <c r="M212" s="68"/>
      <c r="N212" s="69"/>
      <c r="O212" s="76" t="s">
        <v>586</v>
      </c>
      <c r="P212" s="78">
        <v>44818.81952546296</v>
      </c>
      <c r="Q212" s="76" t="s">
        <v>703</v>
      </c>
      <c r="R212" s="76"/>
      <c r="S212" s="76"/>
      <c r="T212" s="81" t="s">
        <v>842</v>
      </c>
      <c r="U212" s="79" t="str">
        <f>HYPERLINK("https://pbs.twimg.com/ext_tw_video_thumb/1570062212479287298/pu/img/ECVQJFVi9S35pAcj.jpg")</f>
        <v>https://pbs.twimg.com/ext_tw_video_thumb/1570062212479287298/pu/img/ECVQJFVi9S35pAcj.jpg</v>
      </c>
      <c r="V212" s="79" t="str">
        <f>HYPERLINK("https://pbs.twimg.com/ext_tw_video_thumb/1570062212479287298/pu/img/ECVQJFVi9S35pAcj.jpg")</f>
        <v>https://pbs.twimg.com/ext_tw_video_thumb/1570062212479287298/pu/img/ECVQJFVi9S35pAcj.jpg</v>
      </c>
      <c r="W212" s="78">
        <v>44818.81952546296</v>
      </c>
      <c r="X212" s="84">
        <v>44818</v>
      </c>
      <c r="Y212" s="81" t="s">
        <v>1104</v>
      </c>
      <c r="Z212" s="79" t="str">
        <f>HYPERLINK("https://twitter.com/star48625796202/status/1570135325070209025")</f>
        <v>https://twitter.com/star48625796202/status/1570135325070209025</v>
      </c>
      <c r="AA212" s="76"/>
      <c r="AB212" s="76"/>
      <c r="AC212" s="81" t="s">
        <v>1435</v>
      </c>
      <c r="AD212" s="76"/>
      <c r="AE212" s="76" t="b">
        <v>0</v>
      </c>
      <c r="AF212" s="76">
        <v>0</v>
      </c>
      <c r="AG212" s="81" t="s">
        <v>1674</v>
      </c>
      <c r="AH212" s="76" t="b">
        <v>0</v>
      </c>
      <c r="AI212" s="76" t="s">
        <v>1771</v>
      </c>
      <c r="AJ212" s="76"/>
      <c r="AK212" s="81" t="s">
        <v>1674</v>
      </c>
      <c r="AL212" s="76" t="b">
        <v>0</v>
      </c>
      <c r="AM212" s="76">
        <v>8</v>
      </c>
      <c r="AN212" s="81" t="s">
        <v>1457</v>
      </c>
      <c r="AO212" s="81" t="s">
        <v>1809</v>
      </c>
      <c r="AP212" s="76" t="b">
        <v>0</v>
      </c>
      <c r="AQ212" s="81" t="s">
        <v>1457</v>
      </c>
      <c r="AR212" s="76" t="s">
        <v>219</v>
      </c>
      <c r="AS212" s="76">
        <v>0</v>
      </c>
      <c r="AT212" s="76">
        <v>0</v>
      </c>
      <c r="AU212" s="76"/>
      <c r="AV212" s="76"/>
      <c r="AW212" s="76"/>
      <c r="AX212" s="76"/>
      <c r="AY212" s="76"/>
      <c r="AZ212" s="76"/>
      <c r="BA212" s="76"/>
      <c r="BB212" s="76"/>
      <c r="BC212">
        <v>12</v>
      </c>
      <c r="BD212" s="75" t="str">
        <f>REPLACE(INDEX(GroupVertices[Group],MATCH(Edges25[[#This Row],[Vertex 1]],GroupVertices[Vertex],0)),1,1,"")</f>
        <v>3</v>
      </c>
      <c r="BE212" s="75" t="str">
        <f>REPLACE(INDEX(GroupVertices[Group],MATCH(Edges25[[#This Row],[Vertex 2]],GroupVertices[Vertex],0)),1,1,"")</f>
        <v>3</v>
      </c>
      <c r="BF212" s="45">
        <v>0</v>
      </c>
      <c r="BG212" s="46">
        <v>0</v>
      </c>
      <c r="BH212" s="45">
        <v>0</v>
      </c>
      <c r="BI212" s="46">
        <v>0</v>
      </c>
      <c r="BJ212" s="45">
        <v>0</v>
      </c>
      <c r="BK212" s="46">
        <v>0</v>
      </c>
      <c r="BL212" s="45">
        <v>7</v>
      </c>
      <c r="BM212" s="46">
        <v>100</v>
      </c>
      <c r="BN212" s="45">
        <v>7</v>
      </c>
    </row>
    <row r="213" spans="1:66" ht="15">
      <c r="A213" s="61" t="s">
        <v>408</v>
      </c>
      <c r="B213" s="61" t="s">
        <v>414</v>
      </c>
      <c r="C213" s="62"/>
      <c r="D213" s="63"/>
      <c r="E213" s="62"/>
      <c r="F213" s="65"/>
      <c r="G213" s="62"/>
      <c r="H213" s="66"/>
      <c r="I213" s="67"/>
      <c r="J213" s="67"/>
      <c r="K213" s="31" t="s">
        <v>65</v>
      </c>
      <c r="L213" s="68">
        <v>322</v>
      </c>
      <c r="M213" s="68"/>
      <c r="N213" s="69"/>
      <c r="O213" s="76" t="s">
        <v>586</v>
      </c>
      <c r="P213" s="78">
        <v>44818.81962962963</v>
      </c>
      <c r="Q213" s="76" t="s">
        <v>702</v>
      </c>
      <c r="R213" s="76"/>
      <c r="S213" s="76"/>
      <c r="T213" s="81" t="s">
        <v>850</v>
      </c>
      <c r="U213" s="79" t="str">
        <f>HYPERLINK("https://pbs.twimg.com/media/FcnDhrKWQAAs5gQ.jpg")</f>
        <v>https://pbs.twimg.com/media/FcnDhrKWQAAs5gQ.jpg</v>
      </c>
      <c r="V213" s="79" t="str">
        <f>HYPERLINK("https://pbs.twimg.com/media/FcnDhrKWQAAs5gQ.jpg")</f>
        <v>https://pbs.twimg.com/media/FcnDhrKWQAAs5gQ.jpg</v>
      </c>
      <c r="W213" s="78">
        <v>44818.81962962963</v>
      </c>
      <c r="X213" s="84">
        <v>44818</v>
      </c>
      <c r="Y213" s="81" t="s">
        <v>1105</v>
      </c>
      <c r="Z213" s="79" t="str">
        <f>HYPERLINK("https://twitter.com/star48625796202/status/1570135360046333952")</f>
        <v>https://twitter.com/star48625796202/status/1570135360046333952</v>
      </c>
      <c r="AA213" s="76"/>
      <c r="AB213" s="76"/>
      <c r="AC213" s="81" t="s">
        <v>1436</v>
      </c>
      <c r="AD213" s="76"/>
      <c r="AE213" s="76" t="b">
        <v>0</v>
      </c>
      <c r="AF213" s="76">
        <v>0</v>
      </c>
      <c r="AG213" s="81" t="s">
        <v>1674</v>
      </c>
      <c r="AH213" s="76" t="b">
        <v>0</v>
      </c>
      <c r="AI213" s="76" t="s">
        <v>1771</v>
      </c>
      <c r="AJ213" s="76"/>
      <c r="AK213" s="81" t="s">
        <v>1674</v>
      </c>
      <c r="AL213" s="76" t="b">
        <v>0</v>
      </c>
      <c r="AM213" s="76">
        <v>2</v>
      </c>
      <c r="AN213" s="81" t="s">
        <v>1456</v>
      </c>
      <c r="AO213" s="81" t="s">
        <v>1809</v>
      </c>
      <c r="AP213" s="76" t="b">
        <v>0</v>
      </c>
      <c r="AQ213" s="81" t="s">
        <v>1456</v>
      </c>
      <c r="AR213" s="76" t="s">
        <v>219</v>
      </c>
      <c r="AS213" s="76">
        <v>0</v>
      </c>
      <c r="AT213" s="76">
        <v>0</v>
      </c>
      <c r="AU213" s="76"/>
      <c r="AV213" s="76"/>
      <c r="AW213" s="76"/>
      <c r="AX213" s="76"/>
      <c r="AY213" s="76"/>
      <c r="AZ213" s="76"/>
      <c r="BA213" s="76"/>
      <c r="BB213" s="76"/>
      <c r="BC213">
        <v>12</v>
      </c>
      <c r="BD213" s="75" t="str">
        <f>REPLACE(INDEX(GroupVertices[Group],MATCH(Edges25[[#This Row],[Vertex 1]],GroupVertices[Vertex],0)),1,1,"")</f>
        <v>3</v>
      </c>
      <c r="BE213" s="75" t="str">
        <f>REPLACE(INDEX(GroupVertices[Group],MATCH(Edges25[[#This Row],[Vertex 2]],GroupVertices[Vertex],0)),1,1,"")</f>
        <v>3</v>
      </c>
      <c r="BF213" s="45">
        <v>0</v>
      </c>
      <c r="BG213" s="46">
        <v>0</v>
      </c>
      <c r="BH213" s="45">
        <v>0</v>
      </c>
      <c r="BI213" s="46">
        <v>0</v>
      </c>
      <c r="BJ213" s="45">
        <v>0</v>
      </c>
      <c r="BK213" s="46">
        <v>0</v>
      </c>
      <c r="BL213" s="45">
        <v>17</v>
      </c>
      <c r="BM213" s="46">
        <v>100</v>
      </c>
      <c r="BN213" s="45">
        <v>17</v>
      </c>
    </row>
    <row r="214" spans="1:66" ht="15">
      <c r="A214" s="61" t="s">
        <v>408</v>
      </c>
      <c r="B214" s="61" t="s">
        <v>414</v>
      </c>
      <c r="C214" s="62"/>
      <c r="D214" s="63"/>
      <c r="E214" s="62"/>
      <c r="F214" s="65"/>
      <c r="G214" s="62"/>
      <c r="H214" s="66"/>
      <c r="I214" s="67"/>
      <c r="J214" s="67"/>
      <c r="K214" s="31" t="s">
        <v>65</v>
      </c>
      <c r="L214" s="68">
        <v>323</v>
      </c>
      <c r="M214" s="68"/>
      <c r="N214" s="69"/>
      <c r="O214" s="76" t="s">
        <v>586</v>
      </c>
      <c r="P214" s="78">
        <v>44819.367789351854</v>
      </c>
      <c r="Q214" s="76" t="s">
        <v>716</v>
      </c>
      <c r="R214" s="76"/>
      <c r="S214" s="76"/>
      <c r="T214" s="81" t="s">
        <v>819</v>
      </c>
      <c r="U214" s="79" t="str">
        <f>HYPERLINK("https://pbs.twimg.com/media/FcpmLrCWQAEizKT.jpg")</f>
        <v>https://pbs.twimg.com/media/FcpmLrCWQAEizKT.jpg</v>
      </c>
      <c r="V214" s="79" t="str">
        <f>HYPERLINK("https://pbs.twimg.com/media/FcpmLrCWQAEizKT.jpg")</f>
        <v>https://pbs.twimg.com/media/FcpmLrCWQAEizKT.jpg</v>
      </c>
      <c r="W214" s="78">
        <v>44819.367789351854</v>
      </c>
      <c r="X214" s="84">
        <v>44819</v>
      </c>
      <c r="Y214" s="81" t="s">
        <v>1106</v>
      </c>
      <c r="Z214" s="79" t="str">
        <f>HYPERLINK("https://twitter.com/star48625796202/status/1570334006415081473")</f>
        <v>https://twitter.com/star48625796202/status/1570334006415081473</v>
      </c>
      <c r="AA214" s="76"/>
      <c r="AB214" s="76"/>
      <c r="AC214" s="81" t="s">
        <v>1437</v>
      </c>
      <c r="AD214" s="76"/>
      <c r="AE214" s="76" t="b">
        <v>0</v>
      </c>
      <c r="AF214" s="76">
        <v>0</v>
      </c>
      <c r="AG214" s="81" t="s">
        <v>1674</v>
      </c>
      <c r="AH214" s="76" t="b">
        <v>0</v>
      </c>
      <c r="AI214" s="76" t="s">
        <v>1771</v>
      </c>
      <c r="AJ214" s="76"/>
      <c r="AK214" s="81" t="s">
        <v>1674</v>
      </c>
      <c r="AL214" s="76" t="b">
        <v>0</v>
      </c>
      <c r="AM214" s="76">
        <v>3</v>
      </c>
      <c r="AN214" s="81" t="s">
        <v>1460</v>
      </c>
      <c r="AO214" s="81" t="s">
        <v>1809</v>
      </c>
      <c r="AP214" s="76" t="b">
        <v>0</v>
      </c>
      <c r="AQ214" s="81" t="s">
        <v>1460</v>
      </c>
      <c r="AR214" s="76" t="s">
        <v>219</v>
      </c>
      <c r="AS214" s="76">
        <v>0</v>
      </c>
      <c r="AT214" s="76">
        <v>0</v>
      </c>
      <c r="AU214" s="76"/>
      <c r="AV214" s="76"/>
      <c r="AW214" s="76"/>
      <c r="AX214" s="76"/>
      <c r="AY214" s="76"/>
      <c r="AZ214" s="76"/>
      <c r="BA214" s="76"/>
      <c r="BB214" s="76"/>
      <c r="BC214">
        <v>12</v>
      </c>
      <c r="BD214" s="75" t="str">
        <f>REPLACE(INDEX(GroupVertices[Group],MATCH(Edges25[[#This Row],[Vertex 1]],GroupVertices[Vertex],0)),1,1,"")</f>
        <v>3</v>
      </c>
      <c r="BE214" s="75" t="str">
        <f>REPLACE(INDEX(GroupVertices[Group],MATCH(Edges25[[#This Row],[Vertex 2]],GroupVertices[Vertex],0)),1,1,"")</f>
        <v>3</v>
      </c>
      <c r="BF214" s="45">
        <v>0</v>
      </c>
      <c r="BG214" s="46">
        <v>0</v>
      </c>
      <c r="BH214" s="45">
        <v>0</v>
      </c>
      <c r="BI214" s="46">
        <v>0</v>
      </c>
      <c r="BJ214" s="45">
        <v>0</v>
      </c>
      <c r="BK214" s="46">
        <v>0</v>
      </c>
      <c r="BL214" s="45">
        <v>10</v>
      </c>
      <c r="BM214" s="46">
        <v>100</v>
      </c>
      <c r="BN214" s="45">
        <v>10</v>
      </c>
    </row>
    <row r="215" spans="1:66" ht="15">
      <c r="A215" s="61" t="s">
        <v>409</v>
      </c>
      <c r="B215" s="61" t="s">
        <v>532</v>
      </c>
      <c r="C215" s="62"/>
      <c r="D215" s="63"/>
      <c r="E215" s="62"/>
      <c r="F215" s="65"/>
      <c r="G215" s="62"/>
      <c r="H215" s="66"/>
      <c r="I215" s="67"/>
      <c r="J215" s="67"/>
      <c r="K215" s="31" t="s">
        <v>65</v>
      </c>
      <c r="L215" s="68">
        <v>324</v>
      </c>
      <c r="M215" s="68"/>
      <c r="N215" s="69"/>
      <c r="O215" s="76" t="s">
        <v>585</v>
      </c>
      <c r="P215" s="78">
        <v>44819.38222222222</v>
      </c>
      <c r="Q215" s="76" t="s">
        <v>721</v>
      </c>
      <c r="R215" s="76"/>
      <c r="S215" s="76"/>
      <c r="T215" s="81" t="s">
        <v>859</v>
      </c>
      <c r="U215" s="76"/>
      <c r="V215" s="79" t="str">
        <f>HYPERLINK("https://pbs.twimg.com/profile_images/808273775905087488/6GlIevjV_normal.jpg")</f>
        <v>https://pbs.twimg.com/profile_images/808273775905087488/6GlIevjV_normal.jpg</v>
      </c>
      <c r="W215" s="78">
        <v>44819.38222222222</v>
      </c>
      <c r="X215" s="84">
        <v>44819</v>
      </c>
      <c r="Y215" s="81" t="s">
        <v>1107</v>
      </c>
      <c r="Z215" s="79" t="str">
        <f>HYPERLINK("https://twitter.com/tkelic/status/1570339236540284930")</f>
        <v>https://twitter.com/tkelic/status/1570339236540284930</v>
      </c>
      <c r="AA215" s="76"/>
      <c r="AB215" s="76"/>
      <c r="AC215" s="81" t="s">
        <v>1438</v>
      </c>
      <c r="AD215" s="76"/>
      <c r="AE215" s="76" t="b">
        <v>0</v>
      </c>
      <c r="AF215" s="76">
        <v>0</v>
      </c>
      <c r="AG215" s="81" t="s">
        <v>1674</v>
      </c>
      <c r="AH215" s="76" t="b">
        <v>0</v>
      </c>
      <c r="AI215" s="76" t="s">
        <v>1774</v>
      </c>
      <c r="AJ215" s="76"/>
      <c r="AK215" s="81" t="s">
        <v>1674</v>
      </c>
      <c r="AL215" s="76" t="b">
        <v>0</v>
      </c>
      <c r="AM215" s="76">
        <v>1</v>
      </c>
      <c r="AN215" s="81" t="s">
        <v>1557</v>
      </c>
      <c r="AO215" s="81" t="s">
        <v>1809</v>
      </c>
      <c r="AP215" s="76" t="b">
        <v>0</v>
      </c>
      <c r="AQ215" s="81" t="s">
        <v>1557</v>
      </c>
      <c r="AR215" s="76" t="s">
        <v>219</v>
      </c>
      <c r="AS215" s="76">
        <v>0</v>
      </c>
      <c r="AT215" s="76">
        <v>0</v>
      </c>
      <c r="AU215" s="76"/>
      <c r="AV215" s="76"/>
      <c r="AW215" s="76"/>
      <c r="AX215" s="76"/>
      <c r="AY215" s="76"/>
      <c r="AZ215" s="76"/>
      <c r="BA215" s="76"/>
      <c r="BB215" s="76"/>
      <c r="BC215">
        <v>1</v>
      </c>
      <c r="BD215" s="75" t="str">
        <f>REPLACE(INDEX(GroupVertices[Group],MATCH(Edges25[[#This Row],[Vertex 1]],GroupVertices[Vertex],0)),1,1,"")</f>
        <v>1</v>
      </c>
      <c r="BE215" s="75" t="str">
        <f>REPLACE(INDEX(GroupVertices[Group],MATCH(Edges25[[#This Row],[Vertex 2]],GroupVertices[Vertex],0)),1,1,"")</f>
        <v>1</v>
      </c>
      <c r="BF215" s="45"/>
      <c r="BG215" s="46"/>
      <c r="BH215" s="45"/>
      <c r="BI215" s="46"/>
      <c r="BJ215" s="45"/>
      <c r="BK215" s="46"/>
      <c r="BL215" s="45"/>
      <c r="BM215" s="46"/>
      <c r="BN215" s="45"/>
    </row>
    <row r="216" spans="1:66" ht="15">
      <c r="A216" s="61" t="s">
        <v>410</v>
      </c>
      <c r="B216" s="61" t="s">
        <v>410</v>
      </c>
      <c r="C216" s="62"/>
      <c r="D216" s="63"/>
      <c r="E216" s="62"/>
      <c r="F216" s="65"/>
      <c r="G216" s="62"/>
      <c r="H216" s="66"/>
      <c r="I216" s="67"/>
      <c r="J216" s="67"/>
      <c r="K216" s="31" t="s">
        <v>65</v>
      </c>
      <c r="L216" s="68">
        <v>327</v>
      </c>
      <c r="M216" s="68"/>
      <c r="N216" s="69"/>
      <c r="O216" s="76" t="s">
        <v>219</v>
      </c>
      <c r="P216" s="78">
        <v>44819.394733796296</v>
      </c>
      <c r="Q216" s="76" t="s">
        <v>722</v>
      </c>
      <c r="R216" s="76"/>
      <c r="S216" s="76"/>
      <c r="T216" s="81" t="s">
        <v>795</v>
      </c>
      <c r="U216" s="79" t="str">
        <f>HYPERLINK("https://pbs.twimg.com/media/Fcr7G46WYAIk1PT.jpg")</f>
        <v>https://pbs.twimg.com/media/Fcr7G46WYAIk1PT.jpg</v>
      </c>
      <c r="V216" s="79" t="str">
        <f>HYPERLINK("https://pbs.twimg.com/media/Fcr7G46WYAIk1PT.jpg")</f>
        <v>https://pbs.twimg.com/media/Fcr7G46WYAIk1PT.jpg</v>
      </c>
      <c r="W216" s="78">
        <v>44819.394733796296</v>
      </c>
      <c r="X216" s="84">
        <v>44819</v>
      </c>
      <c r="Y216" s="81" t="s">
        <v>1108</v>
      </c>
      <c r="Z216" s="79" t="str">
        <f>HYPERLINK("https://twitter.com/augusto40982091/status/1570343772172713984")</f>
        <v>https://twitter.com/augusto40982091/status/1570343772172713984</v>
      </c>
      <c r="AA216" s="76"/>
      <c r="AB216" s="76"/>
      <c r="AC216" s="81" t="s">
        <v>1439</v>
      </c>
      <c r="AD216" s="76"/>
      <c r="AE216" s="76" t="b">
        <v>0</v>
      </c>
      <c r="AF216" s="76">
        <v>8</v>
      </c>
      <c r="AG216" s="81" t="s">
        <v>1674</v>
      </c>
      <c r="AH216" s="76" t="b">
        <v>0</v>
      </c>
      <c r="AI216" s="76" t="s">
        <v>1773</v>
      </c>
      <c r="AJ216" s="76"/>
      <c r="AK216" s="81" t="s">
        <v>1674</v>
      </c>
      <c r="AL216" s="76" t="b">
        <v>0</v>
      </c>
      <c r="AM216" s="76">
        <v>1</v>
      </c>
      <c r="AN216" s="81" t="s">
        <v>1674</v>
      </c>
      <c r="AO216" s="81" t="s">
        <v>1808</v>
      </c>
      <c r="AP216" s="76" t="b">
        <v>0</v>
      </c>
      <c r="AQ216" s="81" t="s">
        <v>1439</v>
      </c>
      <c r="AR216" s="76" t="s">
        <v>219</v>
      </c>
      <c r="AS216" s="76">
        <v>0</v>
      </c>
      <c r="AT216" s="76">
        <v>0</v>
      </c>
      <c r="AU216" s="76"/>
      <c r="AV216" s="76"/>
      <c r="AW216" s="76"/>
      <c r="AX216" s="76"/>
      <c r="AY216" s="76"/>
      <c r="AZ216" s="76"/>
      <c r="BA216" s="76"/>
      <c r="BB216" s="76"/>
      <c r="BC216">
        <v>1</v>
      </c>
      <c r="BD216" s="75" t="str">
        <f>REPLACE(INDEX(GroupVertices[Group],MATCH(Edges25[[#This Row],[Vertex 1]],GroupVertices[Vertex],0)),1,1,"")</f>
        <v>2</v>
      </c>
      <c r="BE216" s="75" t="str">
        <f>REPLACE(INDEX(GroupVertices[Group],MATCH(Edges25[[#This Row],[Vertex 2]],GroupVertices[Vertex],0)),1,1,"")</f>
        <v>2</v>
      </c>
      <c r="BF216" s="45">
        <v>0</v>
      </c>
      <c r="BG216" s="46">
        <v>0</v>
      </c>
      <c r="BH216" s="45">
        <v>0</v>
      </c>
      <c r="BI216" s="46">
        <v>0</v>
      </c>
      <c r="BJ216" s="45">
        <v>0</v>
      </c>
      <c r="BK216" s="46">
        <v>0</v>
      </c>
      <c r="BL216" s="45">
        <v>1</v>
      </c>
      <c r="BM216" s="46">
        <v>100</v>
      </c>
      <c r="BN216" s="45">
        <v>1</v>
      </c>
    </row>
    <row r="217" spans="1:66" ht="15">
      <c r="A217" s="61" t="s">
        <v>411</v>
      </c>
      <c r="B217" s="61" t="s">
        <v>411</v>
      </c>
      <c r="C217" s="62"/>
      <c r="D217" s="63"/>
      <c r="E217" s="62"/>
      <c r="F217" s="65"/>
      <c r="G217" s="62"/>
      <c r="H217" s="66"/>
      <c r="I217" s="67"/>
      <c r="J217" s="67"/>
      <c r="K217" s="31" t="s">
        <v>65</v>
      </c>
      <c r="L217" s="68">
        <v>328</v>
      </c>
      <c r="M217" s="68"/>
      <c r="N217" s="69"/>
      <c r="O217" s="76" t="s">
        <v>219</v>
      </c>
      <c r="P217" s="78">
        <v>44819.428148148145</v>
      </c>
      <c r="Q217" s="76" t="s">
        <v>723</v>
      </c>
      <c r="R217" s="76"/>
      <c r="S217" s="76"/>
      <c r="T217" s="81" t="s">
        <v>860</v>
      </c>
      <c r="U217" s="76"/>
      <c r="V217" s="79" t="str">
        <f>HYPERLINK("https://pbs.twimg.com/profile_images/1570086566189465601/Z8qxRX8h_normal.jpg")</f>
        <v>https://pbs.twimg.com/profile_images/1570086566189465601/Z8qxRX8h_normal.jpg</v>
      </c>
      <c r="W217" s="78">
        <v>44819.428148148145</v>
      </c>
      <c r="X217" s="84">
        <v>44819</v>
      </c>
      <c r="Y217" s="81" t="s">
        <v>1109</v>
      </c>
      <c r="Z217" s="79" t="str">
        <f>HYPERLINK("https://twitter.com/neo8emmanuel/status/1570355879194816513")</f>
        <v>https://twitter.com/neo8emmanuel/status/1570355879194816513</v>
      </c>
      <c r="AA217" s="76"/>
      <c r="AB217" s="76"/>
      <c r="AC217" s="81" t="s">
        <v>1440</v>
      </c>
      <c r="AD217" s="76"/>
      <c r="AE217" s="76" t="b">
        <v>0</v>
      </c>
      <c r="AF217" s="76">
        <v>0</v>
      </c>
      <c r="AG217" s="81" t="s">
        <v>1674</v>
      </c>
      <c r="AH217" s="76" t="b">
        <v>0</v>
      </c>
      <c r="AI217" s="76" t="s">
        <v>1772</v>
      </c>
      <c r="AJ217" s="76"/>
      <c r="AK217" s="81" t="s">
        <v>1674</v>
      </c>
      <c r="AL217" s="76" t="b">
        <v>0</v>
      </c>
      <c r="AM217" s="76">
        <v>0</v>
      </c>
      <c r="AN217" s="81" t="s">
        <v>1674</v>
      </c>
      <c r="AO217" s="81" t="s">
        <v>1808</v>
      </c>
      <c r="AP217" s="76" t="b">
        <v>0</v>
      </c>
      <c r="AQ217" s="81" t="s">
        <v>1440</v>
      </c>
      <c r="AR217" s="76" t="s">
        <v>219</v>
      </c>
      <c r="AS217" s="76">
        <v>0</v>
      </c>
      <c r="AT217" s="76">
        <v>0</v>
      </c>
      <c r="AU217" s="76"/>
      <c r="AV217" s="76"/>
      <c r="AW217" s="76"/>
      <c r="AX217" s="76"/>
      <c r="AY217" s="76"/>
      <c r="AZ217" s="76"/>
      <c r="BA217" s="76"/>
      <c r="BB217" s="76"/>
      <c r="BC217">
        <v>1</v>
      </c>
      <c r="BD217" s="75" t="str">
        <f>REPLACE(INDEX(GroupVertices[Group],MATCH(Edges25[[#This Row],[Vertex 1]],GroupVertices[Vertex],0)),1,1,"")</f>
        <v>2</v>
      </c>
      <c r="BE217" s="75" t="str">
        <f>REPLACE(INDEX(GroupVertices[Group],MATCH(Edges25[[#This Row],[Vertex 2]],GroupVertices[Vertex],0)),1,1,"")</f>
        <v>2</v>
      </c>
      <c r="BF217" s="45">
        <v>0</v>
      </c>
      <c r="BG217" s="46">
        <v>0</v>
      </c>
      <c r="BH217" s="45">
        <v>0</v>
      </c>
      <c r="BI217" s="46">
        <v>0</v>
      </c>
      <c r="BJ217" s="45">
        <v>0</v>
      </c>
      <c r="BK217" s="46">
        <v>0</v>
      </c>
      <c r="BL217" s="45">
        <v>13</v>
      </c>
      <c r="BM217" s="46">
        <v>100</v>
      </c>
      <c r="BN217" s="45">
        <v>13</v>
      </c>
    </row>
    <row r="218" spans="1:66" ht="15">
      <c r="A218" s="61" t="s">
        <v>412</v>
      </c>
      <c r="B218" s="61" t="s">
        <v>426</v>
      </c>
      <c r="C218" s="62"/>
      <c r="D218" s="63"/>
      <c r="E218" s="62"/>
      <c r="F218" s="65"/>
      <c r="G218" s="62"/>
      <c r="H218" s="66"/>
      <c r="I218" s="67"/>
      <c r="J218" s="67"/>
      <c r="K218" s="31" t="s">
        <v>65</v>
      </c>
      <c r="L218" s="68">
        <v>329</v>
      </c>
      <c r="M218" s="68"/>
      <c r="N218" s="69"/>
      <c r="O218" s="76" t="s">
        <v>586</v>
      </c>
      <c r="P218" s="78">
        <v>44819.44414351852</v>
      </c>
      <c r="Q218" s="76" t="s">
        <v>724</v>
      </c>
      <c r="R218" s="76"/>
      <c r="S218" s="76"/>
      <c r="T218" s="81" t="s">
        <v>795</v>
      </c>
      <c r="U218" s="79" t="str">
        <f>HYPERLINK("https://pbs.twimg.com/media/FcsKLa1WAAAi_cQ.jpg")</f>
        <v>https://pbs.twimg.com/media/FcsKLa1WAAAi_cQ.jpg</v>
      </c>
      <c r="V218" s="79" t="str">
        <f>HYPERLINK("https://pbs.twimg.com/media/FcsKLa1WAAAi_cQ.jpg")</f>
        <v>https://pbs.twimg.com/media/FcsKLa1WAAAi_cQ.jpg</v>
      </c>
      <c r="W218" s="78">
        <v>44819.44414351852</v>
      </c>
      <c r="X218" s="84">
        <v>44819</v>
      </c>
      <c r="Y218" s="81" t="s">
        <v>1110</v>
      </c>
      <c r="Z218" s="79" t="str">
        <f>HYPERLINK("https://twitter.com/dalev82/status/1570361678067535873")</f>
        <v>https://twitter.com/dalev82/status/1570361678067535873</v>
      </c>
      <c r="AA218" s="76"/>
      <c r="AB218" s="76"/>
      <c r="AC218" s="81" t="s">
        <v>1441</v>
      </c>
      <c r="AD218" s="76"/>
      <c r="AE218" s="76" t="b">
        <v>0</v>
      </c>
      <c r="AF218" s="76">
        <v>0</v>
      </c>
      <c r="AG218" s="81" t="s">
        <v>1674</v>
      </c>
      <c r="AH218" s="76" t="b">
        <v>0</v>
      </c>
      <c r="AI218" s="76" t="s">
        <v>1775</v>
      </c>
      <c r="AJ218" s="76"/>
      <c r="AK218" s="81" t="s">
        <v>1674</v>
      </c>
      <c r="AL218" s="76" t="b">
        <v>0</v>
      </c>
      <c r="AM218" s="76">
        <v>3</v>
      </c>
      <c r="AN218" s="81" t="s">
        <v>1545</v>
      </c>
      <c r="AO218" s="81" t="s">
        <v>1807</v>
      </c>
      <c r="AP218" s="76" t="b">
        <v>0</v>
      </c>
      <c r="AQ218" s="81" t="s">
        <v>1545</v>
      </c>
      <c r="AR218" s="76" t="s">
        <v>219</v>
      </c>
      <c r="AS218" s="76">
        <v>0</v>
      </c>
      <c r="AT218" s="76">
        <v>0</v>
      </c>
      <c r="AU218" s="76"/>
      <c r="AV218" s="76"/>
      <c r="AW218" s="76"/>
      <c r="AX218" s="76"/>
      <c r="AY218" s="76"/>
      <c r="AZ218" s="76"/>
      <c r="BA218" s="76"/>
      <c r="BB218" s="76"/>
      <c r="BC218">
        <v>1</v>
      </c>
      <c r="BD218" s="75" t="str">
        <f>REPLACE(INDEX(GroupVertices[Group],MATCH(Edges25[[#This Row],[Vertex 1]],GroupVertices[Vertex],0)),1,1,"")</f>
        <v>20</v>
      </c>
      <c r="BE218" s="75" t="str">
        <f>REPLACE(INDEX(GroupVertices[Group],MATCH(Edges25[[#This Row],[Vertex 2]],GroupVertices[Vertex],0)),1,1,"")</f>
        <v>20</v>
      </c>
      <c r="BF218" s="45">
        <v>0</v>
      </c>
      <c r="BG218" s="46">
        <v>0</v>
      </c>
      <c r="BH218" s="45">
        <v>0</v>
      </c>
      <c r="BI218" s="46">
        <v>0</v>
      </c>
      <c r="BJ218" s="45">
        <v>0</v>
      </c>
      <c r="BK218" s="46">
        <v>0</v>
      </c>
      <c r="BL218" s="45">
        <v>13</v>
      </c>
      <c r="BM218" s="46">
        <v>100</v>
      </c>
      <c r="BN218" s="45">
        <v>13</v>
      </c>
    </row>
    <row r="219" spans="1:66" ht="15">
      <c r="A219" s="61" t="s">
        <v>413</v>
      </c>
      <c r="B219" s="61" t="s">
        <v>546</v>
      </c>
      <c r="C219" s="62"/>
      <c r="D219" s="63"/>
      <c r="E219" s="62"/>
      <c r="F219" s="65"/>
      <c r="G219" s="62"/>
      <c r="H219" s="66"/>
      <c r="I219" s="67"/>
      <c r="J219" s="67"/>
      <c r="K219" s="31" t="s">
        <v>65</v>
      </c>
      <c r="L219" s="68">
        <v>330</v>
      </c>
      <c r="M219" s="68"/>
      <c r="N219" s="69"/>
      <c r="O219" s="76" t="s">
        <v>587</v>
      </c>
      <c r="P219" s="78">
        <v>44818.322222222225</v>
      </c>
      <c r="Q219" s="76" t="s">
        <v>725</v>
      </c>
      <c r="R219" s="76"/>
      <c r="S219" s="76"/>
      <c r="T219" s="81" t="s">
        <v>795</v>
      </c>
      <c r="U219" s="76"/>
      <c r="V219" s="79" t="str">
        <f>HYPERLINK("https://pbs.twimg.com/profile_images/1560723548540489739/Cp800W5O_normal.jpg")</f>
        <v>https://pbs.twimg.com/profile_images/1560723548540489739/Cp800W5O_normal.jpg</v>
      </c>
      <c r="W219" s="78">
        <v>44818.322222222225</v>
      </c>
      <c r="X219" s="84">
        <v>44818</v>
      </c>
      <c r="Y219" s="81" t="s">
        <v>1111</v>
      </c>
      <c r="Z219" s="79" t="str">
        <f>HYPERLINK("https://twitter.com/bobmozg/status/1569955105021075456")</f>
        <v>https://twitter.com/bobmozg/status/1569955105021075456</v>
      </c>
      <c r="AA219" s="76"/>
      <c r="AB219" s="76"/>
      <c r="AC219" s="81" t="s">
        <v>1442</v>
      </c>
      <c r="AD219" s="81" t="s">
        <v>1628</v>
      </c>
      <c r="AE219" s="76" t="b">
        <v>0</v>
      </c>
      <c r="AF219" s="76">
        <v>0</v>
      </c>
      <c r="AG219" s="81" t="s">
        <v>1736</v>
      </c>
      <c r="AH219" s="76" t="b">
        <v>0</v>
      </c>
      <c r="AI219" s="76" t="s">
        <v>1773</v>
      </c>
      <c r="AJ219" s="76"/>
      <c r="AK219" s="81" t="s">
        <v>1674</v>
      </c>
      <c r="AL219" s="76" t="b">
        <v>0</v>
      </c>
      <c r="AM219" s="76">
        <v>0</v>
      </c>
      <c r="AN219" s="81" t="s">
        <v>1674</v>
      </c>
      <c r="AO219" s="81" t="s">
        <v>1808</v>
      </c>
      <c r="AP219" s="76" t="b">
        <v>0</v>
      </c>
      <c r="AQ219" s="81" t="s">
        <v>1628</v>
      </c>
      <c r="AR219" s="76" t="s">
        <v>219</v>
      </c>
      <c r="AS219" s="76">
        <v>0</v>
      </c>
      <c r="AT219" s="76">
        <v>0</v>
      </c>
      <c r="AU219" s="76"/>
      <c r="AV219" s="76"/>
      <c r="AW219" s="76"/>
      <c r="AX219" s="76"/>
      <c r="AY219" s="76"/>
      <c r="AZ219" s="76"/>
      <c r="BA219" s="76"/>
      <c r="BB219" s="76"/>
      <c r="BC219">
        <v>4</v>
      </c>
      <c r="BD219" s="75" t="str">
        <f>REPLACE(INDEX(GroupVertices[Group],MATCH(Edges25[[#This Row],[Vertex 1]],GroupVertices[Vertex],0)),1,1,"")</f>
        <v>15</v>
      </c>
      <c r="BE219" s="75" t="str">
        <f>REPLACE(INDEX(GroupVertices[Group],MATCH(Edges25[[#This Row],[Vertex 2]],GroupVertices[Vertex],0)),1,1,"")</f>
        <v>15</v>
      </c>
      <c r="BF219" s="45">
        <v>0</v>
      </c>
      <c r="BG219" s="46">
        <v>0</v>
      </c>
      <c r="BH219" s="45">
        <v>0</v>
      </c>
      <c r="BI219" s="46">
        <v>0</v>
      </c>
      <c r="BJ219" s="45">
        <v>0</v>
      </c>
      <c r="BK219" s="46">
        <v>0</v>
      </c>
      <c r="BL219" s="45">
        <v>2</v>
      </c>
      <c r="BM219" s="46">
        <v>100</v>
      </c>
      <c r="BN219" s="45">
        <v>2</v>
      </c>
    </row>
    <row r="220" spans="1:66" ht="15">
      <c r="A220" s="61" t="s">
        <v>413</v>
      </c>
      <c r="B220" s="61" t="s">
        <v>546</v>
      </c>
      <c r="C220" s="62"/>
      <c r="D220" s="63"/>
      <c r="E220" s="62"/>
      <c r="F220" s="65"/>
      <c r="G220" s="62"/>
      <c r="H220" s="66"/>
      <c r="I220" s="67"/>
      <c r="J220" s="67"/>
      <c r="K220" s="31" t="s">
        <v>65</v>
      </c>
      <c r="L220" s="68">
        <v>331</v>
      </c>
      <c r="M220" s="68"/>
      <c r="N220" s="69"/>
      <c r="O220" s="76" t="s">
        <v>587</v>
      </c>
      <c r="P220" s="78">
        <v>44818.32244212963</v>
      </c>
      <c r="Q220" s="76" t="s">
        <v>725</v>
      </c>
      <c r="R220" s="76"/>
      <c r="S220" s="76"/>
      <c r="T220" s="81" t="s">
        <v>795</v>
      </c>
      <c r="U220" s="76"/>
      <c r="V220" s="79" t="str">
        <f>HYPERLINK("https://pbs.twimg.com/profile_images/1560723548540489739/Cp800W5O_normal.jpg")</f>
        <v>https://pbs.twimg.com/profile_images/1560723548540489739/Cp800W5O_normal.jpg</v>
      </c>
      <c r="W220" s="78">
        <v>44818.32244212963</v>
      </c>
      <c r="X220" s="84">
        <v>44818</v>
      </c>
      <c r="Y220" s="81" t="s">
        <v>1112</v>
      </c>
      <c r="Z220" s="79" t="str">
        <f>HYPERLINK("https://twitter.com/bobmozg/status/1569955187732942848")</f>
        <v>https://twitter.com/bobmozg/status/1569955187732942848</v>
      </c>
      <c r="AA220" s="76"/>
      <c r="AB220" s="76"/>
      <c r="AC220" s="81" t="s">
        <v>1443</v>
      </c>
      <c r="AD220" s="81" t="s">
        <v>1629</v>
      </c>
      <c r="AE220" s="76" t="b">
        <v>0</v>
      </c>
      <c r="AF220" s="76">
        <v>0</v>
      </c>
      <c r="AG220" s="81" t="s">
        <v>1736</v>
      </c>
      <c r="AH220" s="76" t="b">
        <v>0</v>
      </c>
      <c r="AI220" s="76" t="s">
        <v>1773</v>
      </c>
      <c r="AJ220" s="76"/>
      <c r="AK220" s="81" t="s">
        <v>1674</v>
      </c>
      <c r="AL220" s="76" t="b">
        <v>0</v>
      </c>
      <c r="AM220" s="76">
        <v>0</v>
      </c>
      <c r="AN220" s="81" t="s">
        <v>1674</v>
      </c>
      <c r="AO220" s="81" t="s">
        <v>1808</v>
      </c>
      <c r="AP220" s="76" t="b">
        <v>0</v>
      </c>
      <c r="AQ220" s="81" t="s">
        <v>1629</v>
      </c>
      <c r="AR220" s="76" t="s">
        <v>219</v>
      </c>
      <c r="AS220" s="76">
        <v>0</v>
      </c>
      <c r="AT220" s="76">
        <v>0</v>
      </c>
      <c r="AU220" s="76"/>
      <c r="AV220" s="76"/>
      <c r="AW220" s="76"/>
      <c r="AX220" s="76"/>
      <c r="AY220" s="76"/>
      <c r="AZ220" s="76"/>
      <c r="BA220" s="76"/>
      <c r="BB220" s="76"/>
      <c r="BC220">
        <v>4</v>
      </c>
      <c r="BD220" s="75" t="str">
        <f>REPLACE(INDEX(GroupVertices[Group],MATCH(Edges25[[#This Row],[Vertex 1]],GroupVertices[Vertex],0)),1,1,"")</f>
        <v>15</v>
      </c>
      <c r="BE220" s="75" t="str">
        <f>REPLACE(INDEX(GroupVertices[Group],MATCH(Edges25[[#This Row],[Vertex 2]],GroupVertices[Vertex],0)),1,1,"")</f>
        <v>15</v>
      </c>
      <c r="BF220" s="45">
        <v>0</v>
      </c>
      <c r="BG220" s="46">
        <v>0</v>
      </c>
      <c r="BH220" s="45">
        <v>0</v>
      </c>
      <c r="BI220" s="46">
        <v>0</v>
      </c>
      <c r="BJ220" s="45">
        <v>0</v>
      </c>
      <c r="BK220" s="46">
        <v>0</v>
      </c>
      <c r="BL220" s="45">
        <v>2</v>
      </c>
      <c r="BM220" s="46">
        <v>100</v>
      </c>
      <c r="BN220" s="45">
        <v>2</v>
      </c>
    </row>
    <row r="221" spans="1:66" ht="15">
      <c r="A221" s="61" t="s">
        <v>413</v>
      </c>
      <c r="B221" s="61" t="s">
        <v>546</v>
      </c>
      <c r="C221" s="62"/>
      <c r="D221" s="63"/>
      <c r="E221" s="62"/>
      <c r="F221" s="65"/>
      <c r="G221" s="62"/>
      <c r="H221" s="66"/>
      <c r="I221" s="67"/>
      <c r="J221" s="67"/>
      <c r="K221" s="31" t="s">
        <v>65</v>
      </c>
      <c r="L221" s="68">
        <v>332</v>
      </c>
      <c r="M221" s="68"/>
      <c r="N221" s="69"/>
      <c r="O221" s="76" t="s">
        <v>587</v>
      </c>
      <c r="P221" s="78">
        <v>44818.32262731482</v>
      </c>
      <c r="Q221" s="76" t="s">
        <v>725</v>
      </c>
      <c r="R221" s="76"/>
      <c r="S221" s="76"/>
      <c r="T221" s="81" t="s">
        <v>795</v>
      </c>
      <c r="U221" s="76"/>
      <c r="V221" s="79" t="str">
        <f>HYPERLINK("https://pbs.twimg.com/profile_images/1560723548540489739/Cp800W5O_normal.jpg")</f>
        <v>https://pbs.twimg.com/profile_images/1560723548540489739/Cp800W5O_normal.jpg</v>
      </c>
      <c r="W221" s="78">
        <v>44818.32262731482</v>
      </c>
      <c r="X221" s="84">
        <v>44818</v>
      </c>
      <c r="Y221" s="81" t="s">
        <v>1113</v>
      </c>
      <c r="Z221" s="79" t="str">
        <f>HYPERLINK("https://twitter.com/bobmozg/status/1569955252853407744")</f>
        <v>https://twitter.com/bobmozg/status/1569955252853407744</v>
      </c>
      <c r="AA221" s="76"/>
      <c r="AB221" s="76"/>
      <c r="AC221" s="81" t="s">
        <v>1444</v>
      </c>
      <c r="AD221" s="81" t="s">
        <v>1630</v>
      </c>
      <c r="AE221" s="76" t="b">
        <v>0</v>
      </c>
      <c r="AF221" s="76">
        <v>0</v>
      </c>
      <c r="AG221" s="81" t="s">
        <v>1736</v>
      </c>
      <c r="AH221" s="76" t="b">
        <v>0</v>
      </c>
      <c r="AI221" s="76" t="s">
        <v>1773</v>
      </c>
      <c r="AJ221" s="76"/>
      <c r="AK221" s="81" t="s">
        <v>1674</v>
      </c>
      <c r="AL221" s="76" t="b">
        <v>0</v>
      </c>
      <c r="AM221" s="76">
        <v>0</v>
      </c>
      <c r="AN221" s="81" t="s">
        <v>1674</v>
      </c>
      <c r="AO221" s="81" t="s">
        <v>1808</v>
      </c>
      <c r="AP221" s="76" t="b">
        <v>0</v>
      </c>
      <c r="AQ221" s="81" t="s">
        <v>1630</v>
      </c>
      <c r="AR221" s="76" t="s">
        <v>219</v>
      </c>
      <c r="AS221" s="76">
        <v>0</v>
      </c>
      <c r="AT221" s="76">
        <v>0</v>
      </c>
      <c r="AU221" s="76"/>
      <c r="AV221" s="76"/>
      <c r="AW221" s="76"/>
      <c r="AX221" s="76"/>
      <c r="AY221" s="76"/>
      <c r="AZ221" s="76"/>
      <c r="BA221" s="76"/>
      <c r="BB221" s="76"/>
      <c r="BC221">
        <v>4</v>
      </c>
      <c r="BD221" s="75" t="str">
        <f>REPLACE(INDEX(GroupVertices[Group],MATCH(Edges25[[#This Row],[Vertex 1]],GroupVertices[Vertex],0)),1,1,"")</f>
        <v>15</v>
      </c>
      <c r="BE221" s="75" t="str">
        <f>REPLACE(INDEX(GroupVertices[Group],MATCH(Edges25[[#This Row],[Vertex 2]],GroupVertices[Vertex],0)),1,1,"")</f>
        <v>15</v>
      </c>
      <c r="BF221" s="45">
        <v>0</v>
      </c>
      <c r="BG221" s="46">
        <v>0</v>
      </c>
      <c r="BH221" s="45">
        <v>0</v>
      </c>
      <c r="BI221" s="46">
        <v>0</v>
      </c>
      <c r="BJ221" s="45">
        <v>0</v>
      </c>
      <c r="BK221" s="46">
        <v>0</v>
      </c>
      <c r="BL221" s="45">
        <v>2</v>
      </c>
      <c r="BM221" s="46">
        <v>100</v>
      </c>
      <c r="BN221" s="45">
        <v>2</v>
      </c>
    </row>
    <row r="222" spans="1:66" ht="15">
      <c r="A222" s="61" t="s">
        <v>413</v>
      </c>
      <c r="B222" s="61" t="s">
        <v>546</v>
      </c>
      <c r="C222" s="62"/>
      <c r="D222" s="63"/>
      <c r="E222" s="62"/>
      <c r="F222" s="65"/>
      <c r="G222" s="62"/>
      <c r="H222" s="66"/>
      <c r="I222" s="67"/>
      <c r="J222" s="67"/>
      <c r="K222" s="31" t="s">
        <v>65</v>
      </c>
      <c r="L222" s="68">
        <v>333</v>
      </c>
      <c r="M222" s="68"/>
      <c r="N222" s="69"/>
      <c r="O222" s="76" t="s">
        <v>587</v>
      </c>
      <c r="P222" s="78">
        <v>44818.36344907407</v>
      </c>
      <c r="Q222" s="76" t="s">
        <v>725</v>
      </c>
      <c r="R222" s="76"/>
      <c r="S222" s="76"/>
      <c r="T222" s="81" t="s">
        <v>795</v>
      </c>
      <c r="U222" s="76"/>
      <c r="V222" s="79" t="str">
        <f>HYPERLINK("https://pbs.twimg.com/profile_images/1560723548540489739/Cp800W5O_normal.jpg")</f>
        <v>https://pbs.twimg.com/profile_images/1560723548540489739/Cp800W5O_normal.jpg</v>
      </c>
      <c r="W222" s="78">
        <v>44818.36344907407</v>
      </c>
      <c r="X222" s="84">
        <v>44818</v>
      </c>
      <c r="Y222" s="81" t="s">
        <v>1114</v>
      </c>
      <c r="Z222" s="79" t="str">
        <f>HYPERLINK("https://twitter.com/bobmozg/status/1569970048235884544")</f>
        <v>https://twitter.com/bobmozg/status/1569970048235884544</v>
      </c>
      <c r="AA222" s="76"/>
      <c r="AB222" s="76"/>
      <c r="AC222" s="81" t="s">
        <v>1445</v>
      </c>
      <c r="AD222" s="81" t="s">
        <v>1631</v>
      </c>
      <c r="AE222" s="76" t="b">
        <v>0</v>
      </c>
      <c r="AF222" s="76">
        <v>0</v>
      </c>
      <c r="AG222" s="81" t="s">
        <v>1736</v>
      </c>
      <c r="AH222" s="76" t="b">
        <v>0</v>
      </c>
      <c r="AI222" s="76" t="s">
        <v>1773</v>
      </c>
      <c r="AJ222" s="76"/>
      <c r="AK222" s="81" t="s">
        <v>1674</v>
      </c>
      <c r="AL222" s="76" t="b">
        <v>0</v>
      </c>
      <c r="AM222" s="76">
        <v>0</v>
      </c>
      <c r="AN222" s="81" t="s">
        <v>1674</v>
      </c>
      <c r="AO222" s="81" t="s">
        <v>1808</v>
      </c>
      <c r="AP222" s="76" t="b">
        <v>0</v>
      </c>
      <c r="AQ222" s="81" t="s">
        <v>1631</v>
      </c>
      <c r="AR222" s="76" t="s">
        <v>219</v>
      </c>
      <c r="AS222" s="76">
        <v>0</v>
      </c>
      <c r="AT222" s="76">
        <v>0</v>
      </c>
      <c r="AU222" s="76"/>
      <c r="AV222" s="76"/>
      <c r="AW222" s="76"/>
      <c r="AX222" s="76"/>
      <c r="AY222" s="76"/>
      <c r="AZ222" s="76"/>
      <c r="BA222" s="76"/>
      <c r="BB222" s="76"/>
      <c r="BC222">
        <v>4</v>
      </c>
      <c r="BD222" s="75" t="str">
        <f>REPLACE(INDEX(GroupVertices[Group],MATCH(Edges25[[#This Row],[Vertex 1]],GroupVertices[Vertex],0)),1,1,"")</f>
        <v>15</v>
      </c>
      <c r="BE222" s="75" t="str">
        <f>REPLACE(INDEX(GroupVertices[Group],MATCH(Edges25[[#This Row],[Vertex 2]],GroupVertices[Vertex],0)),1,1,"")</f>
        <v>15</v>
      </c>
      <c r="BF222" s="45">
        <v>0</v>
      </c>
      <c r="BG222" s="46">
        <v>0</v>
      </c>
      <c r="BH222" s="45">
        <v>0</v>
      </c>
      <c r="BI222" s="46">
        <v>0</v>
      </c>
      <c r="BJ222" s="45">
        <v>0</v>
      </c>
      <c r="BK222" s="46">
        <v>0</v>
      </c>
      <c r="BL222" s="45">
        <v>2</v>
      </c>
      <c r="BM222" s="46">
        <v>100</v>
      </c>
      <c r="BN222" s="45">
        <v>2</v>
      </c>
    </row>
    <row r="223" spans="1:66" ht="15">
      <c r="A223" s="61" t="s">
        <v>413</v>
      </c>
      <c r="B223" s="61" t="s">
        <v>547</v>
      </c>
      <c r="C223" s="62"/>
      <c r="D223" s="63"/>
      <c r="E223" s="62"/>
      <c r="F223" s="65"/>
      <c r="G223" s="62"/>
      <c r="H223" s="66"/>
      <c r="I223" s="67"/>
      <c r="J223" s="67"/>
      <c r="K223" s="31" t="s">
        <v>65</v>
      </c>
      <c r="L223" s="68">
        <v>334</v>
      </c>
      <c r="M223" s="68"/>
      <c r="N223" s="69"/>
      <c r="O223" s="76" t="s">
        <v>587</v>
      </c>
      <c r="P223" s="78">
        <v>44819.47493055555</v>
      </c>
      <c r="Q223" s="76" t="s">
        <v>726</v>
      </c>
      <c r="R223" s="76"/>
      <c r="S223" s="76"/>
      <c r="T223" s="81" t="s">
        <v>795</v>
      </c>
      <c r="U223" s="76"/>
      <c r="V223" s="79" t="str">
        <f>HYPERLINK("https://pbs.twimg.com/profile_images/1560723548540489739/Cp800W5O_normal.jpg")</f>
        <v>https://pbs.twimg.com/profile_images/1560723548540489739/Cp800W5O_normal.jpg</v>
      </c>
      <c r="W223" s="78">
        <v>44819.47493055555</v>
      </c>
      <c r="X223" s="84">
        <v>44819</v>
      </c>
      <c r="Y223" s="81" t="s">
        <v>1115</v>
      </c>
      <c r="Z223" s="79" t="str">
        <f>HYPERLINK("https://twitter.com/bobmozg/status/1570372834349969408")</f>
        <v>https://twitter.com/bobmozg/status/1570372834349969408</v>
      </c>
      <c r="AA223" s="76"/>
      <c r="AB223" s="76"/>
      <c r="AC223" s="81" t="s">
        <v>1446</v>
      </c>
      <c r="AD223" s="81" t="s">
        <v>1632</v>
      </c>
      <c r="AE223" s="76" t="b">
        <v>0</v>
      </c>
      <c r="AF223" s="76">
        <v>1</v>
      </c>
      <c r="AG223" s="81" t="s">
        <v>1737</v>
      </c>
      <c r="AH223" s="76" t="b">
        <v>0</v>
      </c>
      <c r="AI223" s="76" t="s">
        <v>1773</v>
      </c>
      <c r="AJ223" s="76"/>
      <c r="AK223" s="81" t="s">
        <v>1674</v>
      </c>
      <c r="AL223" s="76" t="b">
        <v>0</v>
      </c>
      <c r="AM223" s="76">
        <v>0</v>
      </c>
      <c r="AN223" s="81" t="s">
        <v>1674</v>
      </c>
      <c r="AO223" s="81" t="s">
        <v>1808</v>
      </c>
      <c r="AP223" s="76" t="b">
        <v>0</v>
      </c>
      <c r="AQ223" s="81" t="s">
        <v>1632</v>
      </c>
      <c r="AR223" s="76" t="s">
        <v>219</v>
      </c>
      <c r="AS223" s="76">
        <v>0</v>
      </c>
      <c r="AT223" s="76">
        <v>0</v>
      </c>
      <c r="AU223" s="76"/>
      <c r="AV223" s="76"/>
      <c r="AW223" s="76"/>
      <c r="AX223" s="76"/>
      <c r="AY223" s="76"/>
      <c r="AZ223" s="76"/>
      <c r="BA223" s="76"/>
      <c r="BB223" s="76"/>
      <c r="BC223">
        <v>1</v>
      </c>
      <c r="BD223" s="75" t="str">
        <f>REPLACE(INDEX(GroupVertices[Group],MATCH(Edges25[[#This Row],[Vertex 1]],GroupVertices[Vertex],0)),1,1,"")</f>
        <v>15</v>
      </c>
      <c r="BE223" s="75" t="str">
        <f>REPLACE(INDEX(GroupVertices[Group],MATCH(Edges25[[#This Row],[Vertex 2]],GroupVertices[Vertex],0)),1,1,"")</f>
        <v>15</v>
      </c>
      <c r="BF223" s="45">
        <v>0</v>
      </c>
      <c r="BG223" s="46">
        <v>0</v>
      </c>
      <c r="BH223" s="45">
        <v>0</v>
      </c>
      <c r="BI223" s="46">
        <v>0</v>
      </c>
      <c r="BJ223" s="45">
        <v>0</v>
      </c>
      <c r="BK223" s="46">
        <v>0</v>
      </c>
      <c r="BL223" s="45">
        <v>2</v>
      </c>
      <c r="BM223" s="46">
        <v>100</v>
      </c>
      <c r="BN223" s="45">
        <v>2</v>
      </c>
    </row>
    <row r="224" spans="1:66" ht="15">
      <c r="A224" s="61" t="s">
        <v>414</v>
      </c>
      <c r="B224" s="61" t="s">
        <v>414</v>
      </c>
      <c r="C224" s="62"/>
      <c r="D224" s="63"/>
      <c r="E224" s="62"/>
      <c r="F224" s="65"/>
      <c r="G224" s="62"/>
      <c r="H224" s="66"/>
      <c r="I224" s="67"/>
      <c r="J224" s="67"/>
      <c r="K224" s="31" t="s">
        <v>65</v>
      </c>
      <c r="L224" s="68">
        <v>335</v>
      </c>
      <c r="M224" s="68"/>
      <c r="N224" s="69"/>
      <c r="O224" s="76" t="s">
        <v>219</v>
      </c>
      <c r="P224" s="78">
        <v>44811.2934375</v>
      </c>
      <c r="Q224" s="76" t="s">
        <v>590</v>
      </c>
      <c r="R224" s="76"/>
      <c r="S224" s="76"/>
      <c r="T224" s="81" t="s">
        <v>793</v>
      </c>
      <c r="U224" s="79" t="str">
        <f>HYPERLINK("https://pbs.twimg.com/media/FcCNOtRX0AMZ0JE.jpg")</f>
        <v>https://pbs.twimg.com/media/FcCNOtRX0AMZ0JE.jpg</v>
      </c>
      <c r="V224" s="79" t="str">
        <f>HYPERLINK("https://pbs.twimg.com/media/FcCNOtRX0AMZ0JE.jpg")</f>
        <v>https://pbs.twimg.com/media/FcCNOtRX0AMZ0JE.jpg</v>
      </c>
      <c r="W224" s="78">
        <v>44811.2934375</v>
      </c>
      <c r="X224" s="84">
        <v>44811</v>
      </c>
      <c r="Y224" s="81" t="s">
        <v>1116</v>
      </c>
      <c r="Z224" s="79" t="str">
        <f>HYPERLINK("https://twitter.com/amaresyev/status/1567407959860252672")</f>
        <v>https://twitter.com/amaresyev/status/1567407959860252672</v>
      </c>
      <c r="AA224" s="76"/>
      <c r="AB224" s="76"/>
      <c r="AC224" s="81" t="s">
        <v>1447</v>
      </c>
      <c r="AD224" s="76"/>
      <c r="AE224" s="76" t="b">
        <v>0</v>
      </c>
      <c r="AF224" s="76">
        <v>13</v>
      </c>
      <c r="AG224" s="81" t="s">
        <v>1674</v>
      </c>
      <c r="AH224" s="76" t="b">
        <v>0</v>
      </c>
      <c r="AI224" s="76" t="s">
        <v>1771</v>
      </c>
      <c r="AJ224" s="76"/>
      <c r="AK224" s="81" t="s">
        <v>1674</v>
      </c>
      <c r="AL224" s="76" t="b">
        <v>0</v>
      </c>
      <c r="AM224" s="76">
        <v>3</v>
      </c>
      <c r="AN224" s="81" t="s">
        <v>1674</v>
      </c>
      <c r="AO224" s="81" t="s">
        <v>1809</v>
      </c>
      <c r="AP224" s="76" t="b">
        <v>0</v>
      </c>
      <c r="AQ224" s="81" t="s">
        <v>1447</v>
      </c>
      <c r="AR224" s="76" t="s">
        <v>219</v>
      </c>
      <c r="AS224" s="76">
        <v>0</v>
      </c>
      <c r="AT224" s="76">
        <v>0</v>
      </c>
      <c r="AU224" s="76"/>
      <c r="AV224" s="76"/>
      <c r="AW224" s="76"/>
      <c r="AX224" s="76"/>
      <c r="AY224" s="76"/>
      <c r="AZ224" s="76"/>
      <c r="BA224" s="76"/>
      <c r="BB224" s="76"/>
      <c r="BC224">
        <v>13</v>
      </c>
      <c r="BD224" s="75" t="str">
        <f>REPLACE(INDEX(GroupVertices[Group],MATCH(Edges25[[#This Row],[Vertex 1]],GroupVertices[Vertex],0)),1,1,"")</f>
        <v>3</v>
      </c>
      <c r="BE224" s="75" t="str">
        <f>REPLACE(INDEX(GroupVertices[Group],MATCH(Edges25[[#This Row],[Vertex 2]],GroupVertices[Vertex],0)),1,1,"")</f>
        <v>3</v>
      </c>
      <c r="BF224" s="45">
        <v>0</v>
      </c>
      <c r="BG224" s="46">
        <v>0</v>
      </c>
      <c r="BH224" s="45">
        <v>0</v>
      </c>
      <c r="BI224" s="46">
        <v>0</v>
      </c>
      <c r="BJ224" s="45">
        <v>0</v>
      </c>
      <c r="BK224" s="46">
        <v>0</v>
      </c>
      <c r="BL224" s="45">
        <v>12</v>
      </c>
      <c r="BM224" s="46">
        <v>100</v>
      </c>
      <c r="BN224" s="45">
        <v>12</v>
      </c>
    </row>
    <row r="225" spans="1:66" ht="15">
      <c r="A225" s="61" t="s">
        <v>414</v>
      </c>
      <c r="B225" s="61" t="s">
        <v>414</v>
      </c>
      <c r="C225" s="62"/>
      <c r="D225" s="63"/>
      <c r="E225" s="62"/>
      <c r="F225" s="65"/>
      <c r="G225" s="62"/>
      <c r="H225" s="66"/>
      <c r="I225" s="67"/>
      <c r="J225" s="67"/>
      <c r="K225" s="31" t="s">
        <v>65</v>
      </c>
      <c r="L225" s="68">
        <v>336</v>
      </c>
      <c r="M225" s="68"/>
      <c r="N225" s="69"/>
      <c r="O225" s="76" t="s">
        <v>219</v>
      </c>
      <c r="P225" s="78">
        <v>44812.62965277778</v>
      </c>
      <c r="Q225" s="76" t="s">
        <v>727</v>
      </c>
      <c r="R225" s="76"/>
      <c r="S225" s="76"/>
      <c r="T225" s="81" t="s">
        <v>861</v>
      </c>
      <c r="U225" s="79" t="str">
        <f>HYPERLINK("https://pbs.twimg.com/ext_tw_video_thumb/1567891996022276102/pu/img/34zmVQTODZ5LX-eE.jpg")</f>
        <v>https://pbs.twimg.com/ext_tw_video_thumb/1567891996022276102/pu/img/34zmVQTODZ5LX-eE.jpg</v>
      </c>
      <c r="V225" s="79" t="str">
        <f>HYPERLINK("https://pbs.twimg.com/ext_tw_video_thumb/1567891996022276102/pu/img/34zmVQTODZ5LX-eE.jpg")</f>
        <v>https://pbs.twimg.com/ext_tw_video_thumb/1567891996022276102/pu/img/34zmVQTODZ5LX-eE.jpg</v>
      </c>
      <c r="W225" s="78">
        <v>44812.62965277778</v>
      </c>
      <c r="X225" s="84">
        <v>44812</v>
      </c>
      <c r="Y225" s="81" t="s">
        <v>1117</v>
      </c>
      <c r="Z225" s="79" t="str">
        <f>HYPERLINK("https://twitter.com/amaresyev/status/1567892187895025665")</f>
        <v>https://twitter.com/amaresyev/status/1567892187895025665</v>
      </c>
      <c r="AA225" s="76"/>
      <c r="AB225" s="76"/>
      <c r="AC225" s="81" t="s">
        <v>1448</v>
      </c>
      <c r="AD225" s="76"/>
      <c r="AE225" s="76" t="b">
        <v>0</v>
      </c>
      <c r="AF225" s="76">
        <v>8</v>
      </c>
      <c r="AG225" s="81" t="s">
        <v>1674</v>
      </c>
      <c r="AH225" s="76" t="b">
        <v>0</v>
      </c>
      <c r="AI225" s="76" t="s">
        <v>1773</v>
      </c>
      <c r="AJ225" s="76"/>
      <c r="AK225" s="81" t="s">
        <v>1674</v>
      </c>
      <c r="AL225" s="76" t="b">
        <v>0</v>
      </c>
      <c r="AM225" s="76">
        <v>0</v>
      </c>
      <c r="AN225" s="81" t="s">
        <v>1674</v>
      </c>
      <c r="AO225" s="81" t="s">
        <v>1809</v>
      </c>
      <c r="AP225" s="76" t="b">
        <v>0</v>
      </c>
      <c r="AQ225" s="81" t="s">
        <v>1448</v>
      </c>
      <c r="AR225" s="76" t="s">
        <v>219</v>
      </c>
      <c r="AS225" s="76">
        <v>0</v>
      </c>
      <c r="AT225" s="76">
        <v>0</v>
      </c>
      <c r="AU225" s="76"/>
      <c r="AV225" s="76"/>
      <c r="AW225" s="76"/>
      <c r="AX225" s="76"/>
      <c r="AY225" s="76"/>
      <c r="AZ225" s="76"/>
      <c r="BA225" s="76"/>
      <c r="BB225" s="76"/>
      <c r="BC225">
        <v>13</v>
      </c>
      <c r="BD225" s="75" t="str">
        <f>REPLACE(INDEX(GroupVertices[Group],MATCH(Edges25[[#This Row],[Vertex 1]],GroupVertices[Vertex],0)),1,1,"")</f>
        <v>3</v>
      </c>
      <c r="BE225" s="75" t="str">
        <f>REPLACE(INDEX(GroupVertices[Group],MATCH(Edges25[[#This Row],[Vertex 2]],GroupVertices[Vertex],0)),1,1,"")</f>
        <v>3</v>
      </c>
      <c r="BF225" s="45">
        <v>0</v>
      </c>
      <c r="BG225" s="46">
        <v>0</v>
      </c>
      <c r="BH225" s="45">
        <v>0</v>
      </c>
      <c r="BI225" s="46">
        <v>0</v>
      </c>
      <c r="BJ225" s="45">
        <v>0</v>
      </c>
      <c r="BK225" s="46">
        <v>0</v>
      </c>
      <c r="BL225" s="45">
        <v>4</v>
      </c>
      <c r="BM225" s="46">
        <v>100</v>
      </c>
      <c r="BN225" s="45">
        <v>4</v>
      </c>
    </row>
    <row r="226" spans="1:66" ht="15">
      <c r="A226" s="61" t="s">
        <v>414</v>
      </c>
      <c r="B226" s="61" t="s">
        <v>414</v>
      </c>
      <c r="C226" s="62"/>
      <c r="D226" s="63"/>
      <c r="E226" s="62"/>
      <c r="F226" s="65"/>
      <c r="G226" s="62"/>
      <c r="H226" s="66"/>
      <c r="I226" s="67"/>
      <c r="J226" s="67"/>
      <c r="K226" s="31" t="s">
        <v>65</v>
      </c>
      <c r="L226" s="68">
        <v>337</v>
      </c>
      <c r="M226" s="68"/>
      <c r="N226" s="69"/>
      <c r="O226" s="76" t="s">
        <v>219</v>
      </c>
      <c r="P226" s="78">
        <v>44812.673726851855</v>
      </c>
      <c r="Q226" s="76" t="s">
        <v>728</v>
      </c>
      <c r="R226" s="76"/>
      <c r="S226" s="76"/>
      <c r="T226" s="81" t="s">
        <v>862</v>
      </c>
      <c r="U226" s="79" t="str">
        <f>HYPERLINK("https://pbs.twimg.com/media/FcJUKOsXoAIvzeZ.jpg")</f>
        <v>https://pbs.twimg.com/media/FcJUKOsXoAIvzeZ.jpg</v>
      </c>
      <c r="V226" s="79" t="str">
        <f>HYPERLINK("https://pbs.twimg.com/media/FcJUKOsXoAIvzeZ.jpg")</f>
        <v>https://pbs.twimg.com/media/FcJUKOsXoAIvzeZ.jpg</v>
      </c>
      <c r="W226" s="78">
        <v>44812.673726851855</v>
      </c>
      <c r="X226" s="84">
        <v>44812</v>
      </c>
      <c r="Y226" s="81" t="s">
        <v>1118</v>
      </c>
      <c r="Z226" s="79" t="str">
        <f>HYPERLINK("https://twitter.com/amaresyev/status/1567908159582257153")</f>
        <v>https://twitter.com/amaresyev/status/1567908159582257153</v>
      </c>
      <c r="AA226" s="76"/>
      <c r="AB226" s="76"/>
      <c r="AC226" s="81" t="s">
        <v>1449</v>
      </c>
      <c r="AD226" s="76"/>
      <c r="AE226" s="76" t="b">
        <v>0</v>
      </c>
      <c r="AF226" s="76">
        <v>4</v>
      </c>
      <c r="AG226" s="81" t="s">
        <v>1674</v>
      </c>
      <c r="AH226" s="76" t="b">
        <v>0</v>
      </c>
      <c r="AI226" s="76" t="s">
        <v>1771</v>
      </c>
      <c r="AJ226" s="76"/>
      <c r="AK226" s="81" t="s">
        <v>1674</v>
      </c>
      <c r="AL226" s="76" t="b">
        <v>0</v>
      </c>
      <c r="AM226" s="76">
        <v>0</v>
      </c>
      <c r="AN226" s="81" t="s">
        <v>1674</v>
      </c>
      <c r="AO226" s="81" t="s">
        <v>1809</v>
      </c>
      <c r="AP226" s="76" t="b">
        <v>0</v>
      </c>
      <c r="AQ226" s="81" t="s">
        <v>1449</v>
      </c>
      <c r="AR226" s="76" t="s">
        <v>219</v>
      </c>
      <c r="AS226" s="76">
        <v>0</v>
      </c>
      <c r="AT226" s="76">
        <v>0</v>
      </c>
      <c r="AU226" s="76"/>
      <c r="AV226" s="76"/>
      <c r="AW226" s="76"/>
      <c r="AX226" s="76"/>
      <c r="AY226" s="76"/>
      <c r="AZ226" s="76"/>
      <c r="BA226" s="76"/>
      <c r="BB226" s="76"/>
      <c r="BC226">
        <v>13</v>
      </c>
      <c r="BD226" s="75" t="str">
        <f>REPLACE(INDEX(GroupVertices[Group],MATCH(Edges25[[#This Row],[Vertex 1]],GroupVertices[Vertex],0)),1,1,"")</f>
        <v>3</v>
      </c>
      <c r="BE226" s="75" t="str">
        <f>REPLACE(INDEX(GroupVertices[Group],MATCH(Edges25[[#This Row],[Vertex 2]],GroupVertices[Vertex],0)),1,1,"")</f>
        <v>3</v>
      </c>
      <c r="BF226" s="45">
        <v>0</v>
      </c>
      <c r="BG226" s="46">
        <v>0</v>
      </c>
      <c r="BH226" s="45">
        <v>0</v>
      </c>
      <c r="BI226" s="46">
        <v>0</v>
      </c>
      <c r="BJ226" s="45">
        <v>0</v>
      </c>
      <c r="BK226" s="46">
        <v>0</v>
      </c>
      <c r="BL226" s="45">
        <v>12</v>
      </c>
      <c r="BM226" s="46">
        <v>100</v>
      </c>
      <c r="BN226" s="45">
        <v>12</v>
      </c>
    </row>
    <row r="227" spans="1:66" ht="15">
      <c r="A227" s="61" t="s">
        <v>414</v>
      </c>
      <c r="B227" s="61" t="s">
        <v>414</v>
      </c>
      <c r="C227" s="62"/>
      <c r="D227" s="63"/>
      <c r="E227" s="62"/>
      <c r="F227" s="65"/>
      <c r="G227" s="62"/>
      <c r="H227" s="66"/>
      <c r="I227" s="67"/>
      <c r="J227" s="67"/>
      <c r="K227" s="31" t="s">
        <v>65</v>
      </c>
      <c r="L227" s="68">
        <v>338</v>
      </c>
      <c r="M227" s="68"/>
      <c r="N227" s="69"/>
      <c r="O227" s="76" t="s">
        <v>219</v>
      </c>
      <c r="P227" s="78">
        <v>44814.83221064815</v>
      </c>
      <c r="Q227" s="76" t="s">
        <v>632</v>
      </c>
      <c r="R227" s="76"/>
      <c r="S227" s="76"/>
      <c r="T227" s="81" t="s">
        <v>819</v>
      </c>
      <c r="U227" s="76"/>
      <c r="V227" s="79" t="str">
        <f>HYPERLINK("https://pbs.twimg.com/profile_images/1560409371443609601/2g7dKEs0_normal.jpg")</f>
        <v>https://pbs.twimg.com/profile_images/1560409371443609601/2g7dKEs0_normal.jpg</v>
      </c>
      <c r="W227" s="78">
        <v>44814.83221064815</v>
      </c>
      <c r="X227" s="84">
        <v>44814</v>
      </c>
      <c r="Y227" s="81" t="s">
        <v>1119</v>
      </c>
      <c r="Z227" s="79" t="str">
        <f>HYPERLINK("https://twitter.com/amaresyev/status/1568690370866978816")</f>
        <v>https://twitter.com/amaresyev/status/1568690370866978816</v>
      </c>
      <c r="AA227" s="76"/>
      <c r="AB227" s="76"/>
      <c r="AC227" s="81" t="s">
        <v>1450</v>
      </c>
      <c r="AD227" s="76"/>
      <c r="AE227" s="76" t="b">
        <v>0</v>
      </c>
      <c r="AF227" s="76">
        <v>24</v>
      </c>
      <c r="AG227" s="81" t="s">
        <v>1674</v>
      </c>
      <c r="AH227" s="76" t="b">
        <v>0</v>
      </c>
      <c r="AI227" s="76" t="s">
        <v>1771</v>
      </c>
      <c r="AJ227" s="76"/>
      <c r="AK227" s="81" t="s">
        <v>1674</v>
      </c>
      <c r="AL227" s="76" t="b">
        <v>0</v>
      </c>
      <c r="AM227" s="76">
        <v>4</v>
      </c>
      <c r="AN227" s="81" t="s">
        <v>1674</v>
      </c>
      <c r="AO227" s="81" t="s">
        <v>1809</v>
      </c>
      <c r="AP227" s="76" t="b">
        <v>0</v>
      </c>
      <c r="AQ227" s="81" t="s">
        <v>1450</v>
      </c>
      <c r="AR227" s="76" t="s">
        <v>219</v>
      </c>
      <c r="AS227" s="76">
        <v>0</v>
      </c>
      <c r="AT227" s="76">
        <v>0</v>
      </c>
      <c r="AU227" s="76"/>
      <c r="AV227" s="76"/>
      <c r="AW227" s="76"/>
      <c r="AX227" s="76"/>
      <c r="AY227" s="76"/>
      <c r="AZ227" s="76"/>
      <c r="BA227" s="76"/>
      <c r="BB227" s="76"/>
      <c r="BC227">
        <v>13</v>
      </c>
      <c r="BD227" s="75" t="str">
        <f>REPLACE(INDEX(GroupVertices[Group],MATCH(Edges25[[#This Row],[Vertex 1]],GroupVertices[Vertex],0)),1,1,"")</f>
        <v>3</v>
      </c>
      <c r="BE227" s="75" t="str">
        <f>REPLACE(INDEX(GroupVertices[Group],MATCH(Edges25[[#This Row],[Vertex 2]],GroupVertices[Vertex],0)),1,1,"")</f>
        <v>3</v>
      </c>
      <c r="BF227" s="45">
        <v>0</v>
      </c>
      <c r="BG227" s="46">
        <v>0</v>
      </c>
      <c r="BH227" s="45">
        <v>0</v>
      </c>
      <c r="BI227" s="46">
        <v>0</v>
      </c>
      <c r="BJ227" s="45">
        <v>0</v>
      </c>
      <c r="BK227" s="46">
        <v>0</v>
      </c>
      <c r="BL227" s="45">
        <v>5</v>
      </c>
      <c r="BM227" s="46">
        <v>100</v>
      </c>
      <c r="BN227" s="45">
        <v>5</v>
      </c>
    </row>
    <row r="228" spans="1:66" ht="15">
      <c r="A228" s="61" t="s">
        <v>414</v>
      </c>
      <c r="B228" s="61" t="s">
        <v>414</v>
      </c>
      <c r="C228" s="62"/>
      <c r="D228" s="63"/>
      <c r="E228" s="62"/>
      <c r="F228" s="65"/>
      <c r="G228" s="62"/>
      <c r="H228" s="66"/>
      <c r="I228" s="67"/>
      <c r="J228" s="67"/>
      <c r="K228" s="31" t="s">
        <v>65</v>
      </c>
      <c r="L228" s="68">
        <v>339</v>
      </c>
      <c r="M228" s="68"/>
      <c r="N228" s="69"/>
      <c r="O228" s="76" t="s">
        <v>219</v>
      </c>
      <c r="P228" s="78">
        <v>44815.88650462963</v>
      </c>
      <c r="Q228" s="76" t="s">
        <v>657</v>
      </c>
      <c r="R228" s="76"/>
      <c r="S228" s="76"/>
      <c r="T228" s="81" t="s">
        <v>819</v>
      </c>
      <c r="U228" s="76"/>
      <c r="V228" s="79" t="str">
        <f>HYPERLINK("https://pbs.twimg.com/profile_images/1560409371443609601/2g7dKEs0_normal.jpg")</f>
        <v>https://pbs.twimg.com/profile_images/1560409371443609601/2g7dKEs0_normal.jpg</v>
      </c>
      <c r="W228" s="78">
        <v>44815.88650462963</v>
      </c>
      <c r="X228" s="84">
        <v>44815</v>
      </c>
      <c r="Y228" s="81" t="s">
        <v>1120</v>
      </c>
      <c r="Z228" s="79" t="str">
        <f>HYPERLINK("https://twitter.com/amaresyev/status/1569072430504902656")</f>
        <v>https://twitter.com/amaresyev/status/1569072430504902656</v>
      </c>
      <c r="AA228" s="76"/>
      <c r="AB228" s="76"/>
      <c r="AC228" s="81" t="s">
        <v>1451</v>
      </c>
      <c r="AD228" s="76"/>
      <c r="AE228" s="76" t="b">
        <v>0</v>
      </c>
      <c r="AF228" s="76">
        <v>5</v>
      </c>
      <c r="AG228" s="81" t="s">
        <v>1674</v>
      </c>
      <c r="AH228" s="76" t="b">
        <v>0</v>
      </c>
      <c r="AI228" s="76" t="s">
        <v>1771</v>
      </c>
      <c r="AJ228" s="76"/>
      <c r="AK228" s="81" t="s">
        <v>1674</v>
      </c>
      <c r="AL228" s="76" t="b">
        <v>0</v>
      </c>
      <c r="AM228" s="76">
        <v>2</v>
      </c>
      <c r="AN228" s="81" t="s">
        <v>1674</v>
      </c>
      <c r="AO228" s="81" t="s">
        <v>1809</v>
      </c>
      <c r="AP228" s="76" t="b">
        <v>0</v>
      </c>
      <c r="AQ228" s="81" t="s">
        <v>1451</v>
      </c>
      <c r="AR228" s="76" t="s">
        <v>219</v>
      </c>
      <c r="AS228" s="76">
        <v>0</v>
      </c>
      <c r="AT228" s="76">
        <v>0</v>
      </c>
      <c r="AU228" s="76"/>
      <c r="AV228" s="76"/>
      <c r="AW228" s="76"/>
      <c r="AX228" s="76"/>
      <c r="AY228" s="76"/>
      <c r="AZ228" s="76"/>
      <c r="BA228" s="76"/>
      <c r="BB228" s="76"/>
      <c r="BC228">
        <v>13</v>
      </c>
      <c r="BD228" s="75" t="str">
        <f>REPLACE(INDEX(GroupVertices[Group],MATCH(Edges25[[#This Row],[Vertex 1]],GroupVertices[Vertex],0)),1,1,"")</f>
        <v>3</v>
      </c>
      <c r="BE228" s="75" t="str">
        <f>REPLACE(INDEX(GroupVertices[Group],MATCH(Edges25[[#This Row],[Vertex 2]],GroupVertices[Vertex],0)),1,1,"")</f>
        <v>3</v>
      </c>
      <c r="BF228" s="45">
        <v>0</v>
      </c>
      <c r="BG228" s="46">
        <v>0</v>
      </c>
      <c r="BH228" s="45">
        <v>0</v>
      </c>
      <c r="BI228" s="46">
        <v>0</v>
      </c>
      <c r="BJ228" s="45">
        <v>0</v>
      </c>
      <c r="BK228" s="46">
        <v>0</v>
      </c>
      <c r="BL228" s="45">
        <v>20</v>
      </c>
      <c r="BM228" s="46">
        <v>100</v>
      </c>
      <c r="BN228" s="45">
        <v>20</v>
      </c>
    </row>
    <row r="229" spans="1:66" ht="15">
      <c r="A229" s="61" t="s">
        <v>414</v>
      </c>
      <c r="B229" s="61" t="s">
        <v>414</v>
      </c>
      <c r="C229" s="62"/>
      <c r="D229" s="63"/>
      <c r="E229" s="62"/>
      <c r="F229" s="65"/>
      <c r="G229" s="62"/>
      <c r="H229" s="66"/>
      <c r="I229" s="67"/>
      <c r="J229" s="67"/>
      <c r="K229" s="31" t="s">
        <v>65</v>
      </c>
      <c r="L229" s="68">
        <v>340</v>
      </c>
      <c r="M229" s="68"/>
      <c r="N229" s="69"/>
      <c r="O229" s="76" t="s">
        <v>219</v>
      </c>
      <c r="P229" s="78">
        <v>44816.46512731481</v>
      </c>
      <c r="Q229" s="76" t="s">
        <v>713</v>
      </c>
      <c r="R229" s="76"/>
      <c r="S229" s="76"/>
      <c r="T229" s="81" t="s">
        <v>819</v>
      </c>
      <c r="U229" s="79" t="str">
        <f>HYPERLINK("https://pbs.twimg.com/ext_tw_video_thumb/1569282039861452802/pu/img/hpYkNNY2FvFNCj_Q.jpg")</f>
        <v>https://pbs.twimg.com/ext_tw_video_thumb/1569282039861452802/pu/img/hpYkNNY2FvFNCj_Q.jpg</v>
      </c>
      <c r="V229" s="79" t="str">
        <f>HYPERLINK("https://pbs.twimg.com/ext_tw_video_thumb/1569282039861452802/pu/img/hpYkNNY2FvFNCj_Q.jpg")</f>
        <v>https://pbs.twimg.com/ext_tw_video_thumb/1569282039861452802/pu/img/hpYkNNY2FvFNCj_Q.jpg</v>
      </c>
      <c r="W229" s="78">
        <v>44816.46512731481</v>
      </c>
      <c r="X229" s="84">
        <v>44816</v>
      </c>
      <c r="Y229" s="81" t="s">
        <v>1121</v>
      </c>
      <c r="Z229" s="79" t="str">
        <f>HYPERLINK("https://twitter.com/amaresyev/status/1569282120085913601")</f>
        <v>https://twitter.com/amaresyev/status/1569282120085913601</v>
      </c>
      <c r="AA229" s="76"/>
      <c r="AB229" s="76"/>
      <c r="AC229" s="81" t="s">
        <v>1452</v>
      </c>
      <c r="AD229" s="76"/>
      <c r="AE229" s="76" t="b">
        <v>0</v>
      </c>
      <c r="AF229" s="76">
        <v>17</v>
      </c>
      <c r="AG229" s="81" t="s">
        <v>1674</v>
      </c>
      <c r="AH229" s="76" t="b">
        <v>0</v>
      </c>
      <c r="AI229" s="76" t="s">
        <v>1771</v>
      </c>
      <c r="AJ229" s="76"/>
      <c r="AK229" s="81" t="s">
        <v>1674</v>
      </c>
      <c r="AL229" s="76" t="b">
        <v>0</v>
      </c>
      <c r="AM229" s="76">
        <v>3</v>
      </c>
      <c r="AN229" s="81" t="s">
        <v>1674</v>
      </c>
      <c r="AO229" s="81" t="s">
        <v>1809</v>
      </c>
      <c r="AP229" s="76" t="b">
        <v>0</v>
      </c>
      <c r="AQ229" s="81" t="s">
        <v>1452</v>
      </c>
      <c r="AR229" s="76" t="s">
        <v>219</v>
      </c>
      <c r="AS229" s="76">
        <v>0</v>
      </c>
      <c r="AT229" s="76">
        <v>0</v>
      </c>
      <c r="AU229" s="76"/>
      <c r="AV229" s="76"/>
      <c r="AW229" s="76"/>
      <c r="AX229" s="76"/>
      <c r="AY229" s="76"/>
      <c r="AZ229" s="76"/>
      <c r="BA229" s="76"/>
      <c r="BB229" s="76"/>
      <c r="BC229">
        <v>13</v>
      </c>
      <c r="BD229" s="75" t="str">
        <f>REPLACE(INDEX(GroupVertices[Group],MATCH(Edges25[[#This Row],[Vertex 1]],GroupVertices[Vertex],0)),1,1,"")</f>
        <v>3</v>
      </c>
      <c r="BE229" s="75" t="str">
        <f>REPLACE(INDEX(GroupVertices[Group],MATCH(Edges25[[#This Row],[Vertex 2]],GroupVertices[Vertex],0)),1,1,"")</f>
        <v>3</v>
      </c>
      <c r="BF229" s="45">
        <v>0</v>
      </c>
      <c r="BG229" s="46">
        <v>0</v>
      </c>
      <c r="BH229" s="45">
        <v>0</v>
      </c>
      <c r="BI229" s="46">
        <v>0</v>
      </c>
      <c r="BJ229" s="45">
        <v>0</v>
      </c>
      <c r="BK229" s="46">
        <v>0</v>
      </c>
      <c r="BL229" s="45">
        <v>12</v>
      </c>
      <c r="BM229" s="46">
        <v>100</v>
      </c>
      <c r="BN229" s="45">
        <v>12</v>
      </c>
    </row>
    <row r="230" spans="1:66" ht="15">
      <c r="A230" s="61" t="s">
        <v>414</v>
      </c>
      <c r="B230" s="61" t="s">
        <v>497</v>
      </c>
      <c r="C230" s="62"/>
      <c r="D230" s="63"/>
      <c r="E230" s="62"/>
      <c r="F230" s="65"/>
      <c r="G230" s="62"/>
      <c r="H230" s="66"/>
      <c r="I230" s="67"/>
      <c r="J230" s="67"/>
      <c r="K230" s="31" t="s">
        <v>65</v>
      </c>
      <c r="L230" s="68">
        <v>341</v>
      </c>
      <c r="M230" s="68"/>
      <c r="N230" s="69"/>
      <c r="O230" s="76" t="s">
        <v>588</v>
      </c>
      <c r="P230" s="78">
        <v>44816.55459490741</v>
      </c>
      <c r="Q230" s="76" t="s">
        <v>686</v>
      </c>
      <c r="R230" s="76"/>
      <c r="S230" s="76"/>
      <c r="T230" s="81" t="s">
        <v>842</v>
      </c>
      <c r="U230" s="79" t="str">
        <f>HYPERLINK("https://pbs.twimg.com/ext_tw_video_thumb/1569314489102630913/pu/img/BR0KDvRYMz2wMx5y.jpg")</f>
        <v>https://pbs.twimg.com/ext_tw_video_thumb/1569314489102630913/pu/img/BR0KDvRYMz2wMx5y.jpg</v>
      </c>
      <c r="V230" s="79" t="str">
        <f>HYPERLINK("https://pbs.twimg.com/ext_tw_video_thumb/1569314489102630913/pu/img/BR0KDvRYMz2wMx5y.jpg")</f>
        <v>https://pbs.twimg.com/ext_tw_video_thumb/1569314489102630913/pu/img/BR0KDvRYMz2wMx5y.jpg</v>
      </c>
      <c r="W230" s="78">
        <v>44816.55459490741</v>
      </c>
      <c r="X230" s="84">
        <v>44816</v>
      </c>
      <c r="Y230" s="81" t="s">
        <v>1122</v>
      </c>
      <c r="Z230" s="79" t="str">
        <f>HYPERLINK("https://twitter.com/amaresyev/status/1569314539979653120")</f>
        <v>https://twitter.com/amaresyev/status/1569314539979653120</v>
      </c>
      <c r="AA230" s="76"/>
      <c r="AB230" s="76"/>
      <c r="AC230" s="81" t="s">
        <v>1453</v>
      </c>
      <c r="AD230" s="76"/>
      <c r="AE230" s="76" t="b">
        <v>0</v>
      </c>
      <c r="AF230" s="76">
        <v>2</v>
      </c>
      <c r="AG230" s="81" t="s">
        <v>1674</v>
      </c>
      <c r="AH230" s="76" t="b">
        <v>0</v>
      </c>
      <c r="AI230" s="76" t="s">
        <v>1771</v>
      </c>
      <c r="AJ230" s="76"/>
      <c r="AK230" s="81" t="s">
        <v>1674</v>
      </c>
      <c r="AL230" s="76" t="b">
        <v>0</v>
      </c>
      <c r="AM230" s="76">
        <v>2</v>
      </c>
      <c r="AN230" s="81" t="s">
        <v>1674</v>
      </c>
      <c r="AO230" s="81" t="s">
        <v>1809</v>
      </c>
      <c r="AP230" s="76" t="b">
        <v>0</v>
      </c>
      <c r="AQ230" s="81" t="s">
        <v>1453</v>
      </c>
      <c r="AR230" s="76" t="s">
        <v>219</v>
      </c>
      <c r="AS230" s="76">
        <v>0</v>
      </c>
      <c r="AT230" s="76">
        <v>0</v>
      </c>
      <c r="AU230" s="76"/>
      <c r="AV230" s="76"/>
      <c r="AW230" s="76"/>
      <c r="AX230" s="76"/>
      <c r="AY230" s="76"/>
      <c r="AZ230" s="76"/>
      <c r="BA230" s="76"/>
      <c r="BB230" s="76"/>
      <c r="BC230">
        <v>1</v>
      </c>
      <c r="BD230" s="75" t="str">
        <f>REPLACE(INDEX(GroupVertices[Group],MATCH(Edges25[[#This Row],[Vertex 1]],GroupVertices[Vertex],0)),1,1,"")</f>
        <v>3</v>
      </c>
      <c r="BE230" s="75" t="str">
        <f>REPLACE(INDEX(GroupVertices[Group],MATCH(Edges25[[#This Row],[Vertex 2]],GroupVertices[Vertex],0)),1,1,"")</f>
        <v>3</v>
      </c>
      <c r="BF230" s="45">
        <v>0</v>
      </c>
      <c r="BG230" s="46">
        <v>0</v>
      </c>
      <c r="BH230" s="45">
        <v>0</v>
      </c>
      <c r="BI230" s="46">
        <v>0</v>
      </c>
      <c r="BJ230" s="45">
        <v>0</v>
      </c>
      <c r="BK230" s="46">
        <v>0</v>
      </c>
      <c r="BL230" s="45">
        <v>9</v>
      </c>
      <c r="BM230" s="46">
        <v>100</v>
      </c>
      <c r="BN230" s="45">
        <v>9</v>
      </c>
    </row>
    <row r="231" spans="1:66" ht="15">
      <c r="A231" s="61" t="s">
        <v>414</v>
      </c>
      <c r="B231" s="61" t="s">
        <v>414</v>
      </c>
      <c r="C231" s="62"/>
      <c r="D231" s="63"/>
      <c r="E231" s="62"/>
      <c r="F231" s="65"/>
      <c r="G231" s="62"/>
      <c r="H231" s="66"/>
      <c r="I231" s="67"/>
      <c r="J231" s="67"/>
      <c r="K231" s="31" t="s">
        <v>65</v>
      </c>
      <c r="L231" s="68">
        <v>342</v>
      </c>
      <c r="M231" s="68"/>
      <c r="N231" s="69"/>
      <c r="O231" s="76" t="s">
        <v>219</v>
      </c>
      <c r="P231" s="78">
        <v>44817.53082175926</v>
      </c>
      <c r="Q231" s="76" t="s">
        <v>687</v>
      </c>
      <c r="R231" s="76"/>
      <c r="S231" s="76"/>
      <c r="T231" s="81" t="s">
        <v>843</v>
      </c>
      <c r="U231" s="79" t="str">
        <f>HYPERLINK("https://pbs.twimg.com/media/FciVAscX0AA7C40.jpg")</f>
        <v>https://pbs.twimg.com/media/FciVAscX0AA7C40.jpg</v>
      </c>
      <c r="V231" s="79" t="str">
        <f>HYPERLINK("https://pbs.twimg.com/media/FciVAscX0AA7C40.jpg")</f>
        <v>https://pbs.twimg.com/media/FciVAscX0AA7C40.jpg</v>
      </c>
      <c r="W231" s="78">
        <v>44817.53082175926</v>
      </c>
      <c r="X231" s="84">
        <v>44817</v>
      </c>
      <c r="Y231" s="81" t="s">
        <v>1123</v>
      </c>
      <c r="Z231" s="79" t="str">
        <f>HYPERLINK("https://twitter.com/amaresyev/status/1569668314779250688")</f>
        <v>https://twitter.com/amaresyev/status/1569668314779250688</v>
      </c>
      <c r="AA231" s="76"/>
      <c r="AB231" s="76"/>
      <c r="AC231" s="81" t="s">
        <v>1454</v>
      </c>
      <c r="AD231" s="76"/>
      <c r="AE231" s="76" t="b">
        <v>0</v>
      </c>
      <c r="AF231" s="76">
        <v>7</v>
      </c>
      <c r="AG231" s="81" t="s">
        <v>1674</v>
      </c>
      <c r="AH231" s="76" t="b">
        <v>0</v>
      </c>
      <c r="AI231" s="76" t="s">
        <v>1771</v>
      </c>
      <c r="AJ231" s="76"/>
      <c r="AK231" s="81" t="s">
        <v>1674</v>
      </c>
      <c r="AL231" s="76" t="b">
        <v>0</v>
      </c>
      <c r="AM231" s="76">
        <v>2</v>
      </c>
      <c r="AN231" s="81" t="s">
        <v>1674</v>
      </c>
      <c r="AO231" s="81" t="s">
        <v>1809</v>
      </c>
      <c r="AP231" s="76" t="b">
        <v>0</v>
      </c>
      <c r="AQ231" s="81" t="s">
        <v>1454</v>
      </c>
      <c r="AR231" s="76" t="s">
        <v>219</v>
      </c>
      <c r="AS231" s="76">
        <v>0</v>
      </c>
      <c r="AT231" s="76">
        <v>0</v>
      </c>
      <c r="AU231" s="76"/>
      <c r="AV231" s="76"/>
      <c r="AW231" s="76"/>
      <c r="AX231" s="76"/>
      <c r="AY231" s="76"/>
      <c r="AZ231" s="76"/>
      <c r="BA231" s="76"/>
      <c r="BB231" s="76"/>
      <c r="BC231">
        <v>13</v>
      </c>
      <c r="BD231" s="75" t="str">
        <f>REPLACE(INDEX(GroupVertices[Group],MATCH(Edges25[[#This Row],[Vertex 1]],GroupVertices[Vertex],0)),1,1,"")</f>
        <v>3</v>
      </c>
      <c r="BE231" s="75" t="str">
        <f>REPLACE(INDEX(GroupVertices[Group],MATCH(Edges25[[#This Row],[Vertex 2]],GroupVertices[Vertex],0)),1,1,"")</f>
        <v>3</v>
      </c>
      <c r="BF231" s="45">
        <v>0</v>
      </c>
      <c r="BG231" s="46">
        <v>0</v>
      </c>
      <c r="BH231" s="45">
        <v>0</v>
      </c>
      <c r="BI231" s="46">
        <v>0</v>
      </c>
      <c r="BJ231" s="45">
        <v>0</v>
      </c>
      <c r="BK231" s="46">
        <v>0</v>
      </c>
      <c r="BL231" s="45">
        <v>13</v>
      </c>
      <c r="BM231" s="46">
        <v>100</v>
      </c>
      <c r="BN231" s="45">
        <v>13</v>
      </c>
    </row>
    <row r="232" spans="1:66" ht="15">
      <c r="A232" s="61" t="s">
        <v>414</v>
      </c>
      <c r="B232" s="61" t="s">
        <v>414</v>
      </c>
      <c r="C232" s="62"/>
      <c r="D232" s="63"/>
      <c r="E232" s="62"/>
      <c r="F232" s="65"/>
      <c r="G232" s="62"/>
      <c r="H232" s="66"/>
      <c r="I232" s="67"/>
      <c r="J232" s="67"/>
      <c r="K232" s="31" t="s">
        <v>65</v>
      </c>
      <c r="L232" s="68">
        <v>343</v>
      </c>
      <c r="M232" s="68"/>
      <c r="N232" s="69"/>
      <c r="O232" s="76" t="s">
        <v>219</v>
      </c>
      <c r="P232" s="78">
        <v>44817.70679398148</v>
      </c>
      <c r="Q232" s="76" t="s">
        <v>720</v>
      </c>
      <c r="R232" s="76"/>
      <c r="S232" s="76"/>
      <c r="T232" s="81" t="s">
        <v>842</v>
      </c>
      <c r="U232" s="76"/>
      <c r="V232" s="79" t="str">
        <f>HYPERLINK("https://pbs.twimg.com/profile_images/1560409371443609601/2g7dKEs0_normal.jpg")</f>
        <v>https://pbs.twimg.com/profile_images/1560409371443609601/2g7dKEs0_normal.jpg</v>
      </c>
      <c r="W232" s="78">
        <v>44817.70679398148</v>
      </c>
      <c r="X232" s="84">
        <v>44817</v>
      </c>
      <c r="Y232" s="81" t="s">
        <v>1124</v>
      </c>
      <c r="Z232" s="79" t="str">
        <f>HYPERLINK("https://twitter.com/amaresyev/status/1569732083781713920")</f>
        <v>https://twitter.com/amaresyev/status/1569732083781713920</v>
      </c>
      <c r="AA232" s="76"/>
      <c r="AB232" s="76"/>
      <c r="AC232" s="81" t="s">
        <v>1455</v>
      </c>
      <c r="AD232" s="81" t="s">
        <v>1633</v>
      </c>
      <c r="AE232" s="76" t="b">
        <v>0</v>
      </c>
      <c r="AF232" s="76">
        <v>3</v>
      </c>
      <c r="AG232" s="81" t="s">
        <v>1738</v>
      </c>
      <c r="AH232" s="76" t="b">
        <v>0</v>
      </c>
      <c r="AI232" s="76" t="s">
        <v>1771</v>
      </c>
      <c r="AJ232" s="76"/>
      <c r="AK232" s="81" t="s">
        <v>1674</v>
      </c>
      <c r="AL232" s="76" t="b">
        <v>0</v>
      </c>
      <c r="AM232" s="76">
        <v>2</v>
      </c>
      <c r="AN232" s="81" t="s">
        <v>1674</v>
      </c>
      <c r="AO232" s="81" t="s">
        <v>1809</v>
      </c>
      <c r="AP232" s="76" t="b">
        <v>0</v>
      </c>
      <c r="AQ232" s="81" t="s">
        <v>1633</v>
      </c>
      <c r="AR232" s="76" t="s">
        <v>219</v>
      </c>
      <c r="AS232" s="76">
        <v>0</v>
      </c>
      <c r="AT232" s="76">
        <v>0</v>
      </c>
      <c r="AU232" s="76"/>
      <c r="AV232" s="76"/>
      <c r="AW232" s="76"/>
      <c r="AX232" s="76"/>
      <c r="AY232" s="76"/>
      <c r="AZ232" s="76"/>
      <c r="BA232" s="76"/>
      <c r="BB232" s="76"/>
      <c r="BC232">
        <v>13</v>
      </c>
      <c r="BD232" s="75" t="str">
        <f>REPLACE(INDEX(GroupVertices[Group],MATCH(Edges25[[#This Row],[Vertex 1]],GroupVertices[Vertex],0)),1,1,"")</f>
        <v>3</v>
      </c>
      <c r="BE232" s="75" t="str">
        <f>REPLACE(INDEX(GroupVertices[Group],MATCH(Edges25[[#This Row],[Vertex 2]],GroupVertices[Vertex],0)),1,1,"")</f>
        <v>3</v>
      </c>
      <c r="BF232" s="45">
        <v>0</v>
      </c>
      <c r="BG232" s="46">
        <v>0</v>
      </c>
      <c r="BH232" s="45">
        <v>0</v>
      </c>
      <c r="BI232" s="46">
        <v>0</v>
      </c>
      <c r="BJ232" s="45">
        <v>0</v>
      </c>
      <c r="BK232" s="46">
        <v>0</v>
      </c>
      <c r="BL232" s="45">
        <v>31</v>
      </c>
      <c r="BM232" s="46">
        <v>100</v>
      </c>
      <c r="BN232" s="45">
        <v>31</v>
      </c>
    </row>
    <row r="233" spans="1:66" ht="15">
      <c r="A233" s="61" t="s">
        <v>414</v>
      </c>
      <c r="B233" s="61" t="s">
        <v>414</v>
      </c>
      <c r="C233" s="62"/>
      <c r="D233" s="63"/>
      <c r="E233" s="62"/>
      <c r="F233" s="65"/>
      <c r="G233" s="62"/>
      <c r="H233" s="66"/>
      <c r="I233" s="67"/>
      <c r="J233" s="67"/>
      <c r="K233" s="31" t="s">
        <v>65</v>
      </c>
      <c r="L233" s="68">
        <v>344</v>
      </c>
      <c r="M233" s="68"/>
      <c r="N233" s="69"/>
      <c r="O233" s="76" t="s">
        <v>219</v>
      </c>
      <c r="P233" s="78">
        <v>44818.44868055556</v>
      </c>
      <c r="Q233" s="76" t="s">
        <v>702</v>
      </c>
      <c r="R233" s="76"/>
      <c r="S233" s="76"/>
      <c r="T233" s="81" t="s">
        <v>850</v>
      </c>
      <c r="U233" s="79" t="str">
        <f>HYPERLINK("https://pbs.twimg.com/media/FcnDhrKWQAAs5gQ.jpg")</f>
        <v>https://pbs.twimg.com/media/FcnDhrKWQAAs5gQ.jpg</v>
      </c>
      <c r="V233" s="79" t="str">
        <f>HYPERLINK("https://pbs.twimg.com/media/FcnDhrKWQAAs5gQ.jpg")</f>
        <v>https://pbs.twimg.com/media/FcnDhrKWQAAs5gQ.jpg</v>
      </c>
      <c r="W233" s="78">
        <v>44818.44868055556</v>
      </c>
      <c r="X233" s="84">
        <v>44818</v>
      </c>
      <c r="Y233" s="81" t="s">
        <v>1125</v>
      </c>
      <c r="Z233" s="79" t="str">
        <f>HYPERLINK("https://twitter.com/amaresyev/status/1570000935769735168")</f>
        <v>https://twitter.com/amaresyev/status/1570000935769735168</v>
      </c>
      <c r="AA233" s="76"/>
      <c r="AB233" s="76"/>
      <c r="AC233" s="81" t="s">
        <v>1456</v>
      </c>
      <c r="AD233" s="76"/>
      <c r="AE233" s="76" t="b">
        <v>0</v>
      </c>
      <c r="AF233" s="76">
        <v>8</v>
      </c>
      <c r="AG233" s="81" t="s">
        <v>1674</v>
      </c>
      <c r="AH233" s="76" t="b">
        <v>0</v>
      </c>
      <c r="AI233" s="76" t="s">
        <v>1771</v>
      </c>
      <c r="AJ233" s="76"/>
      <c r="AK233" s="81" t="s">
        <v>1674</v>
      </c>
      <c r="AL233" s="76" t="b">
        <v>0</v>
      </c>
      <c r="AM233" s="76">
        <v>2</v>
      </c>
      <c r="AN233" s="81" t="s">
        <v>1674</v>
      </c>
      <c r="AO233" s="81" t="s">
        <v>1809</v>
      </c>
      <c r="AP233" s="76" t="b">
        <v>0</v>
      </c>
      <c r="AQ233" s="81" t="s">
        <v>1456</v>
      </c>
      <c r="AR233" s="76" t="s">
        <v>219</v>
      </c>
      <c r="AS233" s="76">
        <v>0</v>
      </c>
      <c r="AT233" s="76">
        <v>0</v>
      </c>
      <c r="AU233" s="76"/>
      <c r="AV233" s="76"/>
      <c r="AW233" s="76"/>
      <c r="AX233" s="76"/>
      <c r="AY233" s="76"/>
      <c r="AZ233" s="76"/>
      <c r="BA233" s="76"/>
      <c r="BB233" s="76"/>
      <c r="BC233">
        <v>13</v>
      </c>
      <c r="BD233" s="75" t="str">
        <f>REPLACE(INDEX(GroupVertices[Group],MATCH(Edges25[[#This Row],[Vertex 1]],GroupVertices[Vertex],0)),1,1,"")</f>
        <v>3</v>
      </c>
      <c r="BE233" s="75" t="str">
        <f>REPLACE(INDEX(GroupVertices[Group],MATCH(Edges25[[#This Row],[Vertex 2]],GroupVertices[Vertex],0)),1,1,"")</f>
        <v>3</v>
      </c>
      <c r="BF233" s="45">
        <v>0</v>
      </c>
      <c r="BG233" s="46">
        <v>0</v>
      </c>
      <c r="BH233" s="45">
        <v>0</v>
      </c>
      <c r="BI233" s="46">
        <v>0</v>
      </c>
      <c r="BJ233" s="45">
        <v>0</v>
      </c>
      <c r="BK233" s="46">
        <v>0</v>
      </c>
      <c r="BL233" s="45">
        <v>17</v>
      </c>
      <c r="BM233" s="46">
        <v>100</v>
      </c>
      <c r="BN233" s="45">
        <v>17</v>
      </c>
    </row>
    <row r="234" spans="1:66" ht="15">
      <c r="A234" s="61" t="s">
        <v>414</v>
      </c>
      <c r="B234" s="61" t="s">
        <v>414</v>
      </c>
      <c r="C234" s="62"/>
      <c r="D234" s="63"/>
      <c r="E234" s="62"/>
      <c r="F234" s="65"/>
      <c r="G234" s="62"/>
      <c r="H234" s="66"/>
      <c r="I234" s="67"/>
      <c r="J234" s="67"/>
      <c r="K234" s="31" t="s">
        <v>65</v>
      </c>
      <c r="L234" s="68">
        <v>345</v>
      </c>
      <c r="M234" s="68"/>
      <c r="N234" s="69"/>
      <c r="O234" s="76" t="s">
        <v>219</v>
      </c>
      <c r="P234" s="78">
        <v>44818.61817129629</v>
      </c>
      <c r="Q234" s="76" t="s">
        <v>703</v>
      </c>
      <c r="R234" s="76"/>
      <c r="S234" s="76"/>
      <c r="T234" s="81" t="s">
        <v>842</v>
      </c>
      <c r="U234" s="79" t="str">
        <f>HYPERLINK("https://pbs.twimg.com/ext_tw_video_thumb/1570062212479287298/pu/img/ECVQJFVi9S35pAcj.jpg")</f>
        <v>https://pbs.twimg.com/ext_tw_video_thumb/1570062212479287298/pu/img/ECVQJFVi9S35pAcj.jpg</v>
      </c>
      <c r="V234" s="79" t="str">
        <f>HYPERLINK("https://pbs.twimg.com/ext_tw_video_thumb/1570062212479287298/pu/img/ECVQJFVi9S35pAcj.jpg")</f>
        <v>https://pbs.twimg.com/ext_tw_video_thumb/1570062212479287298/pu/img/ECVQJFVi9S35pAcj.jpg</v>
      </c>
      <c r="W234" s="78">
        <v>44818.61817129629</v>
      </c>
      <c r="X234" s="84">
        <v>44818</v>
      </c>
      <c r="Y234" s="81" t="s">
        <v>1126</v>
      </c>
      <c r="Z234" s="79" t="str">
        <f>HYPERLINK("https://twitter.com/amaresyev/status/1570062353781198848")</f>
        <v>https://twitter.com/amaresyev/status/1570062353781198848</v>
      </c>
      <c r="AA234" s="76"/>
      <c r="AB234" s="76"/>
      <c r="AC234" s="81" t="s">
        <v>1457</v>
      </c>
      <c r="AD234" s="76"/>
      <c r="AE234" s="76" t="b">
        <v>0</v>
      </c>
      <c r="AF234" s="76">
        <v>45</v>
      </c>
      <c r="AG234" s="81" t="s">
        <v>1674</v>
      </c>
      <c r="AH234" s="76" t="b">
        <v>0</v>
      </c>
      <c r="AI234" s="76" t="s">
        <v>1771</v>
      </c>
      <c r="AJ234" s="76"/>
      <c r="AK234" s="81" t="s">
        <v>1674</v>
      </c>
      <c r="AL234" s="76" t="b">
        <v>0</v>
      </c>
      <c r="AM234" s="76">
        <v>8</v>
      </c>
      <c r="AN234" s="81" t="s">
        <v>1674</v>
      </c>
      <c r="AO234" s="81" t="s">
        <v>1809</v>
      </c>
      <c r="AP234" s="76" t="b">
        <v>0</v>
      </c>
      <c r="AQ234" s="81" t="s">
        <v>1457</v>
      </c>
      <c r="AR234" s="76" t="s">
        <v>219</v>
      </c>
      <c r="AS234" s="76">
        <v>0</v>
      </c>
      <c r="AT234" s="76">
        <v>0</v>
      </c>
      <c r="AU234" s="76"/>
      <c r="AV234" s="76"/>
      <c r="AW234" s="76"/>
      <c r="AX234" s="76"/>
      <c r="AY234" s="76"/>
      <c r="AZ234" s="76"/>
      <c r="BA234" s="76"/>
      <c r="BB234" s="76"/>
      <c r="BC234">
        <v>13</v>
      </c>
      <c r="BD234" s="75" t="str">
        <f>REPLACE(INDEX(GroupVertices[Group],MATCH(Edges25[[#This Row],[Vertex 1]],GroupVertices[Vertex],0)),1,1,"")</f>
        <v>3</v>
      </c>
      <c r="BE234" s="75" t="str">
        <f>REPLACE(INDEX(GroupVertices[Group],MATCH(Edges25[[#This Row],[Vertex 2]],GroupVertices[Vertex],0)),1,1,"")</f>
        <v>3</v>
      </c>
      <c r="BF234" s="45">
        <v>0</v>
      </c>
      <c r="BG234" s="46">
        <v>0</v>
      </c>
      <c r="BH234" s="45">
        <v>0</v>
      </c>
      <c r="BI234" s="46">
        <v>0</v>
      </c>
      <c r="BJ234" s="45">
        <v>0</v>
      </c>
      <c r="BK234" s="46">
        <v>0</v>
      </c>
      <c r="BL234" s="45">
        <v>7</v>
      </c>
      <c r="BM234" s="46">
        <v>100</v>
      </c>
      <c r="BN234" s="45">
        <v>7</v>
      </c>
    </row>
    <row r="235" spans="1:66" ht="15">
      <c r="A235" s="61" t="s">
        <v>414</v>
      </c>
      <c r="B235" s="61" t="s">
        <v>414</v>
      </c>
      <c r="C235" s="62"/>
      <c r="D235" s="63"/>
      <c r="E235" s="62"/>
      <c r="F235" s="65"/>
      <c r="G235" s="62"/>
      <c r="H235" s="66"/>
      <c r="I235" s="67"/>
      <c r="J235" s="67"/>
      <c r="K235" s="31" t="s">
        <v>65</v>
      </c>
      <c r="L235" s="68">
        <v>346</v>
      </c>
      <c r="M235" s="68"/>
      <c r="N235" s="69"/>
      <c r="O235" s="76" t="s">
        <v>219</v>
      </c>
      <c r="P235" s="78">
        <v>44818.66540509259</v>
      </c>
      <c r="Q235" s="76" t="s">
        <v>711</v>
      </c>
      <c r="R235" s="76"/>
      <c r="S235" s="76"/>
      <c r="T235" s="81" t="s">
        <v>795</v>
      </c>
      <c r="U235" s="79" t="str">
        <f>HYPERLINK("https://pbs.twimg.com/ext_tw_video_thumb/1570079315068424192/pu/img/yVxrXvHEmivLuWgt.jpg")</f>
        <v>https://pbs.twimg.com/ext_tw_video_thumb/1570079315068424192/pu/img/yVxrXvHEmivLuWgt.jpg</v>
      </c>
      <c r="V235" s="79" t="str">
        <f>HYPERLINK("https://pbs.twimg.com/ext_tw_video_thumb/1570079315068424192/pu/img/yVxrXvHEmivLuWgt.jpg")</f>
        <v>https://pbs.twimg.com/ext_tw_video_thumb/1570079315068424192/pu/img/yVxrXvHEmivLuWgt.jpg</v>
      </c>
      <c r="W235" s="78">
        <v>44818.66540509259</v>
      </c>
      <c r="X235" s="84">
        <v>44818</v>
      </c>
      <c r="Y235" s="81" t="s">
        <v>1127</v>
      </c>
      <c r="Z235" s="79" t="str">
        <f>HYPERLINK("https://twitter.com/amaresyev/status/1570079470417215488")</f>
        <v>https://twitter.com/amaresyev/status/1570079470417215488</v>
      </c>
      <c r="AA235" s="76"/>
      <c r="AB235" s="76"/>
      <c r="AC235" s="81" t="s">
        <v>1458</v>
      </c>
      <c r="AD235" s="76"/>
      <c r="AE235" s="76" t="b">
        <v>0</v>
      </c>
      <c r="AF235" s="76">
        <v>8</v>
      </c>
      <c r="AG235" s="81" t="s">
        <v>1674</v>
      </c>
      <c r="AH235" s="76" t="b">
        <v>0</v>
      </c>
      <c r="AI235" s="76" t="s">
        <v>1771</v>
      </c>
      <c r="AJ235" s="76"/>
      <c r="AK235" s="81" t="s">
        <v>1674</v>
      </c>
      <c r="AL235" s="76" t="b">
        <v>0</v>
      </c>
      <c r="AM235" s="76">
        <v>2</v>
      </c>
      <c r="AN235" s="81" t="s">
        <v>1674</v>
      </c>
      <c r="AO235" s="81" t="s">
        <v>1809</v>
      </c>
      <c r="AP235" s="76" t="b">
        <v>0</v>
      </c>
      <c r="AQ235" s="81" t="s">
        <v>1458</v>
      </c>
      <c r="AR235" s="76" t="s">
        <v>219</v>
      </c>
      <c r="AS235" s="76">
        <v>0</v>
      </c>
      <c r="AT235" s="76">
        <v>0</v>
      </c>
      <c r="AU235" s="76"/>
      <c r="AV235" s="76"/>
      <c r="AW235" s="76"/>
      <c r="AX235" s="76"/>
      <c r="AY235" s="76"/>
      <c r="AZ235" s="76"/>
      <c r="BA235" s="76"/>
      <c r="BB235" s="76"/>
      <c r="BC235">
        <v>13</v>
      </c>
      <c r="BD235" s="75" t="str">
        <f>REPLACE(INDEX(GroupVertices[Group],MATCH(Edges25[[#This Row],[Vertex 1]],GroupVertices[Vertex],0)),1,1,"")</f>
        <v>3</v>
      </c>
      <c r="BE235" s="75" t="str">
        <f>REPLACE(INDEX(GroupVertices[Group],MATCH(Edges25[[#This Row],[Vertex 2]],GroupVertices[Vertex],0)),1,1,"")</f>
        <v>3</v>
      </c>
      <c r="BF235" s="45">
        <v>0</v>
      </c>
      <c r="BG235" s="46">
        <v>0</v>
      </c>
      <c r="BH235" s="45">
        <v>0</v>
      </c>
      <c r="BI235" s="46">
        <v>0</v>
      </c>
      <c r="BJ235" s="45">
        <v>0</v>
      </c>
      <c r="BK235" s="46">
        <v>0</v>
      </c>
      <c r="BL235" s="45">
        <v>36</v>
      </c>
      <c r="BM235" s="46">
        <v>100</v>
      </c>
      <c r="BN235" s="45">
        <v>36</v>
      </c>
    </row>
    <row r="236" spans="1:66" ht="15">
      <c r="A236" s="61" t="s">
        <v>414</v>
      </c>
      <c r="B236" s="61" t="s">
        <v>414</v>
      </c>
      <c r="C236" s="62"/>
      <c r="D236" s="63"/>
      <c r="E236" s="62"/>
      <c r="F236" s="65"/>
      <c r="G236" s="62"/>
      <c r="H236" s="66"/>
      <c r="I236" s="67"/>
      <c r="J236" s="67"/>
      <c r="K236" s="31" t="s">
        <v>65</v>
      </c>
      <c r="L236" s="68">
        <v>347</v>
      </c>
      <c r="M236" s="68"/>
      <c r="N236" s="69"/>
      <c r="O236" s="76" t="s">
        <v>219</v>
      </c>
      <c r="P236" s="78">
        <v>44818.793391203704</v>
      </c>
      <c r="Q236" s="76" t="s">
        <v>714</v>
      </c>
      <c r="R236" s="76"/>
      <c r="S236" s="76"/>
      <c r="T236" s="81" t="s">
        <v>857</v>
      </c>
      <c r="U236" s="79" t="str">
        <f>HYPERLINK("https://pbs.twimg.com/media/Fco1Im5WAAwCNtd.jpg")</f>
        <v>https://pbs.twimg.com/media/Fco1Im5WAAwCNtd.jpg</v>
      </c>
      <c r="V236" s="79" t="str">
        <f>HYPERLINK("https://pbs.twimg.com/media/Fco1Im5WAAwCNtd.jpg")</f>
        <v>https://pbs.twimg.com/media/Fco1Im5WAAwCNtd.jpg</v>
      </c>
      <c r="W236" s="78">
        <v>44818.793391203704</v>
      </c>
      <c r="X236" s="84">
        <v>44818</v>
      </c>
      <c r="Y236" s="81" t="s">
        <v>1128</v>
      </c>
      <c r="Z236" s="79" t="str">
        <f>HYPERLINK("https://twitter.com/amaresyev/status/1570125851999764480")</f>
        <v>https://twitter.com/amaresyev/status/1570125851999764480</v>
      </c>
      <c r="AA236" s="76"/>
      <c r="AB236" s="76"/>
      <c r="AC236" s="81" t="s">
        <v>1459</v>
      </c>
      <c r="AD236" s="76"/>
      <c r="AE236" s="76" t="b">
        <v>0</v>
      </c>
      <c r="AF236" s="76">
        <v>20</v>
      </c>
      <c r="AG236" s="81" t="s">
        <v>1674</v>
      </c>
      <c r="AH236" s="76" t="b">
        <v>0</v>
      </c>
      <c r="AI236" s="76" t="s">
        <v>1783</v>
      </c>
      <c r="AJ236" s="76"/>
      <c r="AK236" s="81" t="s">
        <v>1674</v>
      </c>
      <c r="AL236" s="76" t="b">
        <v>0</v>
      </c>
      <c r="AM236" s="76">
        <v>3</v>
      </c>
      <c r="AN236" s="81" t="s">
        <v>1674</v>
      </c>
      <c r="AO236" s="81" t="s">
        <v>1809</v>
      </c>
      <c r="AP236" s="76" t="b">
        <v>0</v>
      </c>
      <c r="AQ236" s="81" t="s">
        <v>1459</v>
      </c>
      <c r="AR236" s="76" t="s">
        <v>219</v>
      </c>
      <c r="AS236" s="76">
        <v>0</v>
      </c>
      <c r="AT236" s="76">
        <v>0</v>
      </c>
      <c r="AU236" s="76"/>
      <c r="AV236" s="76"/>
      <c r="AW236" s="76"/>
      <c r="AX236" s="76"/>
      <c r="AY236" s="76"/>
      <c r="AZ236" s="76"/>
      <c r="BA236" s="76"/>
      <c r="BB236" s="76"/>
      <c r="BC236">
        <v>13</v>
      </c>
      <c r="BD236" s="75" t="str">
        <f>REPLACE(INDEX(GroupVertices[Group],MATCH(Edges25[[#This Row],[Vertex 1]],GroupVertices[Vertex],0)),1,1,"")</f>
        <v>3</v>
      </c>
      <c r="BE236" s="75" t="str">
        <f>REPLACE(INDEX(GroupVertices[Group],MATCH(Edges25[[#This Row],[Vertex 2]],GroupVertices[Vertex],0)),1,1,"")</f>
        <v>3</v>
      </c>
      <c r="BF236" s="45">
        <v>0</v>
      </c>
      <c r="BG236" s="46">
        <v>0</v>
      </c>
      <c r="BH236" s="45">
        <v>0</v>
      </c>
      <c r="BI236" s="46">
        <v>0</v>
      </c>
      <c r="BJ236" s="45">
        <v>0</v>
      </c>
      <c r="BK236" s="46">
        <v>0</v>
      </c>
      <c r="BL236" s="45">
        <v>5</v>
      </c>
      <c r="BM236" s="46">
        <v>100</v>
      </c>
      <c r="BN236" s="45">
        <v>5</v>
      </c>
    </row>
    <row r="237" spans="1:66" ht="15">
      <c r="A237" s="61" t="s">
        <v>414</v>
      </c>
      <c r="B237" s="61" t="s">
        <v>414</v>
      </c>
      <c r="C237" s="62"/>
      <c r="D237" s="63"/>
      <c r="E237" s="62"/>
      <c r="F237" s="65"/>
      <c r="G237" s="62"/>
      <c r="H237" s="66"/>
      <c r="I237" s="67"/>
      <c r="J237" s="67"/>
      <c r="K237" s="31" t="s">
        <v>65</v>
      </c>
      <c r="L237" s="68">
        <v>348</v>
      </c>
      <c r="M237" s="68"/>
      <c r="N237" s="69"/>
      <c r="O237" s="76" t="s">
        <v>219</v>
      </c>
      <c r="P237" s="78">
        <v>44818.942199074074</v>
      </c>
      <c r="Q237" s="76" t="s">
        <v>716</v>
      </c>
      <c r="R237" s="76"/>
      <c r="S237" s="76"/>
      <c r="T237" s="81" t="s">
        <v>819</v>
      </c>
      <c r="U237" s="79" t="str">
        <f>HYPERLINK("https://pbs.twimg.com/media/FcpmLrCWQAEizKT.jpg")</f>
        <v>https://pbs.twimg.com/media/FcpmLrCWQAEizKT.jpg</v>
      </c>
      <c r="V237" s="79" t="str">
        <f>HYPERLINK("https://pbs.twimg.com/media/FcpmLrCWQAEizKT.jpg")</f>
        <v>https://pbs.twimg.com/media/FcpmLrCWQAEizKT.jpg</v>
      </c>
      <c r="W237" s="78">
        <v>44818.942199074074</v>
      </c>
      <c r="X237" s="84">
        <v>44818</v>
      </c>
      <c r="Y237" s="81" t="s">
        <v>1129</v>
      </c>
      <c r="Z237" s="79" t="str">
        <f>HYPERLINK("https://twitter.com/amaresyev/status/1570179777172242436")</f>
        <v>https://twitter.com/amaresyev/status/1570179777172242436</v>
      </c>
      <c r="AA237" s="76"/>
      <c r="AB237" s="76"/>
      <c r="AC237" s="81" t="s">
        <v>1460</v>
      </c>
      <c r="AD237" s="76"/>
      <c r="AE237" s="76" t="b">
        <v>0</v>
      </c>
      <c r="AF237" s="76">
        <v>11</v>
      </c>
      <c r="AG237" s="81" t="s">
        <v>1674</v>
      </c>
      <c r="AH237" s="76" t="b">
        <v>0</v>
      </c>
      <c r="AI237" s="76" t="s">
        <v>1771</v>
      </c>
      <c r="AJ237" s="76"/>
      <c r="AK237" s="81" t="s">
        <v>1674</v>
      </c>
      <c r="AL237" s="76" t="b">
        <v>0</v>
      </c>
      <c r="AM237" s="76">
        <v>3</v>
      </c>
      <c r="AN237" s="81" t="s">
        <v>1674</v>
      </c>
      <c r="AO237" s="81" t="s">
        <v>1809</v>
      </c>
      <c r="AP237" s="76" t="b">
        <v>0</v>
      </c>
      <c r="AQ237" s="81" t="s">
        <v>1460</v>
      </c>
      <c r="AR237" s="76" t="s">
        <v>219</v>
      </c>
      <c r="AS237" s="76">
        <v>0</v>
      </c>
      <c r="AT237" s="76">
        <v>0</v>
      </c>
      <c r="AU237" s="76"/>
      <c r="AV237" s="76"/>
      <c r="AW237" s="76"/>
      <c r="AX237" s="76"/>
      <c r="AY237" s="76"/>
      <c r="AZ237" s="76"/>
      <c r="BA237" s="76"/>
      <c r="BB237" s="76"/>
      <c r="BC237">
        <v>13</v>
      </c>
      <c r="BD237" s="75" t="str">
        <f>REPLACE(INDEX(GroupVertices[Group],MATCH(Edges25[[#This Row],[Vertex 1]],GroupVertices[Vertex],0)),1,1,"")</f>
        <v>3</v>
      </c>
      <c r="BE237" s="75" t="str">
        <f>REPLACE(INDEX(GroupVertices[Group],MATCH(Edges25[[#This Row],[Vertex 2]],GroupVertices[Vertex],0)),1,1,"")</f>
        <v>3</v>
      </c>
      <c r="BF237" s="45">
        <v>0</v>
      </c>
      <c r="BG237" s="46">
        <v>0</v>
      </c>
      <c r="BH237" s="45">
        <v>0</v>
      </c>
      <c r="BI237" s="46">
        <v>0</v>
      </c>
      <c r="BJ237" s="45">
        <v>0</v>
      </c>
      <c r="BK237" s="46">
        <v>0</v>
      </c>
      <c r="BL237" s="45">
        <v>10</v>
      </c>
      <c r="BM237" s="46">
        <v>100</v>
      </c>
      <c r="BN237" s="45">
        <v>10</v>
      </c>
    </row>
    <row r="238" spans="1:66" ht="15">
      <c r="A238" s="61" t="s">
        <v>415</v>
      </c>
      <c r="B238" s="61" t="s">
        <v>414</v>
      </c>
      <c r="C238" s="62"/>
      <c r="D238" s="63"/>
      <c r="E238" s="62"/>
      <c r="F238" s="65"/>
      <c r="G238" s="62"/>
      <c r="H238" s="66"/>
      <c r="I238" s="67"/>
      <c r="J238" s="67"/>
      <c r="K238" s="31" t="s">
        <v>65</v>
      </c>
      <c r="L238" s="68">
        <v>349</v>
      </c>
      <c r="M238" s="68"/>
      <c r="N238" s="69"/>
      <c r="O238" s="76" t="s">
        <v>586</v>
      </c>
      <c r="P238" s="78">
        <v>44819.488645833335</v>
      </c>
      <c r="Q238" s="76" t="s">
        <v>703</v>
      </c>
      <c r="R238" s="76"/>
      <c r="S238" s="76"/>
      <c r="T238" s="81" t="s">
        <v>842</v>
      </c>
      <c r="U238" s="79" t="str">
        <f>HYPERLINK("https://pbs.twimg.com/ext_tw_video_thumb/1570062212479287298/pu/img/ECVQJFVi9S35pAcj.jpg")</f>
        <v>https://pbs.twimg.com/ext_tw_video_thumb/1570062212479287298/pu/img/ECVQJFVi9S35pAcj.jpg</v>
      </c>
      <c r="V238" s="79" t="str">
        <f>HYPERLINK("https://pbs.twimg.com/ext_tw_video_thumb/1570062212479287298/pu/img/ECVQJFVi9S35pAcj.jpg")</f>
        <v>https://pbs.twimg.com/ext_tw_video_thumb/1570062212479287298/pu/img/ECVQJFVi9S35pAcj.jpg</v>
      </c>
      <c r="W238" s="78">
        <v>44819.488645833335</v>
      </c>
      <c r="X238" s="84">
        <v>44819</v>
      </c>
      <c r="Y238" s="81" t="s">
        <v>1130</v>
      </c>
      <c r="Z238" s="79" t="str">
        <f>HYPERLINK("https://twitter.com/furkane38029958/status/1570377802888925185")</f>
        <v>https://twitter.com/furkane38029958/status/1570377802888925185</v>
      </c>
      <c r="AA238" s="76"/>
      <c r="AB238" s="76"/>
      <c r="AC238" s="81" t="s">
        <v>1461</v>
      </c>
      <c r="AD238" s="76"/>
      <c r="AE238" s="76" t="b">
        <v>0</v>
      </c>
      <c r="AF238" s="76">
        <v>0</v>
      </c>
      <c r="AG238" s="81" t="s">
        <v>1674</v>
      </c>
      <c r="AH238" s="76" t="b">
        <v>0</v>
      </c>
      <c r="AI238" s="76" t="s">
        <v>1771</v>
      </c>
      <c r="AJ238" s="76"/>
      <c r="AK238" s="81" t="s">
        <v>1674</v>
      </c>
      <c r="AL238" s="76" t="b">
        <v>0</v>
      </c>
      <c r="AM238" s="76">
        <v>8</v>
      </c>
      <c r="AN238" s="81" t="s">
        <v>1457</v>
      </c>
      <c r="AO238" s="81" t="s">
        <v>1807</v>
      </c>
      <c r="AP238" s="76" t="b">
        <v>0</v>
      </c>
      <c r="AQ238" s="81" t="s">
        <v>1457</v>
      </c>
      <c r="AR238" s="76" t="s">
        <v>219</v>
      </c>
      <c r="AS238" s="76">
        <v>0</v>
      </c>
      <c r="AT238" s="76">
        <v>0</v>
      </c>
      <c r="AU238" s="76"/>
      <c r="AV238" s="76"/>
      <c r="AW238" s="76"/>
      <c r="AX238" s="76"/>
      <c r="AY238" s="76"/>
      <c r="AZ238" s="76"/>
      <c r="BA238" s="76"/>
      <c r="BB238" s="76"/>
      <c r="BC238">
        <v>1</v>
      </c>
      <c r="BD238" s="75" t="str">
        <f>REPLACE(INDEX(GroupVertices[Group],MATCH(Edges25[[#This Row],[Vertex 1]],GroupVertices[Vertex],0)),1,1,"")</f>
        <v>3</v>
      </c>
      <c r="BE238" s="75" t="str">
        <f>REPLACE(INDEX(GroupVertices[Group],MATCH(Edges25[[#This Row],[Vertex 2]],GroupVertices[Vertex],0)),1,1,"")</f>
        <v>3</v>
      </c>
      <c r="BF238" s="45">
        <v>0</v>
      </c>
      <c r="BG238" s="46">
        <v>0</v>
      </c>
      <c r="BH238" s="45">
        <v>0</v>
      </c>
      <c r="BI238" s="46">
        <v>0</v>
      </c>
      <c r="BJ238" s="45">
        <v>0</v>
      </c>
      <c r="BK238" s="46">
        <v>0</v>
      </c>
      <c r="BL238" s="45">
        <v>7</v>
      </c>
      <c r="BM238" s="46">
        <v>100</v>
      </c>
      <c r="BN238" s="45">
        <v>7</v>
      </c>
    </row>
    <row r="239" spans="1:66" ht="15">
      <c r="A239" s="61" t="s">
        <v>416</v>
      </c>
      <c r="B239" s="61" t="s">
        <v>548</v>
      </c>
      <c r="C239" s="62"/>
      <c r="D239" s="63"/>
      <c r="E239" s="62"/>
      <c r="F239" s="65"/>
      <c r="G239" s="62"/>
      <c r="H239" s="66"/>
      <c r="I239" s="67"/>
      <c r="J239" s="67"/>
      <c r="K239" s="31" t="s">
        <v>65</v>
      </c>
      <c r="L239" s="68">
        <v>350</v>
      </c>
      <c r="M239" s="68"/>
      <c r="N239" s="69"/>
      <c r="O239" s="76" t="s">
        <v>588</v>
      </c>
      <c r="P239" s="78">
        <v>44819.53134259259</v>
      </c>
      <c r="Q239" s="76" t="s">
        <v>729</v>
      </c>
      <c r="R239" s="76"/>
      <c r="S239" s="76"/>
      <c r="T239" s="81" t="s">
        <v>863</v>
      </c>
      <c r="U239" s="76"/>
      <c r="V239" s="79" t="str">
        <f>HYPERLINK("https://pbs.twimg.com/profile_images/1508251090029977611/WDRwpOWf_normal.jpg")</f>
        <v>https://pbs.twimg.com/profile_images/1508251090029977611/WDRwpOWf_normal.jpg</v>
      </c>
      <c r="W239" s="78">
        <v>44819.53134259259</v>
      </c>
      <c r="X239" s="84">
        <v>44819</v>
      </c>
      <c r="Y239" s="81" t="s">
        <v>1131</v>
      </c>
      <c r="Z239" s="79" t="str">
        <f>HYPERLINK("https://twitter.com/rapheluriel/status/1570393279325413377")</f>
        <v>https://twitter.com/rapheluriel/status/1570393279325413377</v>
      </c>
      <c r="AA239" s="76"/>
      <c r="AB239" s="76"/>
      <c r="AC239" s="81" t="s">
        <v>1462</v>
      </c>
      <c r="AD239" s="76"/>
      <c r="AE239" s="76" t="b">
        <v>0</v>
      </c>
      <c r="AF239" s="76">
        <v>0</v>
      </c>
      <c r="AG239" s="81" t="s">
        <v>1739</v>
      </c>
      <c r="AH239" s="76" t="b">
        <v>0</v>
      </c>
      <c r="AI239" s="76" t="s">
        <v>1772</v>
      </c>
      <c r="AJ239" s="76"/>
      <c r="AK239" s="81" t="s">
        <v>1674</v>
      </c>
      <c r="AL239" s="76" t="b">
        <v>0</v>
      </c>
      <c r="AM239" s="76">
        <v>0</v>
      </c>
      <c r="AN239" s="81" t="s">
        <v>1674</v>
      </c>
      <c r="AO239" s="81" t="s">
        <v>1807</v>
      </c>
      <c r="AP239" s="76" t="b">
        <v>0</v>
      </c>
      <c r="AQ239" s="81" t="s">
        <v>1462</v>
      </c>
      <c r="AR239" s="76" t="s">
        <v>219</v>
      </c>
      <c r="AS239" s="76">
        <v>0</v>
      </c>
      <c r="AT239" s="76">
        <v>0</v>
      </c>
      <c r="AU239" s="76"/>
      <c r="AV239" s="76"/>
      <c r="AW239" s="76"/>
      <c r="AX239" s="76"/>
      <c r="AY239" s="76"/>
      <c r="AZ239" s="76"/>
      <c r="BA239" s="76"/>
      <c r="BB239" s="76"/>
      <c r="BC239">
        <v>1</v>
      </c>
      <c r="BD239" s="75" t="str">
        <f>REPLACE(INDEX(GroupVertices[Group],MATCH(Edges25[[#This Row],[Vertex 1]],GroupVertices[Vertex],0)),1,1,"")</f>
        <v>1</v>
      </c>
      <c r="BE239" s="75" t="str">
        <f>REPLACE(INDEX(GroupVertices[Group],MATCH(Edges25[[#This Row],[Vertex 2]],GroupVertices[Vertex],0)),1,1,"")</f>
        <v>1</v>
      </c>
      <c r="BF239" s="45">
        <v>0</v>
      </c>
      <c r="BG239" s="46">
        <v>0</v>
      </c>
      <c r="BH239" s="45">
        <v>1</v>
      </c>
      <c r="BI239" s="46">
        <v>2.857142857142857</v>
      </c>
      <c r="BJ239" s="45">
        <v>0</v>
      </c>
      <c r="BK239" s="46">
        <v>0</v>
      </c>
      <c r="BL239" s="45">
        <v>34</v>
      </c>
      <c r="BM239" s="46">
        <v>97.14285714285714</v>
      </c>
      <c r="BN239" s="45">
        <v>35</v>
      </c>
    </row>
    <row r="240" spans="1:66" ht="15">
      <c r="A240" s="61" t="s">
        <v>417</v>
      </c>
      <c r="B240" s="61" t="s">
        <v>549</v>
      </c>
      <c r="C240" s="62"/>
      <c r="D240" s="63"/>
      <c r="E240" s="62"/>
      <c r="F240" s="65"/>
      <c r="G240" s="62"/>
      <c r="H240" s="66"/>
      <c r="I240" s="67"/>
      <c r="J240" s="67"/>
      <c r="K240" s="31" t="s">
        <v>65</v>
      </c>
      <c r="L240" s="68">
        <v>352</v>
      </c>
      <c r="M240" s="68"/>
      <c r="N240" s="69"/>
      <c r="O240" s="76" t="s">
        <v>587</v>
      </c>
      <c r="P240" s="78">
        <v>44818.54833333333</v>
      </c>
      <c r="Q240" s="76" t="s">
        <v>730</v>
      </c>
      <c r="R240" s="76"/>
      <c r="S240" s="76"/>
      <c r="T240" s="81" t="s">
        <v>795</v>
      </c>
      <c r="U240" s="79" t="str">
        <f>HYPERLINK("https://pbs.twimg.com/media/FcnkRuvXkAI1huN.jpg")</f>
        <v>https://pbs.twimg.com/media/FcnkRuvXkAI1huN.jpg</v>
      </c>
      <c r="V240" s="79" t="str">
        <f>HYPERLINK("https://pbs.twimg.com/media/FcnkRuvXkAI1huN.jpg")</f>
        <v>https://pbs.twimg.com/media/FcnkRuvXkAI1huN.jpg</v>
      </c>
      <c r="W240" s="78">
        <v>44818.54833333333</v>
      </c>
      <c r="X240" s="84">
        <v>44818</v>
      </c>
      <c r="Y240" s="81" t="s">
        <v>1132</v>
      </c>
      <c r="Z240" s="79" t="str">
        <f>HYPERLINK("https://twitter.com/m4rcyu5/status/1570037048370774019")</f>
        <v>https://twitter.com/m4rcyu5/status/1570037048370774019</v>
      </c>
      <c r="AA240" s="76"/>
      <c r="AB240" s="76"/>
      <c r="AC240" s="81" t="s">
        <v>1463</v>
      </c>
      <c r="AD240" s="81" t="s">
        <v>1634</v>
      </c>
      <c r="AE240" s="76" t="b">
        <v>0</v>
      </c>
      <c r="AF240" s="76">
        <v>1</v>
      </c>
      <c r="AG240" s="81" t="s">
        <v>1740</v>
      </c>
      <c r="AH240" s="76" t="b">
        <v>0</v>
      </c>
      <c r="AI240" s="76" t="s">
        <v>1773</v>
      </c>
      <c r="AJ240" s="76"/>
      <c r="AK240" s="81" t="s">
        <v>1674</v>
      </c>
      <c r="AL240" s="76" t="b">
        <v>0</v>
      </c>
      <c r="AM240" s="76">
        <v>0</v>
      </c>
      <c r="AN240" s="81" t="s">
        <v>1674</v>
      </c>
      <c r="AO240" s="81" t="s">
        <v>1808</v>
      </c>
      <c r="AP240" s="76" t="b">
        <v>0</v>
      </c>
      <c r="AQ240" s="81" t="s">
        <v>1634</v>
      </c>
      <c r="AR240" s="76" t="s">
        <v>219</v>
      </c>
      <c r="AS240" s="76">
        <v>0</v>
      </c>
      <c r="AT240" s="76">
        <v>0</v>
      </c>
      <c r="AU240" s="76"/>
      <c r="AV240" s="76"/>
      <c r="AW240" s="76"/>
      <c r="AX240" s="76"/>
      <c r="AY240" s="76"/>
      <c r="AZ240" s="76"/>
      <c r="BA240" s="76"/>
      <c r="BB240" s="76"/>
      <c r="BC240">
        <v>1</v>
      </c>
      <c r="BD240" s="75" t="str">
        <f>REPLACE(INDEX(GroupVertices[Group],MATCH(Edges25[[#This Row],[Vertex 1]],GroupVertices[Vertex],0)),1,1,"")</f>
        <v>4</v>
      </c>
      <c r="BE240" s="75" t="str">
        <f>REPLACE(INDEX(GroupVertices[Group],MATCH(Edges25[[#This Row],[Vertex 2]],GroupVertices[Vertex],0)),1,1,"")</f>
        <v>4</v>
      </c>
      <c r="BF240" s="45">
        <v>0</v>
      </c>
      <c r="BG240" s="46">
        <v>0</v>
      </c>
      <c r="BH240" s="45">
        <v>0</v>
      </c>
      <c r="BI240" s="46">
        <v>0</v>
      </c>
      <c r="BJ240" s="45">
        <v>0</v>
      </c>
      <c r="BK240" s="46">
        <v>0</v>
      </c>
      <c r="BL240" s="45">
        <v>2</v>
      </c>
      <c r="BM240" s="46">
        <v>100</v>
      </c>
      <c r="BN240" s="45">
        <v>2</v>
      </c>
    </row>
    <row r="241" spans="1:66" ht="15">
      <c r="A241" s="61" t="s">
        <v>417</v>
      </c>
      <c r="B241" s="61" t="s">
        <v>550</v>
      </c>
      <c r="C241" s="62"/>
      <c r="D241" s="63"/>
      <c r="E241" s="62"/>
      <c r="F241" s="65"/>
      <c r="G241" s="62"/>
      <c r="H241" s="66"/>
      <c r="I241" s="67"/>
      <c r="J241" s="67"/>
      <c r="K241" s="31" t="s">
        <v>65</v>
      </c>
      <c r="L241" s="68">
        <v>353</v>
      </c>
      <c r="M241" s="68"/>
      <c r="N241" s="69"/>
      <c r="O241" s="76" t="s">
        <v>587</v>
      </c>
      <c r="P241" s="78">
        <v>44811.627905092595</v>
      </c>
      <c r="Q241" s="76" t="s">
        <v>731</v>
      </c>
      <c r="R241" s="76"/>
      <c r="S241" s="76"/>
      <c r="T241" s="81" t="s">
        <v>795</v>
      </c>
      <c r="U241" s="79" t="str">
        <f>HYPERLINK("https://pbs.twimg.com/media/FcD7NNdWYAE9GbE.jpg")</f>
        <v>https://pbs.twimg.com/media/FcD7NNdWYAE9GbE.jpg</v>
      </c>
      <c r="V241" s="79" t="str">
        <f>HYPERLINK("https://pbs.twimg.com/media/FcD7NNdWYAE9GbE.jpg")</f>
        <v>https://pbs.twimg.com/media/FcD7NNdWYAE9GbE.jpg</v>
      </c>
      <c r="W241" s="78">
        <v>44811.627905092595</v>
      </c>
      <c r="X241" s="84">
        <v>44811</v>
      </c>
      <c r="Y241" s="81" t="s">
        <v>1133</v>
      </c>
      <c r="Z241" s="79" t="str">
        <f>HYPERLINK("https://twitter.com/m4rcyu5/status/1567529165594689539")</f>
        <v>https://twitter.com/m4rcyu5/status/1567529165594689539</v>
      </c>
      <c r="AA241" s="76"/>
      <c r="AB241" s="76"/>
      <c r="AC241" s="81" t="s">
        <v>1464</v>
      </c>
      <c r="AD241" s="81" t="s">
        <v>1635</v>
      </c>
      <c r="AE241" s="76" t="b">
        <v>0</v>
      </c>
      <c r="AF241" s="76">
        <v>1</v>
      </c>
      <c r="AG241" s="81" t="s">
        <v>1741</v>
      </c>
      <c r="AH241" s="76" t="b">
        <v>0</v>
      </c>
      <c r="AI241" s="76" t="s">
        <v>1773</v>
      </c>
      <c r="AJ241" s="76"/>
      <c r="AK241" s="81" t="s">
        <v>1674</v>
      </c>
      <c r="AL241" s="76" t="b">
        <v>0</v>
      </c>
      <c r="AM241" s="76">
        <v>0</v>
      </c>
      <c r="AN241" s="81" t="s">
        <v>1674</v>
      </c>
      <c r="AO241" s="81" t="s">
        <v>1808</v>
      </c>
      <c r="AP241" s="76" t="b">
        <v>0</v>
      </c>
      <c r="AQ241" s="81" t="s">
        <v>1635</v>
      </c>
      <c r="AR241" s="76" t="s">
        <v>219</v>
      </c>
      <c r="AS241" s="76">
        <v>0</v>
      </c>
      <c r="AT241" s="76">
        <v>0</v>
      </c>
      <c r="AU241" s="76"/>
      <c r="AV241" s="76"/>
      <c r="AW241" s="76"/>
      <c r="AX241" s="76"/>
      <c r="AY241" s="76"/>
      <c r="AZ241" s="76"/>
      <c r="BA241" s="76"/>
      <c r="BB241" s="76"/>
      <c r="BC241">
        <v>1</v>
      </c>
      <c r="BD241" s="75" t="str">
        <f>REPLACE(INDEX(GroupVertices[Group],MATCH(Edges25[[#This Row],[Vertex 1]],GroupVertices[Vertex],0)),1,1,"")</f>
        <v>4</v>
      </c>
      <c r="BE241" s="75" t="str">
        <f>REPLACE(INDEX(GroupVertices[Group],MATCH(Edges25[[#This Row],[Vertex 2]],GroupVertices[Vertex],0)),1,1,"")</f>
        <v>4</v>
      </c>
      <c r="BF241" s="45">
        <v>0</v>
      </c>
      <c r="BG241" s="46">
        <v>0</v>
      </c>
      <c r="BH241" s="45">
        <v>0</v>
      </c>
      <c r="BI241" s="46">
        <v>0</v>
      </c>
      <c r="BJ241" s="45">
        <v>0</v>
      </c>
      <c r="BK241" s="46">
        <v>0</v>
      </c>
      <c r="BL241" s="45">
        <v>2</v>
      </c>
      <c r="BM241" s="46">
        <v>100</v>
      </c>
      <c r="BN241" s="45">
        <v>2</v>
      </c>
    </row>
    <row r="242" spans="1:66" ht="15">
      <c r="A242" s="61" t="s">
        <v>417</v>
      </c>
      <c r="B242" s="61" t="s">
        <v>417</v>
      </c>
      <c r="C242" s="62"/>
      <c r="D242" s="63"/>
      <c r="E242" s="62"/>
      <c r="F242" s="65"/>
      <c r="G242" s="62"/>
      <c r="H242" s="66"/>
      <c r="I242" s="67"/>
      <c r="J242" s="67"/>
      <c r="K242" s="31" t="s">
        <v>65</v>
      </c>
      <c r="L242" s="68">
        <v>354</v>
      </c>
      <c r="M242" s="68"/>
      <c r="N242" s="69"/>
      <c r="O242" s="76" t="s">
        <v>219</v>
      </c>
      <c r="P242" s="78">
        <v>44818.61048611111</v>
      </c>
      <c r="Q242" s="76" t="s">
        <v>732</v>
      </c>
      <c r="R242" s="79" t="str">
        <f>HYPERLINK("https://twitter.com/AZmilitary1/status/1569795425397268481")</f>
        <v>https://twitter.com/AZmilitary1/status/1569795425397268481</v>
      </c>
      <c r="S242" s="76" t="s">
        <v>783</v>
      </c>
      <c r="T242" s="81" t="s">
        <v>795</v>
      </c>
      <c r="U242" s="76"/>
      <c r="V242" s="79" t="str">
        <f>HYPERLINK("https://pbs.twimg.com/profile_images/1425565078456315909/Jvt2aJUT_normal.jpg")</f>
        <v>https://pbs.twimg.com/profile_images/1425565078456315909/Jvt2aJUT_normal.jpg</v>
      </c>
      <c r="W242" s="78">
        <v>44818.61048611111</v>
      </c>
      <c r="X242" s="84">
        <v>44818</v>
      </c>
      <c r="Y242" s="81" t="s">
        <v>1134</v>
      </c>
      <c r="Z242" s="79" t="str">
        <f>HYPERLINK("https://twitter.com/m4rcyu5/status/1570059569371709441")</f>
        <v>https://twitter.com/m4rcyu5/status/1570059569371709441</v>
      </c>
      <c r="AA242" s="76"/>
      <c r="AB242" s="76"/>
      <c r="AC242" s="81" t="s">
        <v>1465</v>
      </c>
      <c r="AD242" s="76"/>
      <c r="AE242" s="76" t="b">
        <v>0</v>
      </c>
      <c r="AF242" s="76">
        <v>0</v>
      </c>
      <c r="AG242" s="81" t="s">
        <v>1674</v>
      </c>
      <c r="AH242" s="76" t="b">
        <v>1</v>
      </c>
      <c r="AI242" s="76" t="s">
        <v>1773</v>
      </c>
      <c r="AJ242" s="76"/>
      <c r="AK242" s="81" t="s">
        <v>1805</v>
      </c>
      <c r="AL242" s="76" t="b">
        <v>0</v>
      </c>
      <c r="AM242" s="76">
        <v>0</v>
      </c>
      <c r="AN242" s="81" t="s">
        <v>1674</v>
      </c>
      <c r="AO242" s="81" t="s">
        <v>1808</v>
      </c>
      <c r="AP242" s="76" t="b">
        <v>0</v>
      </c>
      <c r="AQ242" s="81" t="s">
        <v>1465</v>
      </c>
      <c r="AR242" s="76" t="s">
        <v>219</v>
      </c>
      <c r="AS242" s="76">
        <v>0</v>
      </c>
      <c r="AT242" s="76">
        <v>0</v>
      </c>
      <c r="AU242" s="76"/>
      <c r="AV242" s="76"/>
      <c r="AW242" s="76"/>
      <c r="AX242" s="76"/>
      <c r="AY242" s="76"/>
      <c r="AZ242" s="76"/>
      <c r="BA242" s="76"/>
      <c r="BB242" s="76"/>
      <c r="BC242">
        <v>2</v>
      </c>
      <c r="BD242" s="75" t="str">
        <f>REPLACE(INDEX(GroupVertices[Group],MATCH(Edges25[[#This Row],[Vertex 1]],GroupVertices[Vertex],0)),1,1,"")</f>
        <v>4</v>
      </c>
      <c r="BE242" s="75" t="str">
        <f>REPLACE(INDEX(GroupVertices[Group],MATCH(Edges25[[#This Row],[Vertex 2]],GroupVertices[Vertex],0)),1,1,"")</f>
        <v>4</v>
      </c>
      <c r="BF242" s="45">
        <v>0</v>
      </c>
      <c r="BG242" s="46">
        <v>0</v>
      </c>
      <c r="BH242" s="45">
        <v>0</v>
      </c>
      <c r="BI242" s="46">
        <v>0</v>
      </c>
      <c r="BJ242" s="45">
        <v>0</v>
      </c>
      <c r="BK242" s="46">
        <v>0</v>
      </c>
      <c r="BL242" s="45">
        <v>1</v>
      </c>
      <c r="BM242" s="46">
        <v>100</v>
      </c>
      <c r="BN242" s="45">
        <v>1</v>
      </c>
    </row>
    <row r="243" spans="1:66" ht="15">
      <c r="A243" s="61" t="s">
        <v>417</v>
      </c>
      <c r="B243" s="61" t="s">
        <v>417</v>
      </c>
      <c r="C243" s="62"/>
      <c r="D243" s="63"/>
      <c r="E243" s="62"/>
      <c r="F243" s="65"/>
      <c r="G243" s="62"/>
      <c r="H243" s="66"/>
      <c r="I243" s="67"/>
      <c r="J243" s="67"/>
      <c r="K243" s="31" t="s">
        <v>65</v>
      </c>
      <c r="L243" s="68">
        <v>355</v>
      </c>
      <c r="M243" s="68"/>
      <c r="N243" s="69"/>
      <c r="O243" s="76" t="s">
        <v>219</v>
      </c>
      <c r="P243" s="78">
        <v>44819.55774305556</v>
      </c>
      <c r="Q243" s="76" t="s">
        <v>733</v>
      </c>
      <c r="R243" s="79" t="str">
        <f>HYPERLINK("https://twitter.com/blackintheempir/status/1569873091781591043")</f>
        <v>https://twitter.com/blackintheempir/status/1569873091781591043</v>
      </c>
      <c r="S243" s="76" t="s">
        <v>783</v>
      </c>
      <c r="T243" s="81" t="s">
        <v>795</v>
      </c>
      <c r="U243" s="76"/>
      <c r="V243" s="79" t="str">
        <f>HYPERLINK("https://pbs.twimg.com/profile_images/1425565078456315909/Jvt2aJUT_normal.jpg")</f>
        <v>https://pbs.twimg.com/profile_images/1425565078456315909/Jvt2aJUT_normal.jpg</v>
      </c>
      <c r="W243" s="78">
        <v>44819.55774305556</v>
      </c>
      <c r="X243" s="84">
        <v>44819</v>
      </c>
      <c r="Y243" s="81" t="s">
        <v>1135</v>
      </c>
      <c r="Z243" s="79" t="str">
        <f>HYPERLINK("https://twitter.com/m4rcyu5/status/1570402844200632321")</f>
        <v>https://twitter.com/m4rcyu5/status/1570402844200632321</v>
      </c>
      <c r="AA243" s="76"/>
      <c r="AB243" s="76"/>
      <c r="AC243" s="81" t="s">
        <v>1466</v>
      </c>
      <c r="AD243" s="76"/>
      <c r="AE243" s="76" t="b">
        <v>0</v>
      </c>
      <c r="AF243" s="76">
        <v>0</v>
      </c>
      <c r="AG243" s="81" t="s">
        <v>1674</v>
      </c>
      <c r="AH243" s="76" t="b">
        <v>1</v>
      </c>
      <c r="AI243" s="76" t="s">
        <v>1773</v>
      </c>
      <c r="AJ243" s="76"/>
      <c r="AK243" s="81" t="s">
        <v>1806</v>
      </c>
      <c r="AL243" s="76" t="b">
        <v>0</v>
      </c>
      <c r="AM243" s="76">
        <v>0</v>
      </c>
      <c r="AN243" s="81" t="s">
        <v>1674</v>
      </c>
      <c r="AO243" s="81" t="s">
        <v>1808</v>
      </c>
      <c r="AP243" s="76" t="b">
        <v>0</v>
      </c>
      <c r="AQ243" s="81" t="s">
        <v>1466</v>
      </c>
      <c r="AR243" s="76" t="s">
        <v>219</v>
      </c>
      <c r="AS243" s="76">
        <v>0</v>
      </c>
      <c r="AT243" s="76">
        <v>0</v>
      </c>
      <c r="AU243" s="76"/>
      <c r="AV243" s="76"/>
      <c r="AW243" s="76"/>
      <c r="AX243" s="76"/>
      <c r="AY243" s="76"/>
      <c r="AZ243" s="76"/>
      <c r="BA243" s="76"/>
      <c r="BB243" s="76"/>
      <c r="BC243">
        <v>2</v>
      </c>
      <c r="BD243" s="75" t="str">
        <f>REPLACE(INDEX(GroupVertices[Group],MATCH(Edges25[[#This Row],[Vertex 1]],GroupVertices[Vertex],0)),1,1,"")</f>
        <v>4</v>
      </c>
      <c r="BE243" s="75" t="str">
        <f>REPLACE(INDEX(GroupVertices[Group],MATCH(Edges25[[#This Row],[Vertex 2]],GroupVertices[Vertex],0)),1,1,"")</f>
        <v>4</v>
      </c>
      <c r="BF243" s="45">
        <v>0</v>
      </c>
      <c r="BG243" s="46">
        <v>0</v>
      </c>
      <c r="BH243" s="45">
        <v>0</v>
      </c>
      <c r="BI243" s="46">
        <v>0</v>
      </c>
      <c r="BJ243" s="45">
        <v>0</v>
      </c>
      <c r="BK243" s="46">
        <v>0</v>
      </c>
      <c r="BL243" s="45">
        <v>1</v>
      </c>
      <c r="BM243" s="46">
        <v>100</v>
      </c>
      <c r="BN243" s="45">
        <v>1</v>
      </c>
    </row>
    <row r="244" spans="1:66" ht="15">
      <c r="A244" s="61" t="s">
        <v>418</v>
      </c>
      <c r="B244" s="61" t="s">
        <v>495</v>
      </c>
      <c r="C244" s="62"/>
      <c r="D244" s="63"/>
      <c r="E244" s="62"/>
      <c r="F244" s="65"/>
      <c r="G244" s="62"/>
      <c r="H244" s="66"/>
      <c r="I244" s="67"/>
      <c r="J244" s="67"/>
      <c r="K244" s="31" t="s">
        <v>65</v>
      </c>
      <c r="L244" s="68">
        <v>356</v>
      </c>
      <c r="M244" s="68"/>
      <c r="N244" s="69"/>
      <c r="O244" s="76" t="s">
        <v>587</v>
      </c>
      <c r="P244" s="78">
        <v>44808.903402777774</v>
      </c>
      <c r="Q244" s="76" t="s">
        <v>651</v>
      </c>
      <c r="R244" s="76"/>
      <c r="S244" s="76"/>
      <c r="T244" s="81" t="s">
        <v>823</v>
      </c>
      <c r="U244" s="76"/>
      <c r="V244" s="79" t="str">
        <f>HYPERLINK("https://pbs.twimg.com/profile_images/1550587016798212097/iNHMHieS_normal.jpg")</f>
        <v>https://pbs.twimg.com/profile_images/1550587016798212097/iNHMHieS_normal.jpg</v>
      </c>
      <c r="W244" s="78">
        <v>44808.903402777774</v>
      </c>
      <c r="X244" s="84">
        <v>44808</v>
      </c>
      <c r="Y244" s="81" t="s">
        <v>1136</v>
      </c>
      <c r="Z244" s="79" t="str">
        <f>HYPERLINK("https://twitter.com/jabalmiza/status/1566541838957387777")</f>
        <v>https://twitter.com/jabalmiza/status/1566541838957387777</v>
      </c>
      <c r="AA244" s="76"/>
      <c r="AB244" s="76"/>
      <c r="AC244" s="81" t="s">
        <v>1467</v>
      </c>
      <c r="AD244" s="81" t="s">
        <v>1636</v>
      </c>
      <c r="AE244" s="76" t="b">
        <v>0</v>
      </c>
      <c r="AF244" s="76">
        <v>1</v>
      </c>
      <c r="AG244" s="81" t="s">
        <v>1742</v>
      </c>
      <c r="AH244" s="76" t="b">
        <v>0</v>
      </c>
      <c r="AI244" s="76" t="s">
        <v>1772</v>
      </c>
      <c r="AJ244" s="76"/>
      <c r="AK244" s="81" t="s">
        <v>1674</v>
      </c>
      <c r="AL244" s="76" t="b">
        <v>0</v>
      </c>
      <c r="AM244" s="76">
        <v>1</v>
      </c>
      <c r="AN244" s="81" t="s">
        <v>1674</v>
      </c>
      <c r="AO244" s="81" t="s">
        <v>1807</v>
      </c>
      <c r="AP244" s="76" t="b">
        <v>0</v>
      </c>
      <c r="AQ244" s="81" t="s">
        <v>1636</v>
      </c>
      <c r="AR244" s="76" t="s">
        <v>586</v>
      </c>
      <c r="AS244" s="76">
        <v>0</v>
      </c>
      <c r="AT244" s="76">
        <v>0</v>
      </c>
      <c r="AU244" s="76"/>
      <c r="AV244" s="76"/>
      <c r="AW244" s="76"/>
      <c r="AX244" s="76"/>
      <c r="AY244" s="76"/>
      <c r="AZ244" s="76"/>
      <c r="BA244" s="76"/>
      <c r="BB244" s="76"/>
      <c r="BC244">
        <v>1</v>
      </c>
      <c r="BD244" s="75" t="str">
        <f>REPLACE(INDEX(GroupVertices[Group],MATCH(Edges25[[#This Row],[Vertex 1]],GroupVertices[Vertex],0)),1,1,"")</f>
        <v>4</v>
      </c>
      <c r="BE244" s="75" t="str">
        <f>REPLACE(INDEX(GroupVertices[Group],MATCH(Edges25[[#This Row],[Vertex 2]],GroupVertices[Vertex],0)),1,1,"")</f>
        <v>4</v>
      </c>
      <c r="BF244" s="45">
        <v>0</v>
      </c>
      <c r="BG244" s="46">
        <v>0</v>
      </c>
      <c r="BH244" s="45">
        <v>0</v>
      </c>
      <c r="BI244" s="46">
        <v>0</v>
      </c>
      <c r="BJ244" s="45">
        <v>0</v>
      </c>
      <c r="BK244" s="46">
        <v>0</v>
      </c>
      <c r="BL244" s="45">
        <v>10</v>
      </c>
      <c r="BM244" s="46">
        <v>100</v>
      </c>
      <c r="BN244" s="45">
        <v>10</v>
      </c>
    </row>
    <row r="245" spans="1:66" ht="15">
      <c r="A245" s="61" t="s">
        <v>418</v>
      </c>
      <c r="B245" s="61" t="s">
        <v>551</v>
      </c>
      <c r="C245" s="62"/>
      <c r="D245" s="63"/>
      <c r="E245" s="62"/>
      <c r="F245" s="65"/>
      <c r="G245" s="62"/>
      <c r="H245" s="66"/>
      <c r="I245" s="67"/>
      <c r="J245" s="67"/>
      <c r="K245" s="31" t="s">
        <v>65</v>
      </c>
      <c r="L245" s="68">
        <v>357</v>
      </c>
      <c r="M245" s="68"/>
      <c r="N245" s="69"/>
      <c r="O245" s="76" t="s">
        <v>587</v>
      </c>
      <c r="P245" s="78">
        <v>44813.914375</v>
      </c>
      <c r="Q245" s="76" t="s">
        <v>734</v>
      </c>
      <c r="R245" s="76"/>
      <c r="S245" s="76"/>
      <c r="T245" s="81" t="s">
        <v>864</v>
      </c>
      <c r="U245" s="76"/>
      <c r="V245" s="79" t="str">
        <f>HYPERLINK("https://pbs.twimg.com/profile_images/1550587016798212097/iNHMHieS_normal.jpg")</f>
        <v>https://pbs.twimg.com/profile_images/1550587016798212097/iNHMHieS_normal.jpg</v>
      </c>
      <c r="W245" s="78">
        <v>44813.914375</v>
      </c>
      <c r="X245" s="84">
        <v>44813</v>
      </c>
      <c r="Y245" s="81" t="s">
        <v>1137</v>
      </c>
      <c r="Z245" s="79" t="str">
        <f>HYPERLINK("https://twitter.com/jabalmiza/status/1568357758323261447")</f>
        <v>https://twitter.com/jabalmiza/status/1568357758323261447</v>
      </c>
      <c r="AA245" s="76"/>
      <c r="AB245" s="76"/>
      <c r="AC245" s="81" t="s">
        <v>1468</v>
      </c>
      <c r="AD245" s="81" t="s">
        <v>1637</v>
      </c>
      <c r="AE245" s="76" t="b">
        <v>0</v>
      </c>
      <c r="AF245" s="76">
        <v>0</v>
      </c>
      <c r="AG245" s="81" t="s">
        <v>1743</v>
      </c>
      <c r="AH245" s="76" t="b">
        <v>0</v>
      </c>
      <c r="AI245" s="76" t="s">
        <v>1780</v>
      </c>
      <c r="AJ245" s="76"/>
      <c r="AK245" s="81" t="s">
        <v>1674</v>
      </c>
      <c r="AL245" s="76" t="b">
        <v>0</v>
      </c>
      <c r="AM245" s="76">
        <v>0</v>
      </c>
      <c r="AN245" s="81" t="s">
        <v>1674</v>
      </c>
      <c r="AO245" s="81" t="s">
        <v>1807</v>
      </c>
      <c r="AP245" s="76" t="b">
        <v>0</v>
      </c>
      <c r="AQ245" s="81" t="s">
        <v>1637</v>
      </c>
      <c r="AR245" s="76" t="s">
        <v>219</v>
      </c>
      <c r="AS245" s="76">
        <v>0</v>
      </c>
      <c r="AT245" s="76">
        <v>0</v>
      </c>
      <c r="AU245" s="76"/>
      <c r="AV245" s="76"/>
      <c r="AW245" s="76"/>
      <c r="AX245" s="76"/>
      <c r="AY245" s="76"/>
      <c r="AZ245" s="76"/>
      <c r="BA245" s="76"/>
      <c r="BB245" s="76"/>
      <c r="BC245">
        <v>1</v>
      </c>
      <c r="BD245" s="75" t="str">
        <f>REPLACE(INDEX(GroupVertices[Group],MATCH(Edges25[[#This Row],[Vertex 1]],GroupVertices[Vertex],0)),1,1,"")</f>
        <v>4</v>
      </c>
      <c r="BE245" s="75" t="str">
        <f>REPLACE(INDEX(GroupVertices[Group],MATCH(Edges25[[#This Row],[Vertex 2]],GroupVertices[Vertex],0)),1,1,"")</f>
        <v>4</v>
      </c>
      <c r="BF245" s="45">
        <v>0</v>
      </c>
      <c r="BG245" s="46">
        <v>0</v>
      </c>
      <c r="BH245" s="45">
        <v>1</v>
      </c>
      <c r="BI245" s="46">
        <v>2.7027027027027026</v>
      </c>
      <c r="BJ245" s="45">
        <v>0</v>
      </c>
      <c r="BK245" s="46">
        <v>0</v>
      </c>
      <c r="BL245" s="45">
        <v>36</v>
      </c>
      <c r="BM245" s="46">
        <v>97.29729729729729</v>
      </c>
      <c r="BN245" s="45">
        <v>37</v>
      </c>
    </row>
    <row r="246" spans="1:66" ht="15">
      <c r="A246" s="61" t="s">
        <v>418</v>
      </c>
      <c r="B246" s="61" t="s">
        <v>550</v>
      </c>
      <c r="C246" s="62"/>
      <c r="D246" s="63"/>
      <c r="E246" s="62"/>
      <c r="F246" s="65"/>
      <c r="G246" s="62"/>
      <c r="H246" s="66"/>
      <c r="I246" s="67"/>
      <c r="J246" s="67"/>
      <c r="K246" s="31" t="s">
        <v>65</v>
      </c>
      <c r="L246" s="68">
        <v>358</v>
      </c>
      <c r="M246" s="68"/>
      <c r="N246" s="69"/>
      <c r="O246" s="76" t="s">
        <v>587</v>
      </c>
      <c r="P246" s="78">
        <v>44815.77177083334</v>
      </c>
      <c r="Q246" s="76" t="s">
        <v>735</v>
      </c>
      <c r="R246" s="76"/>
      <c r="S246" s="76"/>
      <c r="T246" s="81" t="s">
        <v>865</v>
      </c>
      <c r="U246" s="76"/>
      <c r="V246" s="79" t="str">
        <f>HYPERLINK("https://pbs.twimg.com/profile_images/1550587016798212097/iNHMHieS_normal.jpg")</f>
        <v>https://pbs.twimg.com/profile_images/1550587016798212097/iNHMHieS_normal.jpg</v>
      </c>
      <c r="W246" s="78">
        <v>44815.77177083334</v>
      </c>
      <c r="X246" s="84">
        <v>44815</v>
      </c>
      <c r="Y246" s="81" t="s">
        <v>1138</v>
      </c>
      <c r="Z246" s="79" t="str">
        <f>HYPERLINK("https://twitter.com/jabalmiza/status/1569030853082087425")</f>
        <v>https://twitter.com/jabalmiza/status/1569030853082087425</v>
      </c>
      <c r="AA246" s="76"/>
      <c r="AB246" s="76"/>
      <c r="AC246" s="81" t="s">
        <v>1469</v>
      </c>
      <c r="AD246" s="81" t="s">
        <v>1638</v>
      </c>
      <c r="AE246" s="76" t="b">
        <v>0</v>
      </c>
      <c r="AF246" s="76">
        <v>1</v>
      </c>
      <c r="AG246" s="81" t="s">
        <v>1741</v>
      </c>
      <c r="AH246" s="76" t="b">
        <v>0</v>
      </c>
      <c r="AI246" s="76" t="s">
        <v>1773</v>
      </c>
      <c r="AJ246" s="76"/>
      <c r="AK246" s="81" t="s">
        <v>1674</v>
      </c>
      <c r="AL246" s="76" t="b">
        <v>0</v>
      </c>
      <c r="AM246" s="76">
        <v>0</v>
      </c>
      <c r="AN246" s="81" t="s">
        <v>1674</v>
      </c>
      <c r="AO246" s="81" t="s">
        <v>1807</v>
      </c>
      <c r="AP246" s="76" t="b">
        <v>0</v>
      </c>
      <c r="AQ246" s="81" t="s">
        <v>1638</v>
      </c>
      <c r="AR246" s="76" t="s">
        <v>219</v>
      </c>
      <c r="AS246" s="76">
        <v>0</v>
      </c>
      <c r="AT246" s="76">
        <v>0</v>
      </c>
      <c r="AU246" s="76"/>
      <c r="AV246" s="76"/>
      <c r="AW246" s="76"/>
      <c r="AX246" s="76"/>
      <c r="AY246" s="76"/>
      <c r="AZ246" s="76"/>
      <c r="BA246" s="76"/>
      <c r="BB246" s="76"/>
      <c r="BC246">
        <v>2</v>
      </c>
      <c r="BD246" s="75" t="str">
        <f>REPLACE(INDEX(GroupVertices[Group],MATCH(Edges25[[#This Row],[Vertex 1]],GroupVertices[Vertex],0)),1,1,"")</f>
        <v>4</v>
      </c>
      <c r="BE246" s="75" t="str">
        <f>REPLACE(INDEX(GroupVertices[Group],MATCH(Edges25[[#This Row],[Vertex 2]],GroupVertices[Vertex],0)),1,1,"")</f>
        <v>4</v>
      </c>
      <c r="BF246" s="45">
        <v>0</v>
      </c>
      <c r="BG246" s="46">
        <v>0</v>
      </c>
      <c r="BH246" s="45">
        <v>0</v>
      </c>
      <c r="BI246" s="46">
        <v>0</v>
      </c>
      <c r="BJ246" s="45">
        <v>0</v>
      </c>
      <c r="BK246" s="46">
        <v>0</v>
      </c>
      <c r="BL246" s="45">
        <v>7</v>
      </c>
      <c r="BM246" s="46">
        <v>100</v>
      </c>
      <c r="BN246" s="45">
        <v>7</v>
      </c>
    </row>
    <row r="247" spans="1:66" ht="15">
      <c r="A247" s="61" t="s">
        <v>418</v>
      </c>
      <c r="B247" s="61" t="s">
        <v>550</v>
      </c>
      <c r="C247" s="62"/>
      <c r="D247" s="63"/>
      <c r="E247" s="62"/>
      <c r="F247" s="65"/>
      <c r="G247" s="62"/>
      <c r="H247" s="66"/>
      <c r="I247" s="67"/>
      <c r="J247" s="67"/>
      <c r="K247" s="31" t="s">
        <v>65</v>
      </c>
      <c r="L247" s="68">
        <v>359</v>
      </c>
      <c r="M247" s="68"/>
      <c r="N247" s="69"/>
      <c r="O247" s="76" t="s">
        <v>587</v>
      </c>
      <c r="P247" s="78">
        <v>44816.78912037037</v>
      </c>
      <c r="Q247" s="76" t="s">
        <v>736</v>
      </c>
      <c r="R247" s="76"/>
      <c r="S247" s="76"/>
      <c r="T247" s="81" t="s">
        <v>866</v>
      </c>
      <c r="U247" s="76"/>
      <c r="V247" s="79" t="str">
        <f>HYPERLINK("https://pbs.twimg.com/profile_images/1550587016798212097/iNHMHieS_normal.jpg")</f>
        <v>https://pbs.twimg.com/profile_images/1550587016798212097/iNHMHieS_normal.jpg</v>
      </c>
      <c r="W247" s="78">
        <v>44816.78912037037</v>
      </c>
      <c r="X247" s="84">
        <v>44816</v>
      </c>
      <c r="Y247" s="81" t="s">
        <v>1139</v>
      </c>
      <c r="Z247" s="79" t="str">
        <f>HYPERLINK("https://twitter.com/jabalmiza/status/1569399531430899713")</f>
        <v>https://twitter.com/jabalmiza/status/1569399531430899713</v>
      </c>
      <c r="AA247" s="76"/>
      <c r="AB247" s="76"/>
      <c r="AC247" s="81" t="s">
        <v>1470</v>
      </c>
      <c r="AD247" s="81" t="s">
        <v>1639</v>
      </c>
      <c r="AE247" s="76" t="b">
        <v>0</v>
      </c>
      <c r="AF247" s="76">
        <v>0</v>
      </c>
      <c r="AG247" s="81" t="s">
        <v>1741</v>
      </c>
      <c r="AH247" s="76" t="b">
        <v>0</v>
      </c>
      <c r="AI247" s="76" t="s">
        <v>1780</v>
      </c>
      <c r="AJ247" s="76"/>
      <c r="AK247" s="81" t="s">
        <v>1674</v>
      </c>
      <c r="AL247" s="76" t="b">
        <v>0</v>
      </c>
      <c r="AM247" s="76">
        <v>0</v>
      </c>
      <c r="AN247" s="81" t="s">
        <v>1674</v>
      </c>
      <c r="AO247" s="81" t="s">
        <v>1807</v>
      </c>
      <c r="AP247" s="76" t="b">
        <v>0</v>
      </c>
      <c r="AQ247" s="81" t="s">
        <v>1639</v>
      </c>
      <c r="AR247" s="76" t="s">
        <v>219</v>
      </c>
      <c r="AS247" s="76">
        <v>0</v>
      </c>
      <c r="AT247" s="76">
        <v>0</v>
      </c>
      <c r="AU247" s="76"/>
      <c r="AV247" s="76"/>
      <c r="AW247" s="76"/>
      <c r="AX247" s="76"/>
      <c r="AY247" s="76"/>
      <c r="AZ247" s="76"/>
      <c r="BA247" s="76"/>
      <c r="BB247" s="76"/>
      <c r="BC247">
        <v>2</v>
      </c>
      <c r="BD247" s="75" t="str">
        <f>REPLACE(INDEX(GroupVertices[Group],MATCH(Edges25[[#This Row],[Vertex 1]],GroupVertices[Vertex],0)),1,1,"")</f>
        <v>4</v>
      </c>
      <c r="BE247" s="75" t="str">
        <f>REPLACE(INDEX(GroupVertices[Group],MATCH(Edges25[[#This Row],[Vertex 2]],GroupVertices[Vertex],0)),1,1,"")</f>
        <v>4</v>
      </c>
      <c r="BF247" s="45">
        <v>2</v>
      </c>
      <c r="BG247" s="46">
        <v>5.882352941176471</v>
      </c>
      <c r="BH247" s="45">
        <v>0</v>
      </c>
      <c r="BI247" s="46">
        <v>0</v>
      </c>
      <c r="BJ247" s="45">
        <v>0</v>
      </c>
      <c r="BK247" s="46">
        <v>0</v>
      </c>
      <c r="BL247" s="45">
        <v>32</v>
      </c>
      <c r="BM247" s="46">
        <v>94.11764705882354</v>
      </c>
      <c r="BN247" s="45">
        <v>34</v>
      </c>
    </row>
    <row r="248" spans="1:66" ht="15">
      <c r="A248" s="61" t="s">
        <v>418</v>
      </c>
      <c r="B248" s="61" t="s">
        <v>552</v>
      </c>
      <c r="C248" s="62"/>
      <c r="D248" s="63"/>
      <c r="E248" s="62"/>
      <c r="F248" s="65"/>
      <c r="G248" s="62"/>
      <c r="H248" s="66"/>
      <c r="I248" s="67"/>
      <c r="J248" s="67"/>
      <c r="K248" s="31" t="s">
        <v>65</v>
      </c>
      <c r="L248" s="68">
        <v>360</v>
      </c>
      <c r="M248" s="68"/>
      <c r="N248" s="69"/>
      <c r="O248" s="76" t="s">
        <v>588</v>
      </c>
      <c r="P248" s="78">
        <v>44818.83490740741</v>
      </c>
      <c r="Q248" s="76" t="s">
        <v>737</v>
      </c>
      <c r="R248" s="76"/>
      <c r="S248" s="76"/>
      <c r="T248" s="81" t="s">
        <v>867</v>
      </c>
      <c r="U248" s="76"/>
      <c r="V248" s="79" t="str">
        <f>HYPERLINK("https://pbs.twimg.com/profile_images/1550587016798212097/iNHMHieS_normal.jpg")</f>
        <v>https://pbs.twimg.com/profile_images/1550587016798212097/iNHMHieS_normal.jpg</v>
      </c>
      <c r="W248" s="78">
        <v>44818.83490740741</v>
      </c>
      <c r="X248" s="84">
        <v>44818</v>
      </c>
      <c r="Y248" s="81" t="s">
        <v>1140</v>
      </c>
      <c r="Z248" s="79" t="str">
        <f>HYPERLINK("https://twitter.com/jabalmiza/status/1570140897769136131")</f>
        <v>https://twitter.com/jabalmiza/status/1570140897769136131</v>
      </c>
      <c r="AA248" s="76"/>
      <c r="AB248" s="76"/>
      <c r="AC248" s="81" t="s">
        <v>1471</v>
      </c>
      <c r="AD248" s="81" t="s">
        <v>1640</v>
      </c>
      <c r="AE248" s="76" t="b">
        <v>0</v>
      </c>
      <c r="AF248" s="76">
        <v>0</v>
      </c>
      <c r="AG248" s="81" t="s">
        <v>1744</v>
      </c>
      <c r="AH248" s="76" t="b">
        <v>0</v>
      </c>
      <c r="AI248" s="76" t="s">
        <v>1773</v>
      </c>
      <c r="AJ248" s="76"/>
      <c r="AK248" s="81" t="s">
        <v>1674</v>
      </c>
      <c r="AL248" s="76" t="b">
        <v>0</v>
      </c>
      <c r="AM248" s="76">
        <v>0</v>
      </c>
      <c r="AN248" s="81" t="s">
        <v>1674</v>
      </c>
      <c r="AO248" s="81" t="s">
        <v>1807</v>
      </c>
      <c r="AP248" s="76" t="b">
        <v>0</v>
      </c>
      <c r="AQ248" s="81" t="s">
        <v>1640</v>
      </c>
      <c r="AR248" s="76" t="s">
        <v>219</v>
      </c>
      <c r="AS248" s="76">
        <v>0</v>
      </c>
      <c r="AT248" s="76">
        <v>0</v>
      </c>
      <c r="AU248" s="76"/>
      <c r="AV248" s="76"/>
      <c r="AW248" s="76"/>
      <c r="AX248" s="76"/>
      <c r="AY248" s="76"/>
      <c r="AZ248" s="76"/>
      <c r="BA248" s="76"/>
      <c r="BB248" s="76"/>
      <c r="BC248">
        <v>1</v>
      </c>
      <c r="BD248" s="75" t="str">
        <f>REPLACE(INDEX(GroupVertices[Group],MATCH(Edges25[[#This Row],[Vertex 1]],GroupVertices[Vertex],0)),1,1,"")</f>
        <v>4</v>
      </c>
      <c r="BE248" s="75" t="str">
        <f>REPLACE(INDEX(GroupVertices[Group],MATCH(Edges25[[#This Row],[Vertex 2]],GroupVertices[Vertex],0)),1,1,"")</f>
        <v>4</v>
      </c>
      <c r="BF248" s="45"/>
      <c r="BG248" s="46"/>
      <c r="BH248" s="45"/>
      <c r="BI248" s="46"/>
      <c r="BJ248" s="45"/>
      <c r="BK248" s="46"/>
      <c r="BL248" s="45"/>
      <c r="BM248" s="46"/>
      <c r="BN248" s="45"/>
    </row>
    <row r="249" spans="1:66" ht="15">
      <c r="A249" s="61" t="s">
        <v>418</v>
      </c>
      <c r="B249" s="61" t="s">
        <v>554</v>
      </c>
      <c r="C249" s="62"/>
      <c r="D249" s="63"/>
      <c r="E249" s="62"/>
      <c r="F249" s="65"/>
      <c r="G249" s="62"/>
      <c r="H249" s="66"/>
      <c r="I249" s="67"/>
      <c r="J249" s="67"/>
      <c r="K249" s="31" t="s">
        <v>65</v>
      </c>
      <c r="L249" s="68">
        <v>362</v>
      </c>
      <c r="M249" s="68"/>
      <c r="N249" s="69"/>
      <c r="O249" s="76" t="s">
        <v>587</v>
      </c>
      <c r="P249" s="78">
        <v>44818.83509259259</v>
      </c>
      <c r="Q249" s="76" t="s">
        <v>738</v>
      </c>
      <c r="R249" s="76"/>
      <c r="S249" s="76"/>
      <c r="T249" s="81" t="s">
        <v>867</v>
      </c>
      <c r="U249" s="76"/>
      <c r="V249" s="79" t="str">
        <f>HYPERLINK("https://pbs.twimg.com/profile_images/1550587016798212097/iNHMHieS_normal.jpg")</f>
        <v>https://pbs.twimg.com/profile_images/1550587016798212097/iNHMHieS_normal.jpg</v>
      </c>
      <c r="W249" s="78">
        <v>44818.83509259259</v>
      </c>
      <c r="X249" s="84">
        <v>44818</v>
      </c>
      <c r="Y249" s="81" t="s">
        <v>1141</v>
      </c>
      <c r="Z249" s="79" t="str">
        <f>HYPERLINK("https://twitter.com/jabalmiza/status/1570140965637337089")</f>
        <v>https://twitter.com/jabalmiza/status/1570140965637337089</v>
      </c>
      <c r="AA249" s="76"/>
      <c r="AB249" s="76"/>
      <c r="AC249" s="81" t="s">
        <v>1472</v>
      </c>
      <c r="AD249" s="81" t="s">
        <v>1641</v>
      </c>
      <c r="AE249" s="76" t="b">
        <v>0</v>
      </c>
      <c r="AF249" s="76">
        <v>0</v>
      </c>
      <c r="AG249" s="81" t="s">
        <v>1745</v>
      </c>
      <c r="AH249" s="76" t="b">
        <v>0</v>
      </c>
      <c r="AI249" s="76" t="s">
        <v>1780</v>
      </c>
      <c r="AJ249" s="76"/>
      <c r="AK249" s="81" t="s">
        <v>1674</v>
      </c>
      <c r="AL249" s="76" t="b">
        <v>0</v>
      </c>
      <c r="AM249" s="76">
        <v>0</v>
      </c>
      <c r="AN249" s="81" t="s">
        <v>1674</v>
      </c>
      <c r="AO249" s="81" t="s">
        <v>1807</v>
      </c>
      <c r="AP249" s="76" t="b">
        <v>0</v>
      </c>
      <c r="AQ249" s="81" t="s">
        <v>1641</v>
      </c>
      <c r="AR249" s="76" t="s">
        <v>219</v>
      </c>
      <c r="AS249" s="76">
        <v>0</v>
      </c>
      <c r="AT249" s="76">
        <v>0</v>
      </c>
      <c r="AU249" s="76"/>
      <c r="AV249" s="76"/>
      <c r="AW249" s="76"/>
      <c r="AX249" s="76"/>
      <c r="AY249" s="76"/>
      <c r="AZ249" s="76"/>
      <c r="BA249" s="76"/>
      <c r="BB249" s="76"/>
      <c r="BC249">
        <v>1</v>
      </c>
      <c r="BD249" s="75" t="str">
        <f>REPLACE(INDEX(GroupVertices[Group],MATCH(Edges25[[#This Row],[Vertex 1]],GroupVertices[Vertex],0)),1,1,"")</f>
        <v>4</v>
      </c>
      <c r="BE249" s="75" t="str">
        <f>REPLACE(INDEX(GroupVertices[Group],MATCH(Edges25[[#This Row],[Vertex 2]],GroupVertices[Vertex],0)),1,1,"")</f>
        <v>4</v>
      </c>
      <c r="BF249" s="45">
        <v>0</v>
      </c>
      <c r="BG249" s="46">
        <v>0</v>
      </c>
      <c r="BH249" s="45">
        <v>0</v>
      </c>
      <c r="BI249" s="46">
        <v>0</v>
      </c>
      <c r="BJ249" s="45">
        <v>0</v>
      </c>
      <c r="BK249" s="46">
        <v>0</v>
      </c>
      <c r="BL249" s="45">
        <v>7</v>
      </c>
      <c r="BM249" s="46">
        <v>100</v>
      </c>
      <c r="BN249" s="45">
        <v>7</v>
      </c>
    </row>
    <row r="250" spans="1:66" ht="15">
      <c r="A250" s="61" t="s">
        <v>418</v>
      </c>
      <c r="B250" s="61" t="s">
        <v>555</v>
      </c>
      <c r="C250" s="62"/>
      <c r="D250" s="63"/>
      <c r="E250" s="62"/>
      <c r="F250" s="65"/>
      <c r="G250" s="62"/>
      <c r="H250" s="66"/>
      <c r="I250" s="67"/>
      <c r="J250" s="67"/>
      <c r="K250" s="31" t="s">
        <v>65</v>
      </c>
      <c r="L250" s="68">
        <v>363</v>
      </c>
      <c r="M250" s="68"/>
      <c r="N250" s="69"/>
      <c r="O250" s="76" t="s">
        <v>587</v>
      </c>
      <c r="P250" s="78">
        <v>44818.87365740741</v>
      </c>
      <c r="Q250" s="76" t="s">
        <v>739</v>
      </c>
      <c r="R250" s="76"/>
      <c r="S250" s="76"/>
      <c r="T250" s="81" t="s">
        <v>868</v>
      </c>
      <c r="U250" s="76"/>
      <c r="V250" s="79" t="str">
        <f>HYPERLINK("https://pbs.twimg.com/profile_images/1550587016798212097/iNHMHieS_normal.jpg")</f>
        <v>https://pbs.twimg.com/profile_images/1550587016798212097/iNHMHieS_normal.jpg</v>
      </c>
      <c r="W250" s="78">
        <v>44818.87365740741</v>
      </c>
      <c r="X250" s="84">
        <v>44818</v>
      </c>
      <c r="Y250" s="81" t="s">
        <v>1142</v>
      </c>
      <c r="Z250" s="79" t="str">
        <f>HYPERLINK("https://twitter.com/jabalmiza/status/1570154939179057153")</f>
        <v>https://twitter.com/jabalmiza/status/1570154939179057153</v>
      </c>
      <c r="AA250" s="76"/>
      <c r="AB250" s="76"/>
      <c r="AC250" s="81" t="s">
        <v>1473</v>
      </c>
      <c r="AD250" s="81" t="s">
        <v>1642</v>
      </c>
      <c r="AE250" s="76" t="b">
        <v>0</v>
      </c>
      <c r="AF250" s="76">
        <v>0</v>
      </c>
      <c r="AG250" s="81" t="s">
        <v>1746</v>
      </c>
      <c r="AH250" s="76" t="b">
        <v>0</v>
      </c>
      <c r="AI250" s="76" t="s">
        <v>1772</v>
      </c>
      <c r="AJ250" s="76"/>
      <c r="AK250" s="81" t="s">
        <v>1674</v>
      </c>
      <c r="AL250" s="76" t="b">
        <v>0</v>
      </c>
      <c r="AM250" s="76">
        <v>0</v>
      </c>
      <c r="AN250" s="81" t="s">
        <v>1674</v>
      </c>
      <c r="AO250" s="81" t="s">
        <v>1807</v>
      </c>
      <c r="AP250" s="76" t="b">
        <v>0</v>
      </c>
      <c r="AQ250" s="81" t="s">
        <v>1642</v>
      </c>
      <c r="AR250" s="76" t="s">
        <v>219</v>
      </c>
      <c r="AS250" s="76">
        <v>0</v>
      </c>
      <c r="AT250" s="76">
        <v>0</v>
      </c>
      <c r="AU250" s="76"/>
      <c r="AV250" s="76"/>
      <c r="AW250" s="76"/>
      <c r="AX250" s="76"/>
      <c r="AY250" s="76"/>
      <c r="AZ250" s="76"/>
      <c r="BA250" s="76"/>
      <c r="BB250" s="76"/>
      <c r="BC250">
        <v>1</v>
      </c>
      <c r="BD250" s="75" t="str">
        <f>REPLACE(INDEX(GroupVertices[Group],MATCH(Edges25[[#This Row],[Vertex 1]],GroupVertices[Vertex],0)),1,1,"")</f>
        <v>4</v>
      </c>
      <c r="BE250" s="75" t="str">
        <f>REPLACE(INDEX(GroupVertices[Group],MATCH(Edges25[[#This Row],[Vertex 2]],GroupVertices[Vertex],0)),1,1,"")</f>
        <v>4</v>
      </c>
      <c r="BF250" s="45"/>
      <c r="BG250" s="46"/>
      <c r="BH250" s="45"/>
      <c r="BI250" s="46"/>
      <c r="BJ250" s="45"/>
      <c r="BK250" s="46"/>
      <c r="BL250" s="45"/>
      <c r="BM250" s="46"/>
      <c r="BN250" s="45"/>
    </row>
    <row r="251" spans="1:66" ht="15">
      <c r="A251" s="61" t="s">
        <v>418</v>
      </c>
      <c r="B251" s="61" t="s">
        <v>556</v>
      </c>
      <c r="C251" s="62"/>
      <c r="D251" s="63"/>
      <c r="E251" s="62"/>
      <c r="F251" s="65"/>
      <c r="G251" s="62"/>
      <c r="H251" s="66"/>
      <c r="I251" s="67"/>
      <c r="J251" s="67"/>
      <c r="K251" s="31" t="s">
        <v>65</v>
      </c>
      <c r="L251" s="68">
        <v>364</v>
      </c>
      <c r="M251" s="68"/>
      <c r="N251" s="69"/>
      <c r="O251" s="76" t="s">
        <v>587</v>
      </c>
      <c r="P251" s="78">
        <v>44818.87123842593</v>
      </c>
      <c r="Q251" s="76" t="s">
        <v>740</v>
      </c>
      <c r="R251" s="76"/>
      <c r="S251" s="76"/>
      <c r="T251" s="81" t="s">
        <v>869</v>
      </c>
      <c r="U251" s="76"/>
      <c r="V251" s="79" t="str">
        <f>HYPERLINK("https://pbs.twimg.com/profile_images/1550587016798212097/iNHMHieS_normal.jpg")</f>
        <v>https://pbs.twimg.com/profile_images/1550587016798212097/iNHMHieS_normal.jpg</v>
      </c>
      <c r="W251" s="78">
        <v>44818.87123842593</v>
      </c>
      <c r="X251" s="84">
        <v>44818</v>
      </c>
      <c r="Y251" s="81" t="s">
        <v>1143</v>
      </c>
      <c r="Z251" s="79" t="str">
        <f>HYPERLINK("https://twitter.com/jabalmiza/status/1570154062167048192")</f>
        <v>https://twitter.com/jabalmiza/status/1570154062167048192</v>
      </c>
      <c r="AA251" s="76"/>
      <c r="AB251" s="76"/>
      <c r="AC251" s="81" t="s">
        <v>1474</v>
      </c>
      <c r="AD251" s="81" t="s">
        <v>1643</v>
      </c>
      <c r="AE251" s="76" t="b">
        <v>0</v>
      </c>
      <c r="AF251" s="76">
        <v>0</v>
      </c>
      <c r="AG251" s="81" t="s">
        <v>1747</v>
      </c>
      <c r="AH251" s="76" t="b">
        <v>0</v>
      </c>
      <c r="AI251" s="76" t="s">
        <v>1773</v>
      </c>
      <c r="AJ251" s="76"/>
      <c r="AK251" s="81" t="s">
        <v>1674</v>
      </c>
      <c r="AL251" s="76" t="b">
        <v>0</v>
      </c>
      <c r="AM251" s="76">
        <v>0</v>
      </c>
      <c r="AN251" s="81" t="s">
        <v>1674</v>
      </c>
      <c r="AO251" s="81" t="s">
        <v>1807</v>
      </c>
      <c r="AP251" s="76" t="b">
        <v>0</v>
      </c>
      <c r="AQ251" s="81" t="s">
        <v>1643</v>
      </c>
      <c r="AR251" s="76" t="s">
        <v>219</v>
      </c>
      <c r="AS251" s="76">
        <v>0</v>
      </c>
      <c r="AT251" s="76">
        <v>0</v>
      </c>
      <c r="AU251" s="76"/>
      <c r="AV251" s="76"/>
      <c r="AW251" s="76"/>
      <c r="AX251" s="76"/>
      <c r="AY251" s="76"/>
      <c r="AZ251" s="76"/>
      <c r="BA251" s="76"/>
      <c r="BB251" s="76"/>
      <c r="BC251">
        <v>3</v>
      </c>
      <c r="BD251" s="75" t="str">
        <f>REPLACE(INDEX(GroupVertices[Group],MATCH(Edges25[[#This Row],[Vertex 1]],GroupVertices[Vertex],0)),1,1,"")</f>
        <v>4</v>
      </c>
      <c r="BE251" s="75" t="str">
        <f>REPLACE(INDEX(GroupVertices[Group],MATCH(Edges25[[#This Row],[Vertex 2]],GroupVertices[Vertex],0)),1,1,"")</f>
        <v>4</v>
      </c>
      <c r="BF251" s="45">
        <v>0</v>
      </c>
      <c r="BG251" s="46">
        <v>0</v>
      </c>
      <c r="BH251" s="45">
        <v>0</v>
      </c>
      <c r="BI251" s="46">
        <v>0</v>
      </c>
      <c r="BJ251" s="45">
        <v>0</v>
      </c>
      <c r="BK251" s="46">
        <v>0</v>
      </c>
      <c r="BL251" s="45">
        <v>5</v>
      </c>
      <c r="BM251" s="46">
        <v>100</v>
      </c>
      <c r="BN251" s="45">
        <v>5</v>
      </c>
    </row>
    <row r="252" spans="1:66" ht="15">
      <c r="A252" s="61" t="s">
        <v>418</v>
      </c>
      <c r="B252" s="61" t="s">
        <v>556</v>
      </c>
      <c r="C252" s="62"/>
      <c r="D252" s="63"/>
      <c r="E252" s="62"/>
      <c r="F252" s="65"/>
      <c r="G252" s="62"/>
      <c r="H252" s="66"/>
      <c r="I252" s="67"/>
      <c r="J252" s="67"/>
      <c r="K252" s="31" t="s">
        <v>65</v>
      </c>
      <c r="L252" s="68">
        <v>366</v>
      </c>
      <c r="M252" s="68"/>
      <c r="N252" s="69"/>
      <c r="O252" s="76" t="s">
        <v>587</v>
      </c>
      <c r="P252" s="78">
        <v>44818.87465277778</v>
      </c>
      <c r="Q252" s="76" t="s">
        <v>741</v>
      </c>
      <c r="R252" s="76"/>
      <c r="S252" s="76"/>
      <c r="T252" s="81" t="s">
        <v>868</v>
      </c>
      <c r="U252" s="76"/>
      <c r="V252" s="79" t="str">
        <f>HYPERLINK("https://pbs.twimg.com/profile_images/1550587016798212097/iNHMHieS_normal.jpg")</f>
        <v>https://pbs.twimg.com/profile_images/1550587016798212097/iNHMHieS_normal.jpg</v>
      </c>
      <c r="W252" s="78">
        <v>44818.87465277778</v>
      </c>
      <c r="X252" s="84">
        <v>44818</v>
      </c>
      <c r="Y252" s="81" t="s">
        <v>1144</v>
      </c>
      <c r="Z252" s="79" t="str">
        <f>HYPERLINK("https://twitter.com/jabalmiza/status/1570155302032670720")</f>
        <v>https://twitter.com/jabalmiza/status/1570155302032670720</v>
      </c>
      <c r="AA252" s="76"/>
      <c r="AB252" s="76"/>
      <c r="AC252" s="81" t="s">
        <v>1475</v>
      </c>
      <c r="AD252" s="81" t="s">
        <v>1644</v>
      </c>
      <c r="AE252" s="76" t="b">
        <v>0</v>
      </c>
      <c r="AF252" s="76">
        <v>0</v>
      </c>
      <c r="AG252" s="81" t="s">
        <v>1747</v>
      </c>
      <c r="AH252" s="76" t="b">
        <v>0</v>
      </c>
      <c r="AI252" s="76" t="s">
        <v>1772</v>
      </c>
      <c r="AJ252" s="76"/>
      <c r="AK252" s="81" t="s">
        <v>1674</v>
      </c>
      <c r="AL252" s="76" t="b">
        <v>0</v>
      </c>
      <c r="AM252" s="76">
        <v>0</v>
      </c>
      <c r="AN252" s="81" t="s">
        <v>1674</v>
      </c>
      <c r="AO252" s="81" t="s">
        <v>1807</v>
      </c>
      <c r="AP252" s="76" t="b">
        <v>0</v>
      </c>
      <c r="AQ252" s="81" t="s">
        <v>1644</v>
      </c>
      <c r="AR252" s="76" t="s">
        <v>219</v>
      </c>
      <c r="AS252" s="76">
        <v>0</v>
      </c>
      <c r="AT252" s="76">
        <v>0</v>
      </c>
      <c r="AU252" s="76"/>
      <c r="AV252" s="76"/>
      <c r="AW252" s="76"/>
      <c r="AX252" s="76"/>
      <c r="AY252" s="76"/>
      <c r="AZ252" s="76"/>
      <c r="BA252" s="76"/>
      <c r="BB252" s="76"/>
      <c r="BC252">
        <v>3</v>
      </c>
      <c r="BD252" s="75" t="str">
        <f>REPLACE(INDEX(GroupVertices[Group],MATCH(Edges25[[#This Row],[Vertex 1]],GroupVertices[Vertex],0)),1,1,"")</f>
        <v>4</v>
      </c>
      <c r="BE252" s="75" t="str">
        <f>REPLACE(INDEX(GroupVertices[Group],MATCH(Edges25[[#This Row],[Vertex 2]],GroupVertices[Vertex],0)),1,1,"")</f>
        <v>4</v>
      </c>
      <c r="BF252" s="45">
        <v>2</v>
      </c>
      <c r="BG252" s="46">
        <v>7.142857142857143</v>
      </c>
      <c r="BH252" s="45">
        <v>1</v>
      </c>
      <c r="BI252" s="46">
        <v>3.5714285714285716</v>
      </c>
      <c r="BJ252" s="45">
        <v>0</v>
      </c>
      <c r="BK252" s="46">
        <v>0</v>
      </c>
      <c r="BL252" s="45">
        <v>25</v>
      </c>
      <c r="BM252" s="46">
        <v>89.28571428571429</v>
      </c>
      <c r="BN252" s="45">
        <v>28</v>
      </c>
    </row>
    <row r="253" spans="1:66" ht="15">
      <c r="A253" s="61" t="s">
        <v>418</v>
      </c>
      <c r="B253" s="61" t="s">
        <v>557</v>
      </c>
      <c r="C253" s="62"/>
      <c r="D253" s="63"/>
      <c r="E253" s="62"/>
      <c r="F253" s="65"/>
      <c r="G253" s="62"/>
      <c r="H253" s="66"/>
      <c r="I253" s="67"/>
      <c r="J253" s="67"/>
      <c r="K253" s="31" t="s">
        <v>65</v>
      </c>
      <c r="L253" s="68">
        <v>367</v>
      </c>
      <c r="M253" s="68"/>
      <c r="N253" s="69"/>
      <c r="O253" s="76" t="s">
        <v>587</v>
      </c>
      <c r="P253" s="78">
        <v>44818.95945601852</v>
      </c>
      <c r="Q253" s="76" t="s">
        <v>742</v>
      </c>
      <c r="R253" s="76"/>
      <c r="S253" s="76"/>
      <c r="T253" s="81" t="s">
        <v>870</v>
      </c>
      <c r="U253" s="76"/>
      <c r="V253" s="79" t="str">
        <f>HYPERLINK("https://pbs.twimg.com/profile_images/1550587016798212097/iNHMHieS_normal.jpg")</f>
        <v>https://pbs.twimg.com/profile_images/1550587016798212097/iNHMHieS_normal.jpg</v>
      </c>
      <c r="W253" s="78">
        <v>44818.95945601852</v>
      </c>
      <c r="X253" s="84">
        <v>44818</v>
      </c>
      <c r="Y253" s="81" t="s">
        <v>1145</v>
      </c>
      <c r="Z253" s="79" t="str">
        <f>HYPERLINK("https://twitter.com/jabalmiza/status/1570186031932252160")</f>
        <v>https://twitter.com/jabalmiza/status/1570186031932252160</v>
      </c>
      <c r="AA253" s="76"/>
      <c r="AB253" s="76"/>
      <c r="AC253" s="81" t="s">
        <v>1476</v>
      </c>
      <c r="AD253" s="81" t="s">
        <v>1645</v>
      </c>
      <c r="AE253" s="76" t="b">
        <v>0</v>
      </c>
      <c r="AF253" s="76">
        <v>0</v>
      </c>
      <c r="AG253" s="81" t="s">
        <v>1748</v>
      </c>
      <c r="AH253" s="76" t="b">
        <v>0</v>
      </c>
      <c r="AI253" s="76" t="s">
        <v>1773</v>
      </c>
      <c r="AJ253" s="76"/>
      <c r="AK253" s="81" t="s">
        <v>1674</v>
      </c>
      <c r="AL253" s="76" t="b">
        <v>0</v>
      </c>
      <c r="AM253" s="76">
        <v>0</v>
      </c>
      <c r="AN253" s="81" t="s">
        <v>1674</v>
      </c>
      <c r="AO253" s="81" t="s">
        <v>1807</v>
      </c>
      <c r="AP253" s="76" t="b">
        <v>0</v>
      </c>
      <c r="AQ253" s="81" t="s">
        <v>1645</v>
      </c>
      <c r="AR253" s="76" t="s">
        <v>219</v>
      </c>
      <c r="AS253" s="76">
        <v>0</v>
      </c>
      <c r="AT253" s="76">
        <v>0</v>
      </c>
      <c r="AU253" s="76"/>
      <c r="AV253" s="76"/>
      <c r="AW253" s="76"/>
      <c r="AX253" s="76"/>
      <c r="AY253" s="76"/>
      <c r="AZ253" s="76"/>
      <c r="BA253" s="76"/>
      <c r="BB253" s="76"/>
      <c r="BC253">
        <v>1</v>
      </c>
      <c r="BD253" s="75" t="str">
        <f>REPLACE(INDEX(GroupVertices[Group],MATCH(Edges25[[#This Row],[Vertex 1]],GroupVertices[Vertex],0)),1,1,"")</f>
        <v>4</v>
      </c>
      <c r="BE253" s="75" t="str">
        <f>REPLACE(INDEX(GroupVertices[Group],MATCH(Edges25[[#This Row],[Vertex 2]],GroupVertices[Vertex],0)),1,1,"")</f>
        <v>4</v>
      </c>
      <c r="BF253" s="45">
        <v>0</v>
      </c>
      <c r="BG253" s="46">
        <v>0</v>
      </c>
      <c r="BH253" s="45">
        <v>0</v>
      </c>
      <c r="BI253" s="46">
        <v>0</v>
      </c>
      <c r="BJ253" s="45">
        <v>0</v>
      </c>
      <c r="BK253" s="46">
        <v>0</v>
      </c>
      <c r="BL253" s="45">
        <v>3</v>
      </c>
      <c r="BM253" s="46">
        <v>100</v>
      </c>
      <c r="BN253" s="45">
        <v>3</v>
      </c>
    </row>
    <row r="254" spans="1:66" ht="15">
      <c r="A254" s="61" t="s">
        <v>418</v>
      </c>
      <c r="B254" s="61" t="s">
        <v>558</v>
      </c>
      <c r="C254" s="62"/>
      <c r="D254" s="63"/>
      <c r="E254" s="62"/>
      <c r="F254" s="65"/>
      <c r="G254" s="62"/>
      <c r="H254" s="66"/>
      <c r="I254" s="67"/>
      <c r="J254" s="67"/>
      <c r="K254" s="31" t="s">
        <v>65</v>
      </c>
      <c r="L254" s="68">
        <v>368</v>
      </c>
      <c r="M254" s="68"/>
      <c r="N254" s="69"/>
      <c r="O254" s="76" t="s">
        <v>587</v>
      </c>
      <c r="P254" s="78">
        <v>44818.96152777778</v>
      </c>
      <c r="Q254" s="76" t="s">
        <v>743</v>
      </c>
      <c r="R254" s="76"/>
      <c r="S254" s="76"/>
      <c r="T254" s="81" t="s">
        <v>871</v>
      </c>
      <c r="U254" s="76"/>
      <c r="V254" s="79" t="str">
        <f>HYPERLINK("https://pbs.twimg.com/profile_images/1550587016798212097/iNHMHieS_normal.jpg")</f>
        <v>https://pbs.twimg.com/profile_images/1550587016798212097/iNHMHieS_normal.jpg</v>
      </c>
      <c r="W254" s="78">
        <v>44818.96152777778</v>
      </c>
      <c r="X254" s="84">
        <v>44818</v>
      </c>
      <c r="Y254" s="81" t="s">
        <v>1146</v>
      </c>
      <c r="Z254" s="79" t="str">
        <f>HYPERLINK("https://twitter.com/jabalmiza/status/1570186781773164544")</f>
        <v>https://twitter.com/jabalmiza/status/1570186781773164544</v>
      </c>
      <c r="AA254" s="76"/>
      <c r="AB254" s="76"/>
      <c r="AC254" s="81" t="s">
        <v>1477</v>
      </c>
      <c r="AD254" s="81" t="s">
        <v>1646</v>
      </c>
      <c r="AE254" s="76" t="b">
        <v>0</v>
      </c>
      <c r="AF254" s="76">
        <v>0</v>
      </c>
      <c r="AG254" s="81" t="s">
        <v>1749</v>
      </c>
      <c r="AH254" s="76" t="b">
        <v>0</v>
      </c>
      <c r="AI254" s="76" t="s">
        <v>1772</v>
      </c>
      <c r="AJ254" s="76"/>
      <c r="AK254" s="81" t="s">
        <v>1674</v>
      </c>
      <c r="AL254" s="76" t="b">
        <v>0</v>
      </c>
      <c r="AM254" s="76">
        <v>0</v>
      </c>
      <c r="AN254" s="81" t="s">
        <v>1674</v>
      </c>
      <c r="AO254" s="81" t="s">
        <v>1807</v>
      </c>
      <c r="AP254" s="76" t="b">
        <v>0</v>
      </c>
      <c r="AQ254" s="81" t="s">
        <v>1646</v>
      </c>
      <c r="AR254" s="76" t="s">
        <v>219</v>
      </c>
      <c r="AS254" s="76">
        <v>0</v>
      </c>
      <c r="AT254" s="76">
        <v>0</v>
      </c>
      <c r="AU254" s="76"/>
      <c r="AV254" s="76"/>
      <c r="AW254" s="76"/>
      <c r="AX254" s="76"/>
      <c r="AY254" s="76"/>
      <c r="AZ254" s="76"/>
      <c r="BA254" s="76"/>
      <c r="BB254" s="76"/>
      <c r="BC254">
        <v>1</v>
      </c>
      <c r="BD254" s="75" t="str">
        <f>REPLACE(INDEX(GroupVertices[Group],MATCH(Edges25[[#This Row],[Vertex 1]],GroupVertices[Vertex],0)),1,1,"")</f>
        <v>4</v>
      </c>
      <c r="BE254" s="75" t="str">
        <f>REPLACE(INDEX(GroupVertices[Group],MATCH(Edges25[[#This Row],[Vertex 2]],GroupVertices[Vertex],0)),1,1,"")</f>
        <v>4</v>
      </c>
      <c r="BF254" s="45">
        <v>2</v>
      </c>
      <c r="BG254" s="46">
        <v>7.6923076923076925</v>
      </c>
      <c r="BH254" s="45">
        <v>0</v>
      </c>
      <c r="BI254" s="46">
        <v>0</v>
      </c>
      <c r="BJ254" s="45">
        <v>0</v>
      </c>
      <c r="BK254" s="46">
        <v>0</v>
      </c>
      <c r="BL254" s="45">
        <v>24</v>
      </c>
      <c r="BM254" s="46">
        <v>92.3076923076923</v>
      </c>
      <c r="BN254" s="45">
        <v>26</v>
      </c>
    </row>
    <row r="255" spans="1:66" ht="15">
      <c r="A255" s="61" t="s">
        <v>418</v>
      </c>
      <c r="B255" s="61" t="s">
        <v>559</v>
      </c>
      <c r="C255" s="62"/>
      <c r="D255" s="63"/>
      <c r="E255" s="62"/>
      <c r="F255" s="65"/>
      <c r="G255" s="62"/>
      <c r="H255" s="66"/>
      <c r="I255" s="67"/>
      <c r="J255" s="67"/>
      <c r="K255" s="31" t="s">
        <v>65</v>
      </c>
      <c r="L255" s="68">
        <v>369</v>
      </c>
      <c r="M255" s="68"/>
      <c r="N255" s="69"/>
      <c r="O255" s="76" t="s">
        <v>587</v>
      </c>
      <c r="P255" s="78">
        <v>44812.97893518519</v>
      </c>
      <c r="Q255" s="76" t="s">
        <v>744</v>
      </c>
      <c r="R255" s="76"/>
      <c r="S255" s="76"/>
      <c r="T255" s="81" t="s">
        <v>864</v>
      </c>
      <c r="U255" s="76"/>
      <c r="V255" s="79" t="str">
        <f>HYPERLINK("https://pbs.twimg.com/profile_images/1550587016798212097/iNHMHieS_normal.jpg")</f>
        <v>https://pbs.twimg.com/profile_images/1550587016798212097/iNHMHieS_normal.jpg</v>
      </c>
      <c r="W255" s="78">
        <v>44812.97893518519</v>
      </c>
      <c r="X255" s="84">
        <v>44812</v>
      </c>
      <c r="Y255" s="81" t="s">
        <v>1147</v>
      </c>
      <c r="Z255" s="79" t="str">
        <f>HYPERLINK("https://twitter.com/jabalmiza/status/1568018763022475265")</f>
        <v>https://twitter.com/jabalmiza/status/1568018763022475265</v>
      </c>
      <c r="AA255" s="76"/>
      <c r="AB255" s="76"/>
      <c r="AC255" s="81" t="s">
        <v>1478</v>
      </c>
      <c r="AD255" s="81" t="s">
        <v>1647</v>
      </c>
      <c r="AE255" s="76" t="b">
        <v>0</v>
      </c>
      <c r="AF255" s="76">
        <v>0</v>
      </c>
      <c r="AG255" s="81" t="s">
        <v>1750</v>
      </c>
      <c r="AH255" s="76" t="b">
        <v>0</v>
      </c>
      <c r="AI255" s="76" t="s">
        <v>1773</v>
      </c>
      <c r="AJ255" s="76"/>
      <c r="AK255" s="81" t="s">
        <v>1674</v>
      </c>
      <c r="AL255" s="76" t="b">
        <v>0</v>
      </c>
      <c r="AM255" s="76">
        <v>0</v>
      </c>
      <c r="AN255" s="81" t="s">
        <v>1674</v>
      </c>
      <c r="AO255" s="81" t="s">
        <v>1807</v>
      </c>
      <c r="AP255" s="76" t="b">
        <v>0</v>
      </c>
      <c r="AQ255" s="81" t="s">
        <v>1647</v>
      </c>
      <c r="AR255" s="76" t="s">
        <v>219</v>
      </c>
      <c r="AS255" s="76">
        <v>0</v>
      </c>
      <c r="AT255" s="76">
        <v>0</v>
      </c>
      <c r="AU255" s="76"/>
      <c r="AV255" s="76"/>
      <c r="AW255" s="76"/>
      <c r="AX255" s="76"/>
      <c r="AY255" s="76"/>
      <c r="AZ255" s="76"/>
      <c r="BA255" s="76"/>
      <c r="BB255" s="76"/>
      <c r="BC255">
        <v>3</v>
      </c>
      <c r="BD255" s="75" t="str">
        <f>REPLACE(INDEX(GroupVertices[Group],MATCH(Edges25[[#This Row],[Vertex 1]],GroupVertices[Vertex],0)),1,1,"")</f>
        <v>4</v>
      </c>
      <c r="BE255" s="75" t="str">
        <f>REPLACE(INDEX(GroupVertices[Group],MATCH(Edges25[[#This Row],[Vertex 2]],GroupVertices[Vertex],0)),1,1,"")</f>
        <v>4</v>
      </c>
      <c r="BF255" s="45">
        <v>0</v>
      </c>
      <c r="BG255" s="46">
        <v>0</v>
      </c>
      <c r="BH255" s="45">
        <v>0</v>
      </c>
      <c r="BI255" s="46">
        <v>0</v>
      </c>
      <c r="BJ255" s="45">
        <v>0</v>
      </c>
      <c r="BK255" s="46">
        <v>0</v>
      </c>
      <c r="BL255" s="45">
        <v>6</v>
      </c>
      <c r="BM255" s="46">
        <v>100</v>
      </c>
      <c r="BN255" s="45">
        <v>6</v>
      </c>
    </row>
    <row r="256" spans="1:66" ht="15">
      <c r="A256" s="61" t="s">
        <v>418</v>
      </c>
      <c r="B256" s="61" t="s">
        <v>559</v>
      </c>
      <c r="C256" s="62"/>
      <c r="D256" s="63"/>
      <c r="E256" s="62"/>
      <c r="F256" s="65"/>
      <c r="G256" s="62"/>
      <c r="H256" s="66"/>
      <c r="I256" s="67"/>
      <c r="J256" s="67"/>
      <c r="K256" s="31" t="s">
        <v>65</v>
      </c>
      <c r="L256" s="68">
        <v>370</v>
      </c>
      <c r="M256" s="68"/>
      <c r="N256" s="69"/>
      <c r="O256" s="76" t="s">
        <v>587</v>
      </c>
      <c r="P256" s="78">
        <v>44818.96366898148</v>
      </c>
      <c r="Q256" s="76" t="s">
        <v>745</v>
      </c>
      <c r="R256" s="76"/>
      <c r="S256" s="76"/>
      <c r="T256" s="81" t="s">
        <v>871</v>
      </c>
      <c r="U256" s="76"/>
      <c r="V256" s="79" t="str">
        <f>HYPERLINK("https://pbs.twimg.com/profile_images/1550587016798212097/iNHMHieS_normal.jpg")</f>
        <v>https://pbs.twimg.com/profile_images/1550587016798212097/iNHMHieS_normal.jpg</v>
      </c>
      <c r="W256" s="78">
        <v>44818.96366898148</v>
      </c>
      <c r="X256" s="84">
        <v>44818</v>
      </c>
      <c r="Y256" s="81" t="s">
        <v>1148</v>
      </c>
      <c r="Z256" s="79" t="str">
        <f>HYPERLINK("https://twitter.com/jabalmiza/status/1570187559522664449")</f>
        <v>https://twitter.com/jabalmiza/status/1570187559522664449</v>
      </c>
      <c r="AA256" s="76"/>
      <c r="AB256" s="76"/>
      <c r="AC256" s="81" t="s">
        <v>1479</v>
      </c>
      <c r="AD256" s="81" t="s">
        <v>1648</v>
      </c>
      <c r="AE256" s="76" t="b">
        <v>0</v>
      </c>
      <c r="AF256" s="76">
        <v>0</v>
      </c>
      <c r="AG256" s="81" t="s">
        <v>1750</v>
      </c>
      <c r="AH256" s="76" t="b">
        <v>0</v>
      </c>
      <c r="AI256" s="76" t="s">
        <v>1780</v>
      </c>
      <c r="AJ256" s="76"/>
      <c r="AK256" s="81" t="s">
        <v>1674</v>
      </c>
      <c r="AL256" s="76" t="b">
        <v>0</v>
      </c>
      <c r="AM256" s="76">
        <v>0</v>
      </c>
      <c r="AN256" s="81" t="s">
        <v>1674</v>
      </c>
      <c r="AO256" s="81" t="s">
        <v>1807</v>
      </c>
      <c r="AP256" s="76" t="b">
        <v>0</v>
      </c>
      <c r="AQ256" s="81" t="s">
        <v>1648</v>
      </c>
      <c r="AR256" s="76" t="s">
        <v>219</v>
      </c>
      <c r="AS256" s="76">
        <v>0</v>
      </c>
      <c r="AT256" s="76">
        <v>0</v>
      </c>
      <c r="AU256" s="76"/>
      <c r="AV256" s="76"/>
      <c r="AW256" s="76"/>
      <c r="AX256" s="76"/>
      <c r="AY256" s="76"/>
      <c r="AZ256" s="76"/>
      <c r="BA256" s="76"/>
      <c r="BB256" s="76"/>
      <c r="BC256">
        <v>3</v>
      </c>
      <c r="BD256" s="75" t="str">
        <f>REPLACE(INDEX(GroupVertices[Group],MATCH(Edges25[[#This Row],[Vertex 1]],GroupVertices[Vertex],0)),1,1,"")</f>
        <v>4</v>
      </c>
      <c r="BE256" s="75" t="str">
        <f>REPLACE(INDEX(GroupVertices[Group],MATCH(Edges25[[#This Row],[Vertex 2]],GroupVertices[Vertex],0)),1,1,"")</f>
        <v>4</v>
      </c>
      <c r="BF256" s="45">
        <v>1</v>
      </c>
      <c r="BG256" s="46">
        <v>3.3333333333333335</v>
      </c>
      <c r="BH256" s="45">
        <v>0</v>
      </c>
      <c r="BI256" s="46">
        <v>0</v>
      </c>
      <c r="BJ256" s="45">
        <v>0</v>
      </c>
      <c r="BK256" s="46">
        <v>0</v>
      </c>
      <c r="BL256" s="45">
        <v>29</v>
      </c>
      <c r="BM256" s="46">
        <v>96.66666666666667</v>
      </c>
      <c r="BN256" s="45">
        <v>30</v>
      </c>
    </row>
    <row r="257" spans="1:66" ht="15">
      <c r="A257" s="61" t="s">
        <v>418</v>
      </c>
      <c r="B257" s="61" t="s">
        <v>559</v>
      </c>
      <c r="C257" s="62"/>
      <c r="D257" s="63"/>
      <c r="E257" s="62"/>
      <c r="F257" s="65"/>
      <c r="G257" s="62"/>
      <c r="H257" s="66"/>
      <c r="I257" s="67"/>
      <c r="J257" s="67"/>
      <c r="K257" s="31" t="s">
        <v>65</v>
      </c>
      <c r="L257" s="68">
        <v>371</v>
      </c>
      <c r="M257" s="68"/>
      <c r="N257" s="69"/>
      <c r="O257" s="76" t="s">
        <v>587</v>
      </c>
      <c r="P257" s="78">
        <v>44818.96413194444</v>
      </c>
      <c r="Q257" s="76" t="s">
        <v>746</v>
      </c>
      <c r="R257" s="76"/>
      <c r="S257" s="76"/>
      <c r="T257" s="81" t="s">
        <v>871</v>
      </c>
      <c r="U257" s="76"/>
      <c r="V257" s="79" t="str">
        <f>HYPERLINK("https://pbs.twimg.com/profile_images/1550587016798212097/iNHMHieS_normal.jpg")</f>
        <v>https://pbs.twimg.com/profile_images/1550587016798212097/iNHMHieS_normal.jpg</v>
      </c>
      <c r="W257" s="78">
        <v>44818.96413194444</v>
      </c>
      <c r="X257" s="84">
        <v>44818</v>
      </c>
      <c r="Y257" s="81" t="s">
        <v>1149</v>
      </c>
      <c r="Z257" s="79" t="str">
        <f>HYPERLINK("https://twitter.com/jabalmiza/status/1570187728352051206")</f>
        <v>https://twitter.com/jabalmiza/status/1570187728352051206</v>
      </c>
      <c r="AA257" s="76"/>
      <c r="AB257" s="76"/>
      <c r="AC257" s="81" t="s">
        <v>1480</v>
      </c>
      <c r="AD257" s="81" t="s">
        <v>1649</v>
      </c>
      <c r="AE257" s="76" t="b">
        <v>0</v>
      </c>
      <c r="AF257" s="76">
        <v>0</v>
      </c>
      <c r="AG257" s="81" t="s">
        <v>1750</v>
      </c>
      <c r="AH257" s="76" t="b">
        <v>0</v>
      </c>
      <c r="AI257" s="76" t="s">
        <v>1780</v>
      </c>
      <c r="AJ257" s="76"/>
      <c r="AK257" s="81" t="s">
        <v>1674</v>
      </c>
      <c r="AL257" s="76" t="b">
        <v>0</v>
      </c>
      <c r="AM257" s="76">
        <v>0</v>
      </c>
      <c r="AN257" s="81" t="s">
        <v>1674</v>
      </c>
      <c r="AO257" s="81" t="s">
        <v>1807</v>
      </c>
      <c r="AP257" s="76" t="b">
        <v>0</v>
      </c>
      <c r="AQ257" s="81" t="s">
        <v>1649</v>
      </c>
      <c r="AR257" s="76" t="s">
        <v>219</v>
      </c>
      <c r="AS257" s="76">
        <v>0</v>
      </c>
      <c r="AT257" s="76">
        <v>0</v>
      </c>
      <c r="AU257" s="76"/>
      <c r="AV257" s="76"/>
      <c r="AW257" s="76"/>
      <c r="AX257" s="76"/>
      <c r="AY257" s="76"/>
      <c r="AZ257" s="76"/>
      <c r="BA257" s="76"/>
      <c r="BB257" s="76"/>
      <c r="BC257">
        <v>3</v>
      </c>
      <c r="BD257" s="75" t="str">
        <f>REPLACE(INDEX(GroupVertices[Group],MATCH(Edges25[[#This Row],[Vertex 1]],GroupVertices[Vertex],0)),1,1,"")</f>
        <v>4</v>
      </c>
      <c r="BE257" s="75" t="str">
        <f>REPLACE(INDEX(GroupVertices[Group],MATCH(Edges25[[#This Row],[Vertex 2]],GroupVertices[Vertex],0)),1,1,"")</f>
        <v>4</v>
      </c>
      <c r="BF257" s="45">
        <v>1</v>
      </c>
      <c r="BG257" s="46">
        <v>5.2631578947368425</v>
      </c>
      <c r="BH257" s="45">
        <v>0</v>
      </c>
      <c r="BI257" s="46">
        <v>0</v>
      </c>
      <c r="BJ257" s="45">
        <v>0</v>
      </c>
      <c r="BK257" s="46">
        <v>0</v>
      </c>
      <c r="BL257" s="45">
        <v>18</v>
      </c>
      <c r="BM257" s="46">
        <v>94.73684210526316</v>
      </c>
      <c r="BN257" s="45">
        <v>19</v>
      </c>
    </row>
    <row r="258" spans="1:66" ht="15">
      <c r="A258" s="61" t="s">
        <v>418</v>
      </c>
      <c r="B258" s="61" t="s">
        <v>560</v>
      </c>
      <c r="C258" s="62"/>
      <c r="D258" s="63"/>
      <c r="E258" s="62"/>
      <c r="F258" s="65"/>
      <c r="G258" s="62"/>
      <c r="H258" s="66"/>
      <c r="I258" s="67"/>
      <c r="J258" s="67"/>
      <c r="K258" s="31" t="s">
        <v>65</v>
      </c>
      <c r="L258" s="68">
        <v>372</v>
      </c>
      <c r="M258" s="68"/>
      <c r="N258" s="69"/>
      <c r="O258" s="76" t="s">
        <v>587</v>
      </c>
      <c r="P258" s="78">
        <v>44818.993368055555</v>
      </c>
      <c r="Q258" s="76" t="s">
        <v>747</v>
      </c>
      <c r="R258" s="76"/>
      <c r="S258" s="76"/>
      <c r="T258" s="81" t="s">
        <v>872</v>
      </c>
      <c r="U258" s="76"/>
      <c r="V258" s="79" t="str">
        <f>HYPERLINK("https://pbs.twimg.com/profile_images/1550587016798212097/iNHMHieS_normal.jpg")</f>
        <v>https://pbs.twimg.com/profile_images/1550587016798212097/iNHMHieS_normal.jpg</v>
      </c>
      <c r="W258" s="78">
        <v>44818.993368055555</v>
      </c>
      <c r="X258" s="84">
        <v>44818</v>
      </c>
      <c r="Y258" s="81" t="s">
        <v>1150</v>
      </c>
      <c r="Z258" s="79" t="str">
        <f>HYPERLINK("https://twitter.com/jabalmiza/status/1570198321574318080")</f>
        <v>https://twitter.com/jabalmiza/status/1570198321574318080</v>
      </c>
      <c r="AA258" s="76"/>
      <c r="AB258" s="76"/>
      <c r="AC258" s="81" t="s">
        <v>1481</v>
      </c>
      <c r="AD258" s="81" t="s">
        <v>1650</v>
      </c>
      <c r="AE258" s="76" t="b">
        <v>0</v>
      </c>
      <c r="AF258" s="76">
        <v>0</v>
      </c>
      <c r="AG258" s="81" t="s">
        <v>1751</v>
      </c>
      <c r="AH258" s="76" t="b">
        <v>0</v>
      </c>
      <c r="AI258" s="76" t="s">
        <v>1772</v>
      </c>
      <c r="AJ258" s="76"/>
      <c r="AK258" s="81" t="s">
        <v>1674</v>
      </c>
      <c r="AL258" s="76" t="b">
        <v>0</v>
      </c>
      <c r="AM258" s="76">
        <v>0</v>
      </c>
      <c r="AN258" s="81" t="s">
        <v>1674</v>
      </c>
      <c r="AO258" s="81" t="s">
        <v>1807</v>
      </c>
      <c r="AP258" s="76" t="b">
        <v>0</v>
      </c>
      <c r="AQ258" s="81" t="s">
        <v>1650</v>
      </c>
      <c r="AR258" s="76" t="s">
        <v>219</v>
      </c>
      <c r="AS258" s="76">
        <v>0</v>
      </c>
      <c r="AT258" s="76">
        <v>0</v>
      </c>
      <c r="AU258" s="76"/>
      <c r="AV258" s="76"/>
      <c r="AW258" s="76"/>
      <c r="AX258" s="76"/>
      <c r="AY258" s="76"/>
      <c r="AZ258" s="76"/>
      <c r="BA258" s="76"/>
      <c r="BB258" s="76"/>
      <c r="BC258">
        <v>1</v>
      </c>
      <c r="BD258" s="75" t="str">
        <f>REPLACE(INDEX(GroupVertices[Group],MATCH(Edges25[[#This Row],[Vertex 1]],GroupVertices[Vertex],0)),1,1,"")</f>
        <v>4</v>
      </c>
      <c r="BE258" s="75" t="str">
        <f>REPLACE(INDEX(GroupVertices[Group],MATCH(Edges25[[#This Row],[Vertex 2]],GroupVertices[Vertex],0)),1,1,"")</f>
        <v>4</v>
      </c>
      <c r="BF258" s="45">
        <v>0</v>
      </c>
      <c r="BG258" s="46">
        <v>0</v>
      </c>
      <c r="BH258" s="45">
        <v>0</v>
      </c>
      <c r="BI258" s="46">
        <v>0</v>
      </c>
      <c r="BJ258" s="45">
        <v>0</v>
      </c>
      <c r="BK258" s="46">
        <v>0</v>
      </c>
      <c r="BL258" s="45">
        <v>9</v>
      </c>
      <c r="BM258" s="46">
        <v>100</v>
      </c>
      <c r="BN258" s="45">
        <v>9</v>
      </c>
    </row>
    <row r="259" spans="1:66" ht="15">
      <c r="A259" s="61" t="s">
        <v>418</v>
      </c>
      <c r="B259" s="61" t="s">
        <v>561</v>
      </c>
      <c r="C259" s="62"/>
      <c r="D259" s="63"/>
      <c r="E259" s="62"/>
      <c r="F259" s="65"/>
      <c r="G259" s="62"/>
      <c r="H259" s="66"/>
      <c r="I259" s="67"/>
      <c r="J259" s="67"/>
      <c r="K259" s="31" t="s">
        <v>65</v>
      </c>
      <c r="L259" s="68">
        <v>373</v>
      </c>
      <c r="M259" s="68"/>
      <c r="N259" s="69"/>
      <c r="O259" s="76" t="s">
        <v>587</v>
      </c>
      <c r="P259" s="78">
        <v>44819.61510416667</v>
      </c>
      <c r="Q259" s="76" t="s">
        <v>748</v>
      </c>
      <c r="R259" s="76"/>
      <c r="S259" s="76"/>
      <c r="T259" s="81" t="s">
        <v>873</v>
      </c>
      <c r="U259" s="76"/>
      <c r="V259" s="79" t="str">
        <f>HYPERLINK("https://pbs.twimg.com/profile_images/1550587016798212097/iNHMHieS_normal.jpg")</f>
        <v>https://pbs.twimg.com/profile_images/1550587016798212097/iNHMHieS_normal.jpg</v>
      </c>
      <c r="W259" s="78">
        <v>44819.61510416667</v>
      </c>
      <c r="X259" s="84">
        <v>44819</v>
      </c>
      <c r="Y259" s="81" t="s">
        <v>1151</v>
      </c>
      <c r="Z259" s="79" t="str">
        <f>HYPERLINK("https://twitter.com/jabalmiza/status/1570423631674589190")</f>
        <v>https://twitter.com/jabalmiza/status/1570423631674589190</v>
      </c>
      <c r="AA259" s="76"/>
      <c r="AB259" s="76"/>
      <c r="AC259" s="81" t="s">
        <v>1482</v>
      </c>
      <c r="AD259" s="81" t="s">
        <v>1651</v>
      </c>
      <c r="AE259" s="76" t="b">
        <v>0</v>
      </c>
      <c r="AF259" s="76">
        <v>0</v>
      </c>
      <c r="AG259" s="81" t="s">
        <v>1752</v>
      </c>
      <c r="AH259" s="76" t="b">
        <v>0</v>
      </c>
      <c r="AI259" s="76" t="s">
        <v>1780</v>
      </c>
      <c r="AJ259" s="76"/>
      <c r="AK259" s="81" t="s">
        <v>1674</v>
      </c>
      <c r="AL259" s="76" t="b">
        <v>0</v>
      </c>
      <c r="AM259" s="76">
        <v>0</v>
      </c>
      <c r="AN259" s="81" t="s">
        <v>1674</v>
      </c>
      <c r="AO259" s="81" t="s">
        <v>1807</v>
      </c>
      <c r="AP259" s="76" t="b">
        <v>0</v>
      </c>
      <c r="AQ259" s="81" t="s">
        <v>1651</v>
      </c>
      <c r="AR259" s="76" t="s">
        <v>219</v>
      </c>
      <c r="AS259" s="76">
        <v>0</v>
      </c>
      <c r="AT259" s="76">
        <v>0</v>
      </c>
      <c r="AU259" s="76"/>
      <c r="AV259" s="76"/>
      <c r="AW259" s="76"/>
      <c r="AX259" s="76"/>
      <c r="AY259" s="76"/>
      <c r="AZ259" s="76"/>
      <c r="BA259" s="76"/>
      <c r="BB259" s="76"/>
      <c r="BC259">
        <v>1</v>
      </c>
      <c r="BD259" s="75" t="str">
        <f>REPLACE(INDEX(GroupVertices[Group],MATCH(Edges25[[#This Row],[Vertex 1]],GroupVertices[Vertex],0)),1,1,"")</f>
        <v>4</v>
      </c>
      <c r="BE259" s="75" t="str">
        <f>REPLACE(INDEX(GroupVertices[Group],MATCH(Edges25[[#This Row],[Vertex 2]],GroupVertices[Vertex],0)),1,1,"")</f>
        <v>4</v>
      </c>
      <c r="BF259" s="45">
        <v>1</v>
      </c>
      <c r="BG259" s="46">
        <v>3.225806451612903</v>
      </c>
      <c r="BH259" s="45">
        <v>0</v>
      </c>
      <c r="BI259" s="46">
        <v>0</v>
      </c>
      <c r="BJ259" s="45">
        <v>0</v>
      </c>
      <c r="BK259" s="46">
        <v>0</v>
      </c>
      <c r="BL259" s="45">
        <v>30</v>
      </c>
      <c r="BM259" s="46">
        <v>96.7741935483871</v>
      </c>
      <c r="BN259" s="45">
        <v>31</v>
      </c>
    </row>
    <row r="260" spans="1:66" ht="15">
      <c r="A260" s="61" t="s">
        <v>419</v>
      </c>
      <c r="B260" s="61" t="s">
        <v>419</v>
      </c>
      <c r="C260" s="62"/>
      <c r="D260" s="63"/>
      <c r="E260" s="62"/>
      <c r="F260" s="65"/>
      <c r="G260" s="62"/>
      <c r="H260" s="66"/>
      <c r="I260" s="67"/>
      <c r="J260" s="67"/>
      <c r="K260" s="31" t="s">
        <v>65</v>
      </c>
      <c r="L260" s="68">
        <v>374</v>
      </c>
      <c r="M260" s="68"/>
      <c r="N260" s="69"/>
      <c r="O260" s="76" t="s">
        <v>219</v>
      </c>
      <c r="P260" s="78">
        <v>44811.67403935185</v>
      </c>
      <c r="Q260" s="76" t="s">
        <v>749</v>
      </c>
      <c r="R260" s="79" t="str">
        <f>HYPERLINK("https://www.restaurant-kiev.com")</f>
        <v>https://www.restaurant-kiev.com</v>
      </c>
      <c r="S260" s="76" t="s">
        <v>789</v>
      </c>
      <c r="T260" s="81" t="s">
        <v>874</v>
      </c>
      <c r="U260" s="76"/>
      <c r="V260" s="79" t="str">
        <f>HYPERLINK("https://pbs.twimg.com/profile_images/1480295098273644544/Ns_7wxQQ_normal.jpg")</f>
        <v>https://pbs.twimg.com/profile_images/1480295098273644544/Ns_7wxQQ_normal.jpg</v>
      </c>
      <c r="W260" s="78">
        <v>44811.67403935185</v>
      </c>
      <c r="X260" s="84">
        <v>44811</v>
      </c>
      <c r="Y260" s="81" t="s">
        <v>1152</v>
      </c>
      <c r="Z260" s="79" t="str">
        <f>HYPERLINK("https://twitter.com/_b0lil0d_/status/1567545887836049408")</f>
        <v>https://twitter.com/_b0lil0d_/status/1567545887836049408</v>
      </c>
      <c r="AA260" s="76"/>
      <c r="AB260" s="76"/>
      <c r="AC260" s="81" t="s">
        <v>1483</v>
      </c>
      <c r="AD260" s="76"/>
      <c r="AE260" s="76" t="b">
        <v>0</v>
      </c>
      <c r="AF260" s="76">
        <v>0</v>
      </c>
      <c r="AG260" s="81" t="s">
        <v>1674</v>
      </c>
      <c r="AH260" s="76" t="b">
        <v>0</v>
      </c>
      <c r="AI260" s="76" t="s">
        <v>1782</v>
      </c>
      <c r="AJ260" s="76"/>
      <c r="AK260" s="81" t="s">
        <v>1674</v>
      </c>
      <c r="AL260" s="76" t="b">
        <v>0</v>
      </c>
      <c r="AM260" s="76">
        <v>0</v>
      </c>
      <c r="AN260" s="81" t="s">
        <v>1674</v>
      </c>
      <c r="AO260" s="81" t="s">
        <v>1811</v>
      </c>
      <c r="AP260" s="76" t="b">
        <v>0</v>
      </c>
      <c r="AQ260" s="81" t="s">
        <v>1483</v>
      </c>
      <c r="AR260" s="76" t="s">
        <v>219</v>
      </c>
      <c r="AS260" s="76">
        <v>0</v>
      </c>
      <c r="AT260" s="76">
        <v>0</v>
      </c>
      <c r="AU260" s="76"/>
      <c r="AV260" s="76"/>
      <c r="AW260" s="76"/>
      <c r="AX260" s="76"/>
      <c r="AY260" s="76"/>
      <c r="AZ260" s="76"/>
      <c r="BA260" s="76"/>
      <c r="BB260" s="76"/>
      <c r="BC260">
        <v>9</v>
      </c>
      <c r="BD260" s="75" t="str">
        <f>REPLACE(INDEX(GroupVertices[Group],MATCH(Edges25[[#This Row],[Vertex 1]],GroupVertices[Vertex],0)),1,1,"")</f>
        <v>2</v>
      </c>
      <c r="BE260" s="75" t="str">
        <f>REPLACE(INDEX(GroupVertices[Group],MATCH(Edges25[[#This Row],[Vertex 2]],GroupVertices[Vertex],0)),1,1,"")</f>
        <v>2</v>
      </c>
      <c r="BF260" s="45">
        <v>0</v>
      </c>
      <c r="BG260" s="46">
        <v>0</v>
      </c>
      <c r="BH260" s="45">
        <v>0</v>
      </c>
      <c r="BI260" s="46">
        <v>0</v>
      </c>
      <c r="BJ260" s="45">
        <v>0</v>
      </c>
      <c r="BK260" s="46">
        <v>0</v>
      </c>
      <c r="BL260" s="45">
        <v>4</v>
      </c>
      <c r="BM260" s="46">
        <v>100</v>
      </c>
      <c r="BN260" s="45">
        <v>4</v>
      </c>
    </row>
    <row r="261" spans="1:66" ht="15">
      <c r="A261" s="61" t="s">
        <v>419</v>
      </c>
      <c r="B261" s="61" t="s">
        <v>419</v>
      </c>
      <c r="C261" s="62"/>
      <c r="D261" s="63"/>
      <c r="E261" s="62"/>
      <c r="F261" s="65"/>
      <c r="G261" s="62"/>
      <c r="H261" s="66"/>
      <c r="I261" s="67"/>
      <c r="J261" s="67"/>
      <c r="K261" s="31" t="s">
        <v>65</v>
      </c>
      <c r="L261" s="68">
        <v>375</v>
      </c>
      <c r="M261" s="68"/>
      <c r="N261" s="69"/>
      <c r="O261" s="76" t="s">
        <v>219</v>
      </c>
      <c r="P261" s="78">
        <v>44812.674050925925</v>
      </c>
      <c r="Q261" s="76" t="s">
        <v>749</v>
      </c>
      <c r="R261" s="79" t="str">
        <f>HYPERLINK("https://www.restaurant-kiev.com")</f>
        <v>https://www.restaurant-kiev.com</v>
      </c>
      <c r="S261" s="76" t="s">
        <v>789</v>
      </c>
      <c r="T261" s="81" t="s">
        <v>874</v>
      </c>
      <c r="U261" s="76"/>
      <c r="V261" s="79" t="str">
        <f>HYPERLINK("https://pbs.twimg.com/profile_images/1480295098273644544/Ns_7wxQQ_normal.jpg")</f>
        <v>https://pbs.twimg.com/profile_images/1480295098273644544/Ns_7wxQQ_normal.jpg</v>
      </c>
      <c r="W261" s="78">
        <v>44812.674050925925</v>
      </c>
      <c r="X261" s="84">
        <v>44812</v>
      </c>
      <c r="Y261" s="81" t="s">
        <v>1153</v>
      </c>
      <c r="Z261" s="79" t="str">
        <f>HYPERLINK("https://twitter.com/_b0lil0d_/status/1567908279191232519")</f>
        <v>https://twitter.com/_b0lil0d_/status/1567908279191232519</v>
      </c>
      <c r="AA261" s="76"/>
      <c r="AB261" s="76"/>
      <c r="AC261" s="81" t="s">
        <v>1484</v>
      </c>
      <c r="AD261" s="76"/>
      <c r="AE261" s="76" t="b">
        <v>0</v>
      </c>
      <c r="AF261" s="76">
        <v>0</v>
      </c>
      <c r="AG261" s="81" t="s">
        <v>1674</v>
      </c>
      <c r="AH261" s="76" t="b">
        <v>0</v>
      </c>
      <c r="AI261" s="76" t="s">
        <v>1782</v>
      </c>
      <c r="AJ261" s="76"/>
      <c r="AK261" s="81" t="s">
        <v>1674</v>
      </c>
      <c r="AL261" s="76" t="b">
        <v>0</v>
      </c>
      <c r="AM261" s="76">
        <v>0</v>
      </c>
      <c r="AN261" s="81" t="s">
        <v>1674</v>
      </c>
      <c r="AO261" s="81" t="s">
        <v>1811</v>
      </c>
      <c r="AP261" s="76" t="b">
        <v>0</v>
      </c>
      <c r="AQ261" s="81" t="s">
        <v>1484</v>
      </c>
      <c r="AR261" s="76" t="s">
        <v>219</v>
      </c>
      <c r="AS261" s="76">
        <v>0</v>
      </c>
      <c r="AT261" s="76">
        <v>0</v>
      </c>
      <c r="AU261" s="76"/>
      <c r="AV261" s="76"/>
      <c r="AW261" s="76"/>
      <c r="AX261" s="76"/>
      <c r="AY261" s="76"/>
      <c r="AZ261" s="76"/>
      <c r="BA261" s="76"/>
      <c r="BB261" s="76"/>
      <c r="BC261">
        <v>9</v>
      </c>
      <c r="BD261" s="75" t="str">
        <f>REPLACE(INDEX(GroupVertices[Group],MATCH(Edges25[[#This Row],[Vertex 1]],GroupVertices[Vertex],0)),1,1,"")</f>
        <v>2</v>
      </c>
      <c r="BE261" s="75" t="str">
        <f>REPLACE(INDEX(GroupVertices[Group],MATCH(Edges25[[#This Row],[Vertex 2]],GroupVertices[Vertex],0)),1,1,"")</f>
        <v>2</v>
      </c>
      <c r="BF261" s="45">
        <v>0</v>
      </c>
      <c r="BG261" s="46">
        <v>0</v>
      </c>
      <c r="BH261" s="45">
        <v>0</v>
      </c>
      <c r="BI261" s="46">
        <v>0</v>
      </c>
      <c r="BJ261" s="45">
        <v>0</v>
      </c>
      <c r="BK261" s="46">
        <v>0</v>
      </c>
      <c r="BL261" s="45">
        <v>4</v>
      </c>
      <c r="BM261" s="46">
        <v>100</v>
      </c>
      <c r="BN261" s="45">
        <v>4</v>
      </c>
    </row>
    <row r="262" spans="1:66" ht="15">
      <c r="A262" s="61" t="s">
        <v>419</v>
      </c>
      <c r="B262" s="61" t="s">
        <v>419</v>
      </c>
      <c r="C262" s="62"/>
      <c r="D262" s="63"/>
      <c r="E262" s="62"/>
      <c r="F262" s="65"/>
      <c r="G262" s="62"/>
      <c r="H262" s="66"/>
      <c r="I262" s="67"/>
      <c r="J262" s="67"/>
      <c r="K262" s="31" t="s">
        <v>65</v>
      </c>
      <c r="L262" s="68">
        <v>376</v>
      </c>
      <c r="M262" s="68"/>
      <c r="N262" s="69"/>
      <c r="O262" s="76" t="s">
        <v>219</v>
      </c>
      <c r="P262" s="78">
        <v>44813.674050925925</v>
      </c>
      <c r="Q262" s="76" t="s">
        <v>749</v>
      </c>
      <c r="R262" s="79" t="str">
        <f>HYPERLINK("https://www.restaurant-kiev.com")</f>
        <v>https://www.restaurant-kiev.com</v>
      </c>
      <c r="S262" s="76" t="s">
        <v>789</v>
      </c>
      <c r="T262" s="81" t="s">
        <v>874</v>
      </c>
      <c r="U262" s="76"/>
      <c r="V262" s="79" t="str">
        <f>HYPERLINK("https://pbs.twimg.com/profile_images/1480295098273644544/Ns_7wxQQ_normal.jpg")</f>
        <v>https://pbs.twimg.com/profile_images/1480295098273644544/Ns_7wxQQ_normal.jpg</v>
      </c>
      <c r="W262" s="78">
        <v>44813.674050925925</v>
      </c>
      <c r="X262" s="84">
        <v>44813</v>
      </c>
      <c r="Y262" s="81" t="s">
        <v>1153</v>
      </c>
      <c r="Z262" s="79" t="str">
        <f>HYPERLINK("https://twitter.com/_b0lil0d_/status/1568270667639885824")</f>
        <v>https://twitter.com/_b0lil0d_/status/1568270667639885824</v>
      </c>
      <c r="AA262" s="76"/>
      <c r="AB262" s="76"/>
      <c r="AC262" s="81" t="s">
        <v>1485</v>
      </c>
      <c r="AD262" s="76"/>
      <c r="AE262" s="76" t="b">
        <v>0</v>
      </c>
      <c r="AF262" s="76">
        <v>0</v>
      </c>
      <c r="AG262" s="81" t="s">
        <v>1674</v>
      </c>
      <c r="AH262" s="76" t="b">
        <v>0</v>
      </c>
      <c r="AI262" s="76" t="s">
        <v>1782</v>
      </c>
      <c r="AJ262" s="76"/>
      <c r="AK262" s="81" t="s">
        <v>1674</v>
      </c>
      <c r="AL262" s="76" t="b">
        <v>0</v>
      </c>
      <c r="AM262" s="76">
        <v>0</v>
      </c>
      <c r="AN262" s="81" t="s">
        <v>1674</v>
      </c>
      <c r="AO262" s="81" t="s">
        <v>1811</v>
      </c>
      <c r="AP262" s="76" t="b">
        <v>0</v>
      </c>
      <c r="AQ262" s="81" t="s">
        <v>1485</v>
      </c>
      <c r="AR262" s="76" t="s">
        <v>219</v>
      </c>
      <c r="AS262" s="76">
        <v>0</v>
      </c>
      <c r="AT262" s="76">
        <v>0</v>
      </c>
      <c r="AU262" s="76"/>
      <c r="AV262" s="76"/>
      <c r="AW262" s="76"/>
      <c r="AX262" s="76"/>
      <c r="AY262" s="76"/>
      <c r="AZ262" s="76"/>
      <c r="BA262" s="76"/>
      <c r="BB262" s="76"/>
      <c r="BC262">
        <v>9</v>
      </c>
      <c r="BD262" s="75" t="str">
        <f>REPLACE(INDEX(GroupVertices[Group],MATCH(Edges25[[#This Row],[Vertex 1]],GroupVertices[Vertex],0)),1,1,"")</f>
        <v>2</v>
      </c>
      <c r="BE262" s="75" t="str">
        <f>REPLACE(INDEX(GroupVertices[Group],MATCH(Edges25[[#This Row],[Vertex 2]],GroupVertices[Vertex],0)),1,1,"")</f>
        <v>2</v>
      </c>
      <c r="BF262" s="45">
        <v>0</v>
      </c>
      <c r="BG262" s="46">
        <v>0</v>
      </c>
      <c r="BH262" s="45">
        <v>0</v>
      </c>
      <c r="BI262" s="46">
        <v>0</v>
      </c>
      <c r="BJ262" s="45">
        <v>0</v>
      </c>
      <c r="BK262" s="46">
        <v>0</v>
      </c>
      <c r="BL262" s="45">
        <v>4</v>
      </c>
      <c r="BM262" s="46">
        <v>100</v>
      </c>
      <c r="BN262" s="45">
        <v>4</v>
      </c>
    </row>
    <row r="263" spans="1:66" ht="15">
      <c r="A263" s="61" t="s">
        <v>419</v>
      </c>
      <c r="B263" s="61" t="s">
        <v>419</v>
      </c>
      <c r="C263" s="62"/>
      <c r="D263" s="63"/>
      <c r="E263" s="62"/>
      <c r="F263" s="65"/>
      <c r="G263" s="62"/>
      <c r="H263" s="66"/>
      <c r="I263" s="67"/>
      <c r="J263" s="67"/>
      <c r="K263" s="31" t="s">
        <v>65</v>
      </c>
      <c r="L263" s="68">
        <v>377</v>
      </c>
      <c r="M263" s="68"/>
      <c r="N263" s="69"/>
      <c r="O263" s="76" t="s">
        <v>219</v>
      </c>
      <c r="P263" s="78">
        <v>44814.673993055556</v>
      </c>
      <c r="Q263" s="76" t="s">
        <v>749</v>
      </c>
      <c r="R263" s="79" t="str">
        <f>HYPERLINK("https://www.restaurant-kiev.com")</f>
        <v>https://www.restaurant-kiev.com</v>
      </c>
      <c r="S263" s="76" t="s">
        <v>789</v>
      </c>
      <c r="T263" s="81" t="s">
        <v>874</v>
      </c>
      <c r="U263" s="76"/>
      <c r="V263" s="79" t="str">
        <f>HYPERLINK("https://pbs.twimg.com/profile_images/1480295098273644544/Ns_7wxQQ_normal.jpg")</f>
        <v>https://pbs.twimg.com/profile_images/1480295098273644544/Ns_7wxQQ_normal.jpg</v>
      </c>
      <c r="W263" s="78">
        <v>44814.673993055556</v>
      </c>
      <c r="X263" s="84">
        <v>44814</v>
      </c>
      <c r="Y263" s="81" t="s">
        <v>1154</v>
      </c>
      <c r="Z263" s="79" t="str">
        <f>HYPERLINK("https://twitter.com/_b0lil0d_/status/1568633032210354177")</f>
        <v>https://twitter.com/_b0lil0d_/status/1568633032210354177</v>
      </c>
      <c r="AA263" s="76"/>
      <c r="AB263" s="76"/>
      <c r="AC263" s="81" t="s">
        <v>1486</v>
      </c>
      <c r="AD263" s="76"/>
      <c r="AE263" s="76" t="b">
        <v>0</v>
      </c>
      <c r="AF263" s="76">
        <v>0</v>
      </c>
      <c r="AG263" s="81" t="s">
        <v>1674</v>
      </c>
      <c r="AH263" s="76" t="b">
        <v>0</v>
      </c>
      <c r="AI263" s="76" t="s">
        <v>1782</v>
      </c>
      <c r="AJ263" s="76"/>
      <c r="AK263" s="81" t="s">
        <v>1674</v>
      </c>
      <c r="AL263" s="76" t="b">
        <v>0</v>
      </c>
      <c r="AM263" s="76">
        <v>0</v>
      </c>
      <c r="AN263" s="81" t="s">
        <v>1674</v>
      </c>
      <c r="AO263" s="81" t="s">
        <v>1811</v>
      </c>
      <c r="AP263" s="76" t="b">
        <v>0</v>
      </c>
      <c r="AQ263" s="81" t="s">
        <v>1486</v>
      </c>
      <c r="AR263" s="76" t="s">
        <v>219</v>
      </c>
      <c r="AS263" s="76">
        <v>0</v>
      </c>
      <c r="AT263" s="76">
        <v>0</v>
      </c>
      <c r="AU263" s="76"/>
      <c r="AV263" s="76"/>
      <c r="AW263" s="76"/>
      <c r="AX263" s="76"/>
      <c r="AY263" s="76"/>
      <c r="AZ263" s="76"/>
      <c r="BA263" s="76"/>
      <c r="BB263" s="76"/>
      <c r="BC263">
        <v>9</v>
      </c>
      <c r="BD263" s="75" t="str">
        <f>REPLACE(INDEX(GroupVertices[Group],MATCH(Edges25[[#This Row],[Vertex 1]],GroupVertices[Vertex],0)),1,1,"")</f>
        <v>2</v>
      </c>
      <c r="BE263" s="75" t="str">
        <f>REPLACE(INDEX(GroupVertices[Group],MATCH(Edges25[[#This Row],[Vertex 2]],GroupVertices[Vertex],0)),1,1,"")</f>
        <v>2</v>
      </c>
      <c r="BF263" s="45">
        <v>0</v>
      </c>
      <c r="BG263" s="46">
        <v>0</v>
      </c>
      <c r="BH263" s="45">
        <v>0</v>
      </c>
      <c r="BI263" s="46">
        <v>0</v>
      </c>
      <c r="BJ263" s="45">
        <v>0</v>
      </c>
      <c r="BK263" s="46">
        <v>0</v>
      </c>
      <c r="BL263" s="45">
        <v>4</v>
      </c>
      <c r="BM263" s="46">
        <v>100</v>
      </c>
      <c r="BN263" s="45">
        <v>4</v>
      </c>
    </row>
    <row r="264" spans="1:66" ht="15">
      <c r="A264" s="61" t="s">
        <v>419</v>
      </c>
      <c r="B264" s="61" t="s">
        <v>419</v>
      </c>
      <c r="C264" s="62"/>
      <c r="D264" s="63"/>
      <c r="E264" s="62"/>
      <c r="F264" s="65"/>
      <c r="G264" s="62"/>
      <c r="H264" s="66"/>
      <c r="I264" s="67"/>
      <c r="J264" s="67"/>
      <c r="K264" s="31" t="s">
        <v>65</v>
      </c>
      <c r="L264" s="68">
        <v>378</v>
      </c>
      <c r="M264" s="68"/>
      <c r="N264" s="69"/>
      <c r="O264" s="76" t="s">
        <v>219</v>
      </c>
      <c r="P264" s="78">
        <v>44815.67393518519</v>
      </c>
      <c r="Q264" s="76" t="s">
        <v>749</v>
      </c>
      <c r="R264" s="79" t="str">
        <f>HYPERLINK("https://www.restaurant-kiev.com")</f>
        <v>https://www.restaurant-kiev.com</v>
      </c>
      <c r="S264" s="76" t="s">
        <v>789</v>
      </c>
      <c r="T264" s="81" t="s">
        <v>874</v>
      </c>
      <c r="U264" s="76"/>
      <c r="V264" s="79" t="str">
        <f>HYPERLINK("https://pbs.twimg.com/profile_images/1480295098273644544/Ns_7wxQQ_normal.jpg")</f>
        <v>https://pbs.twimg.com/profile_images/1480295098273644544/Ns_7wxQQ_normal.jpg</v>
      </c>
      <c r="W264" s="78">
        <v>44815.67393518519</v>
      </c>
      <c r="X264" s="84">
        <v>44815</v>
      </c>
      <c r="Y264" s="81" t="s">
        <v>1155</v>
      </c>
      <c r="Z264" s="79" t="str">
        <f>HYPERLINK("https://twitter.com/_b0lil0d_/status/1568995400010317824")</f>
        <v>https://twitter.com/_b0lil0d_/status/1568995400010317824</v>
      </c>
      <c r="AA264" s="76"/>
      <c r="AB264" s="76"/>
      <c r="AC264" s="81" t="s">
        <v>1487</v>
      </c>
      <c r="AD264" s="76"/>
      <c r="AE264" s="76" t="b">
        <v>0</v>
      </c>
      <c r="AF264" s="76">
        <v>0</v>
      </c>
      <c r="AG264" s="81" t="s">
        <v>1674</v>
      </c>
      <c r="AH264" s="76" t="b">
        <v>0</v>
      </c>
      <c r="AI264" s="76" t="s">
        <v>1782</v>
      </c>
      <c r="AJ264" s="76"/>
      <c r="AK264" s="81" t="s">
        <v>1674</v>
      </c>
      <c r="AL264" s="76" t="b">
        <v>0</v>
      </c>
      <c r="AM264" s="76">
        <v>0</v>
      </c>
      <c r="AN264" s="81" t="s">
        <v>1674</v>
      </c>
      <c r="AO264" s="81" t="s">
        <v>1811</v>
      </c>
      <c r="AP264" s="76" t="b">
        <v>0</v>
      </c>
      <c r="AQ264" s="81" t="s">
        <v>1487</v>
      </c>
      <c r="AR264" s="76" t="s">
        <v>219</v>
      </c>
      <c r="AS264" s="76">
        <v>0</v>
      </c>
      <c r="AT264" s="76">
        <v>0</v>
      </c>
      <c r="AU264" s="76"/>
      <c r="AV264" s="76"/>
      <c r="AW264" s="76"/>
      <c r="AX264" s="76"/>
      <c r="AY264" s="76"/>
      <c r="AZ264" s="76"/>
      <c r="BA264" s="76"/>
      <c r="BB264" s="76"/>
      <c r="BC264">
        <v>9</v>
      </c>
      <c r="BD264" s="75" t="str">
        <f>REPLACE(INDEX(GroupVertices[Group],MATCH(Edges25[[#This Row],[Vertex 1]],GroupVertices[Vertex],0)),1,1,"")</f>
        <v>2</v>
      </c>
      <c r="BE264" s="75" t="str">
        <f>REPLACE(INDEX(GroupVertices[Group],MATCH(Edges25[[#This Row],[Vertex 2]],GroupVertices[Vertex],0)),1,1,"")</f>
        <v>2</v>
      </c>
      <c r="BF264" s="45">
        <v>0</v>
      </c>
      <c r="BG264" s="46">
        <v>0</v>
      </c>
      <c r="BH264" s="45">
        <v>0</v>
      </c>
      <c r="BI264" s="46">
        <v>0</v>
      </c>
      <c r="BJ264" s="45">
        <v>0</v>
      </c>
      <c r="BK264" s="46">
        <v>0</v>
      </c>
      <c r="BL264" s="45">
        <v>4</v>
      </c>
      <c r="BM264" s="46">
        <v>100</v>
      </c>
      <c r="BN264" s="45">
        <v>4</v>
      </c>
    </row>
    <row r="265" spans="1:66" ht="15">
      <c r="A265" s="61" t="s">
        <v>419</v>
      </c>
      <c r="B265" s="61" t="s">
        <v>419</v>
      </c>
      <c r="C265" s="62"/>
      <c r="D265" s="63"/>
      <c r="E265" s="62"/>
      <c r="F265" s="65"/>
      <c r="G265" s="62"/>
      <c r="H265" s="66"/>
      <c r="I265" s="67"/>
      <c r="J265" s="67"/>
      <c r="K265" s="31" t="s">
        <v>65</v>
      </c>
      <c r="L265" s="68">
        <v>379</v>
      </c>
      <c r="M265" s="68"/>
      <c r="N265" s="69"/>
      <c r="O265" s="76" t="s">
        <v>219</v>
      </c>
      <c r="P265" s="78">
        <v>44816.67395833333</v>
      </c>
      <c r="Q265" s="76" t="s">
        <v>749</v>
      </c>
      <c r="R265" s="79" t="str">
        <f>HYPERLINK("https://www.restaurant-kiev.com")</f>
        <v>https://www.restaurant-kiev.com</v>
      </c>
      <c r="S265" s="76" t="s">
        <v>789</v>
      </c>
      <c r="T265" s="81" t="s">
        <v>874</v>
      </c>
      <c r="U265" s="76"/>
      <c r="V265" s="79" t="str">
        <f>HYPERLINK("https://pbs.twimg.com/profile_images/1480295098273644544/Ns_7wxQQ_normal.jpg")</f>
        <v>https://pbs.twimg.com/profile_images/1480295098273644544/Ns_7wxQQ_normal.jpg</v>
      </c>
      <c r="W265" s="78">
        <v>44816.67395833333</v>
      </c>
      <c r="X265" s="84">
        <v>44816</v>
      </c>
      <c r="Y265" s="81" t="s">
        <v>1156</v>
      </c>
      <c r="Z265" s="79" t="str">
        <f>HYPERLINK("https://twitter.com/_b0lil0d_/status/1569357795870351360")</f>
        <v>https://twitter.com/_b0lil0d_/status/1569357795870351360</v>
      </c>
      <c r="AA265" s="76"/>
      <c r="AB265" s="76"/>
      <c r="AC265" s="81" t="s">
        <v>1488</v>
      </c>
      <c r="AD265" s="76"/>
      <c r="AE265" s="76" t="b">
        <v>0</v>
      </c>
      <c r="AF265" s="76">
        <v>0</v>
      </c>
      <c r="AG265" s="81" t="s">
        <v>1674</v>
      </c>
      <c r="AH265" s="76" t="b">
        <v>0</v>
      </c>
      <c r="AI265" s="76" t="s">
        <v>1782</v>
      </c>
      <c r="AJ265" s="76"/>
      <c r="AK265" s="81" t="s">
        <v>1674</v>
      </c>
      <c r="AL265" s="76" t="b">
        <v>0</v>
      </c>
      <c r="AM265" s="76">
        <v>0</v>
      </c>
      <c r="AN265" s="81" t="s">
        <v>1674</v>
      </c>
      <c r="AO265" s="81" t="s">
        <v>1811</v>
      </c>
      <c r="AP265" s="76" t="b">
        <v>0</v>
      </c>
      <c r="AQ265" s="81" t="s">
        <v>1488</v>
      </c>
      <c r="AR265" s="76" t="s">
        <v>219</v>
      </c>
      <c r="AS265" s="76">
        <v>0</v>
      </c>
      <c r="AT265" s="76">
        <v>0</v>
      </c>
      <c r="AU265" s="76"/>
      <c r="AV265" s="76"/>
      <c r="AW265" s="76"/>
      <c r="AX265" s="76"/>
      <c r="AY265" s="76"/>
      <c r="AZ265" s="76"/>
      <c r="BA265" s="76"/>
      <c r="BB265" s="76"/>
      <c r="BC265">
        <v>9</v>
      </c>
      <c r="BD265" s="75" t="str">
        <f>REPLACE(INDEX(GroupVertices[Group],MATCH(Edges25[[#This Row],[Vertex 1]],GroupVertices[Vertex],0)),1,1,"")</f>
        <v>2</v>
      </c>
      <c r="BE265" s="75" t="str">
        <f>REPLACE(INDEX(GroupVertices[Group],MATCH(Edges25[[#This Row],[Vertex 2]],GroupVertices[Vertex],0)),1,1,"")</f>
        <v>2</v>
      </c>
      <c r="BF265" s="45">
        <v>0</v>
      </c>
      <c r="BG265" s="46">
        <v>0</v>
      </c>
      <c r="BH265" s="45">
        <v>0</v>
      </c>
      <c r="BI265" s="46">
        <v>0</v>
      </c>
      <c r="BJ265" s="45">
        <v>0</v>
      </c>
      <c r="BK265" s="46">
        <v>0</v>
      </c>
      <c r="BL265" s="45">
        <v>4</v>
      </c>
      <c r="BM265" s="46">
        <v>100</v>
      </c>
      <c r="BN265" s="45">
        <v>4</v>
      </c>
    </row>
    <row r="266" spans="1:66" ht="15">
      <c r="A266" s="61" t="s">
        <v>419</v>
      </c>
      <c r="B266" s="61" t="s">
        <v>419</v>
      </c>
      <c r="C266" s="62"/>
      <c r="D266" s="63"/>
      <c r="E266" s="62"/>
      <c r="F266" s="65"/>
      <c r="G266" s="62"/>
      <c r="H266" s="66"/>
      <c r="I266" s="67"/>
      <c r="J266" s="67"/>
      <c r="K266" s="31" t="s">
        <v>65</v>
      </c>
      <c r="L266" s="68">
        <v>380</v>
      </c>
      <c r="M266" s="68"/>
      <c r="N266" s="69"/>
      <c r="O266" s="76" t="s">
        <v>219</v>
      </c>
      <c r="P266" s="78">
        <v>44817.673993055556</v>
      </c>
      <c r="Q266" s="76" t="s">
        <v>749</v>
      </c>
      <c r="R266" s="79" t="str">
        <f>HYPERLINK("https://www.restaurant-kiev.com")</f>
        <v>https://www.restaurant-kiev.com</v>
      </c>
      <c r="S266" s="76" t="s">
        <v>789</v>
      </c>
      <c r="T266" s="81" t="s">
        <v>874</v>
      </c>
      <c r="U266" s="76"/>
      <c r="V266" s="79" t="str">
        <f>HYPERLINK("https://pbs.twimg.com/profile_images/1480295098273644544/Ns_7wxQQ_normal.jpg")</f>
        <v>https://pbs.twimg.com/profile_images/1480295098273644544/Ns_7wxQQ_normal.jpg</v>
      </c>
      <c r="W266" s="78">
        <v>44817.673993055556</v>
      </c>
      <c r="X266" s="84">
        <v>44817</v>
      </c>
      <c r="Y266" s="81" t="s">
        <v>1154</v>
      </c>
      <c r="Z266" s="79" t="str">
        <f>HYPERLINK("https://twitter.com/_b0lil0d_/status/1569720195320582144")</f>
        <v>https://twitter.com/_b0lil0d_/status/1569720195320582144</v>
      </c>
      <c r="AA266" s="76"/>
      <c r="AB266" s="76"/>
      <c r="AC266" s="81" t="s">
        <v>1489</v>
      </c>
      <c r="AD266" s="76"/>
      <c r="AE266" s="76" t="b">
        <v>0</v>
      </c>
      <c r="AF266" s="76">
        <v>0</v>
      </c>
      <c r="AG266" s="81" t="s">
        <v>1674</v>
      </c>
      <c r="AH266" s="76" t="b">
        <v>0</v>
      </c>
      <c r="AI266" s="76" t="s">
        <v>1782</v>
      </c>
      <c r="AJ266" s="76"/>
      <c r="AK266" s="81" t="s">
        <v>1674</v>
      </c>
      <c r="AL266" s="76" t="b">
        <v>0</v>
      </c>
      <c r="AM266" s="76">
        <v>0</v>
      </c>
      <c r="AN266" s="81" t="s">
        <v>1674</v>
      </c>
      <c r="AO266" s="81" t="s">
        <v>1811</v>
      </c>
      <c r="AP266" s="76" t="b">
        <v>0</v>
      </c>
      <c r="AQ266" s="81" t="s">
        <v>1489</v>
      </c>
      <c r="AR266" s="76" t="s">
        <v>219</v>
      </c>
      <c r="AS266" s="76">
        <v>0</v>
      </c>
      <c r="AT266" s="76">
        <v>0</v>
      </c>
      <c r="AU266" s="76"/>
      <c r="AV266" s="76"/>
      <c r="AW266" s="76"/>
      <c r="AX266" s="76"/>
      <c r="AY266" s="76"/>
      <c r="AZ266" s="76"/>
      <c r="BA266" s="76"/>
      <c r="BB266" s="76"/>
      <c r="BC266">
        <v>9</v>
      </c>
      <c r="BD266" s="75" t="str">
        <f>REPLACE(INDEX(GroupVertices[Group],MATCH(Edges25[[#This Row],[Vertex 1]],GroupVertices[Vertex],0)),1,1,"")</f>
        <v>2</v>
      </c>
      <c r="BE266" s="75" t="str">
        <f>REPLACE(INDEX(GroupVertices[Group],MATCH(Edges25[[#This Row],[Vertex 2]],GroupVertices[Vertex],0)),1,1,"")</f>
        <v>2</v>
      </c>
      <c r="BF266" s="45">
        <v>0</v>
      </c>
      <c r="BG266" s="46">
        <v>0</v>
      </c>
      <c r="BH266" s="45">
        <v>0</v>
      </c>
      <c r="BI266" s="46">
        <v>0</v>
      </c>
      <c r="BJ266" s="45">
        <v>0</v>
      </c>
      <c r="BK266" s="46">
        <v>0</v>
      </c>
      <c r="BL266" s="45">
        <v>4</v>
      </c>
      <c r="BM266" s="46">
        <v>100</v>
      </c>
      <c r="BN266" s="45">
        <v>4</v>
      </c>
    </row>
    <row r="267" spans="1:66" ht="15">
      <c r="A267" s="61" t="s">
        <v>419</v>
      </c>
      <c r="B267" s="61" t="s">
        <v>419</v>
      </c>
      <c r="C267" s="62"/>
      <c r="D267" s="63"/>
      <c r="E267" s="62"/>
      <c r="F267" s="65"/>
      <c r="G267" s="62"/>
      <c r="H267" s="66"/>
      <c r="I267" s="67"/>
      <c r="J267" s="67"/>
      <c r="K267" s="31" t="s">
        <v>65</v>
      </c>
      <c r="L267" s="68">
        <v>381</v>
      </c>
      <c r="M267" s="68"/>
      <c r="N267" s="69"/>
      <c r="O267" s="76" t="s">
        <v>219</v>
      </c>
      <c r="P267" s="78">
        <v>44818.67393518519</v>
      </c>
      <c r="Q267" s="76" t="s">
        <v>750</v>
      </c>
      <c r="R267" s="79" t="str">
        <f>HYPERLINK("https://www.restaurant-kiev.com")</f>
        <v>https://www.restaurant-kiev.com</v>
      </c>
      <c r="S267" s="76" t="s">
        <v>789</v>
      </c>
      <c r="T267" s="81" t="s">
        <v>874</v>
      </c>
      <c r="U267" s="76"/>
      <c r="V267" s="79" t="str">
        <f>HYPERLINK("https://pbs.twimg.com/profile_images/1480295098273644544/Ns_7wxQQ_normal.jpg")</f>
        <v>https://pbs.twimg.com/profile_images/1480295098273644544/Ns_7wxQQ_normal.jpg</v>
      </c>
      <c r="W267" s="78">
        <v>44818.67393518519</v>
      </c>
      <c r="X267" s="84">
        <v>44818</v>
      </c>
      <c r="Y267" s="81" t="s">
        <v>1155</v>
      </c>
      <c r="Z267" s="79" t="str">
        <f>HYPERLINK("https://twitter.com/_b0lil0d_/status/1570082564408487939")</f>
        <v>https://twitter.com/_b0lil0d_/status/1570082564408487939</v>
      </c>
      <c r="AA267" s="76"/>
      <c r="AB267" s="76"/>
      <c r="AC267" s="81" t="s">
        <v>1490</v>
      </c>
      <c r="AD267" s="76"/>
      <c r="AE267" s="76" t="b">
        <v>0</v>
      </c>
      <c r="AF267" s="76">
        <v>0</v>
      </c>
      <c r="AG267" s="81" t="s">
        <v>1674</v>
      </c>
      <c r="AH267" s="76" t="b">
        <v>0</v>
      </c>
      <c r="AI267" s="76" t="s">
        <v>1782</v>
      </c>
      <c r="AJ267" s="76"/>
      <c r="AK267" s="81" t="s">
        <v>1674</v>
      </c>
      <c r="AL267" s="76" t="b">
        <v>0</v>
      </c>
      <c r="AM267" s="76">
        <v>0</v>
      </c>
      <c r="AN267" s="81" t="s">
        <v>1674</v>
      </c>
      <c r="AO267" s="81" t="s">
        <v>1811</v>
      </c>
      <c r="AP267" s="76" t="b">
        <v>0</v>
      </c>
      <c r="AQ267" s="81" t="s">
        <v>1490</v>
      </c>
      <c r="AR267" s="76" t="s">
        <v>219</v>
      </c>
      <c r="AS267" s="76">
        <v>0</v>
      </c>
      <c r="AT267" s="76">
        <v>0</v>
      </c>
      <c r="AU267" s="76"/>
      <c r="AV267" s="76"/>
      <c r="AW267" s="76"/>
      <c r="AX267" s="76"/>
      <c r="AY267" s="76"/>
      <c r="AZ267" s="76"/>
      <c r="BA267" s="76"/>
      <c r="BB267" s="76"/>
      <c r="BC267">
        <v>9</v>
      </c>
      <c r="BD267" s="75" t="str">
        <f>REPLACE(INDEX(GroupVertices[Group],MATCH(Edges25[[#This Row],[Vertex 1]],GroupVertices[Vertex],0)),1,1,"")</f>
        <v>2</v>
      </c>
      <c r="BE267" s="75" t="str">
        <f>REPLACE(INDEX(GroupVertices[Group],MATCH(Edges25[[#This Row],[Vertex 2]],GroupVertices[Vertex],0)),1,1,"")</f>
        <v>2</v>
      </c>
      <c r="BF267" s="45">
        <v>0</v>
      </c>
      <c r="BG267" s="46">
        <v>0</v>
      </c>
      <c r="BH267" s="45">
        <v>0</v>
      </c>
      <c r="BI267" s="46">
        <v>0</v>
      </c>
      <c r="BJ267" s="45">
        <v>0</v>
      </c>
      <c r="BK267" s="46">
        <v>0</v>
      </c>
      <c r="BL267" s="45">
        <v>4</v>
      </c>
      <c r="BM267" s="46">
        <v>100</v>
      </c>
      <c r="BN267" s="45">
        <v>4</v>
      </c>
    </row>
    <row r="268" spans="1:66" ht="15">
      <c r="A268" s="61" t="s">
        <v>419</v>
      </c>
      <c r="B268" s="61" t="s">
        <v>419</v>
      </c>
      <c r="C268" s="62"/>
      <c r="D268" s="63"/>
      <c r="E268" s="62"/>
      <c r="F268" s="65"/>
      <c r="G268" s="62"/>
      <c r="H268" s="66"/>
      <c r="I268" s="67"/>
      <c r="J268" s="67"/>
      <c r="K268" s="31" t="s">
        <v>65</v>
      </c>
      <c r="L268" s="68">
        <v>382</v>
      </c>
      <c r="M268" s="68"/>
      <c r="N268" s="69"/>
      <c r="O268" s="76" t="s">
        <v>219</v>
      </c>
      <c r="P268" s="78">
        <v>44819.67403935185</v>
      </c>
      <c r="Q268" s="76" t="s">
        <v>749</v>
      </c>
      <c r="R268" s="79" t="str">
        <f>HYPERLINK("https://www.restaurant-kiev.com")</f>
        <v>https://www.restaurant-kiev.com</v>
      </c>
      <c r="S268" s="76" t="s">
        <v>789</v>
      </c>
      <c r="T268" s="81" t="s">
        <v>874</v>
      </c>
      <c r="U268" s="76"/>
      <c r="V268" s="79" t="str">
        <f>HYPERLINK("https://pbs.twimg.com/profile_images/1480295098273644544/Ns_7wxQQ_normal.jpg")</f>
        <v>https://pbs.twimg.com/profile_images/1480295098273644544/Ns_7wxQQ_normal.jpg</v>
      </c>
      <c r="W268" s="78">
        <v>44819.67403935185</v>
      </c>
      <c r="X268" s="84">
        <v>44819</v>
      </c>
      <c r="Y268" s="81" t="s">
        <v>1152</v>
      </c>
      <c r="Z268" s="79" t="str">
        <f>HYPERLINK("https://twitter.com/_b0lil0d_/status/1570444987980025858")</f>
        <v>https://twitter.com/_b0lil0d_/status/1570444987980025858</v>
      </c>
      <c r="AA268" s="76"/>
      <c r="AB268" s="76"/>
      <c r="AC268" s="81" t="s">
        <v>1491</v>
      </c>
      <c r="AD268" s="76"/>
      <c r="AE268" s="76" t="b">
        <v>0</v>
      </c>
      <c r="AF268" s="76">
        <v>0</v>
      </c>
      <c r="AG268" s="81" t="s">
        <v>1674</v>
      </c>
      <c r="AH268" s="76" t="b">
        <v>0</v>
      </c>
      <c r="AI268" s="76" t="s">
        <v>1782</v>
      </c>
      <c r="AJ268" s="76"/>
      <c r="AK268" s="81" t="s">
        <v>1674</v>
      </c>
      <c r="AL268" s="76" t="b">
        <v>0</v>
      </c>
      <c r="AM268" s="76">
        <v>0</v>
      </c>
      <c r="AN268" s="81" t="s">
        <v>1674</v>
      </c>
      <c r="AO268" s="81" t="s">
        <v>1811</v>
      </c>
      <c r="AP268" s="76" t="b">
        <v>0</v>
      </c>
      <c r="AQ268" s="81" t="s">
        <v>1491</v>
      </c>
      <c r="AR268" s="76" t="s">
        <v>219</v>
      </c>
      <c r="AS268" s="76">
        <v>0</v>
      </c>
      <c r="AT268" s="76">
        <v>0</v>
      </c>
      <c r="AU268" s="76"/>
      <c r="AV268" s="76"/>
      <c r="AW268" s="76"/>
      <c r="AX268" s="76"/>
      <c r="AY268" s="76"/>
      <c r="AZ268" s="76"/>
      <c r="BA268" s="76"/>
      <c r="BB268" s="76"/>
      <c r="BC268">
        <v>9</v>
      </c>
      <c r="BD268" s="75" t="str">
        <f>REPLACE(INDEX(GroupVertices[Group],MATCH(Edges25[[#This Row],[Vertex 1]],GroupVertices[Vertex],0)),1,1,"")</f>
        <v>2</v>
      </c>
      <c r="BE268" s="75" t="str">
        <f>REPLACE(INDEX(GroupVertices[Group],MATCH(Edges25[[#This Row],[Vertex 2]],GroupVertices[Vertex],0)),1,1,"")</f>
        <v>2</v>
      </c>
      <c r="BF268" s="45">
        <v>0</v>
      </c>
      <c r="BG268" s="46">
        <v>0</v>
      </c>
      <c r="BH268" s="45">
        <v>0</v>
      </c>
      <c r="BI268" s="46">
        <v>0</v>
      </c>
      <c r="BJ268" s="45">
        <v>0</v>
      </c>
      <c r="BK268" s="46">
        <v>0</v>
      </c>
      <c r="BL268" s="45">
        <v>4</v>
      </c>
      <c r="BM268" s="46">
        <v>100</v>
      </c>
      <c r="BN268" s="45">
        <v>4</v>
      </c>
    </row>
    <row r="269" spans="1:66" ht="15">
      <c r="A269" s="61" t="s">
        <v>420</v>
      </c>
      <c r="B269" s="61" t="s">
        <v>562</v>
      </c>
      <c r="C269" s="62"/>
      <c r="D269" s="63"/>
      <c r="E269" s="62"/>
      <c r="F269" s="65"/>
      <c r="G269" s="62"/>
      <c r="H269" s="66"/>
      <c r="I269" s="67"/>
      <c r="J269" s="67"/>
      <c r="K269" s="31" t="s">
        <v>65</v>
      </c>
      <c r="L269" s="68">
        <v>383</v>
      </c>
      <c r="M269" s="68"/>
      <c r="N269" s="69"/>
      <c r="O269" s="76" t="s">
        <v>587</v>
      </c>
      <c r="P269" s="78">
        <v>44812.38116898148</v>
      </c>
      <c r="Q269" s="76" t="s">
        <v>751</v>
      </c>
      <c r="R269" s="76"/>
      <c r="S269" s="76"/>
      <c r="T269" s="81" t="s">
        <v>795</v>
      </c>
      <c r="U269" s="79" t="str">
        <f>HYPERLINK("https://pbs.twimg.com/media/FcHzs4MXwAEOwI1.jpg")</f>
        <v>https://pbs.twimg.com/media/FcHzs4MXwAEOwI1.jpg</v>
      </c>
      <c r="V269" s="79" t="str">
        <f>HYPERLINK("https://pbs.twimg.com/media/FcHzs4MXwAEOwI1.jpg")</f>
        <v>https://pbs.twimg.com/media/FcHzs4MXwAEOwI1.jpg</v>
      </c>
      <c r="W269" s="78">
        <v>44812.38116898148</v>
      </c>
      <c r="X269" s="84">
        <v>44812</v>
      </c>
      <c r="Y269" s="81" t="s">
        <v>1157</v>
      </c>
      <c r="Z269" s="79" t="str">
        <f>HYPERLINK("https://twitter.com/krollspellt/status/1567802140608942081")</f>
        <v>https://twitter.com/krollspellt/status/1567802140608942081</v>
      </c>
      <c r="AA269" s="76"/>
      <c r="AB269" s="76"/>
      <c r="AC269" s="81" t="s">
        <v>1492</v>
      </c>
      <c r="AD269" s="81" t="s">
        <v>1652</v>
      </c>
      <c r="AE269" s="76" t="b">
        <v>0</v>
      </c>
      <c r="AF269" s="76">
        <v>0</v>
      </c>
      <c r="AG269" s="81" t="s">
        <v>1753</v>
      </c>
      <c r="AH269" s="76" t="b">
        <v>0</v>
      </c>
      <c r="AI269" s="76" t="s">
        <v>1770</v>
      </c>
      <c r="AJ269" s="76"/>
      <c r="AK269" s="81" t="s">
        <v>1674</v>
      </c>
      <c r="AL269" s="76" t="b">
        <v>0</v>
      </c>
      <c r="AM269" s="76">
        <v>0</v>
      </c>
      <c r="AN269" s="81" t="s">
        <v>1674</v>
      </c>
      <c r="AO269" s="81" t="s">
        <v>1808</v>
      </c>
      <c r="AP269" s="76" t="b">
        <v>0</v>
      </c>
      <c r="AQ269" s="81" t="s">
        <v>1652</v>
      </c>
      <c r="AR269" s="76" t="s">
        <v>219</v>
      </c>
      <c r="AS269" s="76">
        <v>0</v>
      </c>
      <c r="AT269" s="76">
        <v>0</v>
      </c>
      <c r="AU269" s="76"/>
      <c r="AV269" s="76"/>
      <c r="AW269" s="76"/>
      <c r="AX269" s="76"/>
      <c r="AY269" s="76"/>
      <c r="AZ269" s="76"/>
      <c r="BA269" s="76"/>
      <c r="BB269" s="76"/>
      <c r="BC269">
        <v>1</v>
      </c>
      <c r="BD269" s="75" t="str">
        <f>REPLACE(INDEX(GroupVertices[Group],MATCH(Edges25[[#This Row],[Vertex 1]],GroupVertices[Vertex],0)),1,1,"")</f>
        <v>22</v>
      </c>
      <c r="BE269" s="75" t="str">
        <f>REPLACE(INDEX(GroupVertices[Group],MATCH(Edges25[[#This Row],[Vertex 2]],GroupVertices[Vertex],0)),1,1,"")</f>
        <v>22</v>
      </c>
      <c r="BF269" s="45">
        <v>0</v>
      </c>
      <c r="BG269" s="46">
        <v>0</v>
      </c>
      <c r="BH269" s="45">
        <v>0</v>
      </c>
      <c r="BI269" s="46">
        <v>0</v>
      </c>
      <c r="BJ269" s="45">
        <v>0</v>
      </c>
      <c r="BK269" s="46">
        <v>0</v>
      </c>
      <c r="BL269" s="45">
        <v>32</v>
      </c>
      <c r="BM269" s="46">
        <v>100</v>
      </c>
      <c r="BN269" s="45">
        <v>32</v>
      </c>
    </row>
    <row r="270" spans="1:66" ht="15">
      <c r="A270" s="61" t="s">
        <v>420</v>
      </c>
      <c r="B270" s="61" t="s">
        <v>563</v>
      </c>
      <c r="C270" s="62"/>
      <c r="D270" s="63"/>
      <c r="E270" s="62"/>
      <c r="F270" s="65"/>
      <c r="G270" s="62"/>
      <c r="H270" s="66"/>
      <c r="I270" s="67"/>
      <c r="J270" s="67"/>
      <c r="K270" s="31" t="s">
        <v>65</v>
      </c>
      <c r="L270" s="68">
        <v>384</v>
      </c>
      <c r="M270" s="68"/>
      <c r="N270" s="69"/>
      <c r="O270" s="76" t="s">
        <v>588</v>
      </c>
      <c r="P270" s="78">
        <v>44819.695868055554</v>
      </c>
      <c r="Q270" s="76" t="s">
        <v>752</v>
      </c>
      <c r="R270" s="76"/>
      <c r="S270" s="76"/>
      <c r="T270" s="81" t="s">
        <v>795</v>
      </c>
      <c r="U270" s="76"/>
      <c r="V270" s="79" t="str">
        <f>HYPERLINK("https://pbs.twimg.com/profile_images/1548367315606970370/Wm0GhuZw_normal.jpg")</f>
        <v>https://pbs.twimg.com/profile_images/1548367315606970370/Wm0GhuZw_normal.jpg</v>
      </c>
      <c r="W270" s="78">
        <v>44819.695868055554</v>
      </c>
      <c r="X270" s="84">
        <v>44819</v>
      </c>
      <c r="Y270" s="81" t="s">
        <v>1158</v>
      </c>
      <c r="Z270" s="79" t="str">
        <f>HYPERLINK("https://twitter.com/krollspellt/status/1570452901260140545")</f>
        <v>https://twitter.com/krollspellt/status/1570452901260140545</v>
      </c>
      <c r="AA270" s="76"/>
      <c r="AB270" s="76"/>
      <c r="AC270" s="81" t="s">
        <v>1493</v>
      </c>
      <c r="AD270" s="81" t="s">
        <v>1653</v>
      </c>
      <c r="AE270" s="76" t="b">
        <v>0</v>
      </c>
      <c r="AF270" s="76">
        <v>0</v>
      </c>
      <c r="AG270" s="81" t="s">
        <v>1754</v>
      </c>
      <c r="AH270" s="76" t="b">
        <v>0</v>
      </c>
      <c r="AI270" s="76" t="s">
        <v>1770</v>
      </c>
      <c r="AJ270" s="76"/>
      <c r="AK270" s="81" t="s">
        <v>1674</v>
      </c>
      <c r="AL270" s="76" t="b">
        <v>0</v>
      </c>
      <c r="AM270" s="76">
        <v>0</v>
      </c>
      <c r="AN270" s="81" t="s">
        <v>1674</v>
      </c>
      <c r="AO270" s="81" t="s">
        <v>1808</v>
      </c>
      <c r="AP270" s="76" t="b">
        <v>0</v>
      </c>
      <c r="AQ270" s="81" t="s">
        <v>1653</v>
      </c>
      <c r="AR270" s="76" t="s">
        <v>219</v>
      </c>
      <c r="AS270" s="76">
        <v>0</v>
      </c>
      <c r="AT270" s="76">
        <v>0</v>
      </c>
      <c r="AU270" s="76"/>
      <c r="AV270" s="76"/>
      <c r="AW270" s="76"/>
      <c r="AX270" s="76"/>
      <c r="AY270" s="76"/>
      <c r="AZ270" s="76"/>
      <c r="BA270" s="76"/>
      <c r="BB270" s="76"/>
      <c r="BC270">
        <v>1</v>
      </c>
      <c r="BD270" s="75" t="str">
        <f>REPLACE(INDEX(GroupVertices[Group],MATCH(Edges25[[#This Row],[Vertex 1]],GroupVertices[Vertex],0)),1,1,"")</f>
        <v>22</v>
      </c>
      <c r="BE270" s="75" t="str">
        <f>REPLACE(INDEX(GroupVertices[Group],MATCH(Edges25[[#This Row],[Vertex 2]],GroupVertices[Vertex],0)),1,1,"")</f>
        <v>22</v>
      </c>
      <c r="BF270" s="45"/>
      <c r="BG270" s="46"/>
      <c r="BH270" s="45"/>
      <c r="BI270" s="46"/>
      <c r="BJ270" s="45"/>
      <c r="BK270" s="46"/>
      <c r="BL270" s="45"/>
      <c r="BM270" s="46"/>
      <c r="BN270" s="45"/>
    </row>
    <row r="271" spans="1:66" ht="15">
      <c r="A271" s="61" t="s">
        <v>421</v>
      </c>
      <c r="B271" s="61" t="s">
        <v>565</v>
      </c>
      <c r="C271" s="62"/>
      <c r="D271" s="63"/>
      <c r="E271" s="62"/>
      <c r="F271" s="65"/>
      <c r="G271" s="62"/>
      <c r="H271" s="66"/>
      <c r="I271" s="67"/>
      <c r="J271" s="67"/>
      <c r="K271" s="31" t="s">
        <v>65</v>
      </c>
      <c r="L271" s="68">
        <v>386</v>
      </c>
      <c r="M271" s="68"/>
      <c r="N271" s="69"/>
      <c r="O271" s="76" t="s">
        <v>588</v>
      </c>
      <c r="P271" s="78">
        <v>44819.716365740744</v>
      </c>
      <c r="Q271" s="76" t="s">
        <v>753</v>
      </c>
      <c r="R271" s="76"/>
      <c r="S271" s="76"/>
      <c r="T271" s="81" t="s">
        <v>795</v>
      </c>
      <c r="U271" s="76"/>
      <c r="V271" s="79" t="str">
        <f>HYPERLINK("https://pbs.twimg.com/profile_images/1547329555953852418/RVexXU-0_normal.jpg")</f>
        <v>https://pbs.twimg.com/profile_images/1547329555953852418/RVexXU-0_normal.jpg</v>
      </c>
      <c r="W271" s="78">
        <v>44819.716365740744</v>
      </c>
      <c r="X271" s="84">
        <v>44819</v>
      </c>
      <c r="Y271" s="81" t="s">
        <v>1159</v>
      </c>
      <c r="Z271" s="79" t="str">
        <f>HYPERLINK("https://twitter.com/godandtrump114/status/1570460326319067138")</f>
        <v>https://twitter.com/godandtrump114/status/1570460326319067138</v>
      </c>
      <c r="AA271" s="76"/>
      <c r="AB271" s="76"/>
      <c r="AC271" s="81" t="s">
        <v>1494</v>
      </c>
      <c r="AD271" s="81" t="s">
        <v>1654</v>
      </c>
      <c r="AE271" s="76" t="b">
        <v>0</v>
      </c>
      <c r="AF271" s="76">
        <v>0</v>
      </c>
      <c r="AG271" s="81" t="s">
        <v>1755</v>
      </c>
      <c r="AH271" s="76" t="b">
        <v>0</v>
      </c>
      <c r="AI271" s="76" t="s">
        <v>1772</v>
      </c>
      <c r="AJ271" s="76"/>
      <c r="AK271" s="81" t="s">
        <v>1674</v>
      </c>
      <c r="AL271" s="76" t="b">
        <v>0</v>
      </c>
      <c r="AM271" s="76">
        <v>0</v>
      </c>
      <c r="AN271" s="81" t="s">
        <v>1674</v>
      </c>
      <c r="AO271" s="81" t="s">
        <v>1809</v>
      </c>
      <c r="AP271" s="76" t="b">
        <v>0</v>
      </c>
      <c r="AQ271" s="81" t="s">
        <v>1654</v>
      </c>
      <c r="AR271" s="76" t="s">
        <v>219</v>
      </c>
      <c r="AS271" s="76">
        <v>0</v>
      </c>
      <c r="AT271" s="76">
        <v>0</v>
      </c>
      <c r="AU271" s="76"/>
      <c r="AV271" s="76"/>
      <c r="AW271" s="76"/>
      <c r="AX271" s="76"/>
      <c r="AY271" s="76"/>
      <c r="AZ271" s="76"/>
      <c r="BA271" s="76"/>
      <c r="BB271" s="76"/>
      <c r="BC271">
        <v>1</v>
      </c>
      <c r="BD271" s="75" t="str">
        <f>REPLACE(INDEX(GroupVertices[Group],MATCH(Edges25[[#This Row],[Vertex 1]],GroupVertices[Vertex],0)),1,1,"")</f>
        <v>31</v>
      </c>
      <c r="BE271" s="75" t="str">
        <f>REPLACE(INDEX(GroupVertices[Group],MATCH(Edges25[[#This Row],[Vertex 2]],GroupVertices[Vertex],0)),1,1,"")</f>
        <v>31</v>
      </c>
      <c r="BF271" s="45"/>
      <c r="BG271" s="46"/>
      <c r="BH271" s="45"/>
      <c r="BI271" s="46"/>
      <c r="BJ271" s="45"/>
      <c r="BK271" s="46"/>
      <c r="BL271" s="45"/>
      <c r="BM271" s="46"/>
      <c r="BN271" s="45"/>
    </row>
    <row r="272" spans="1:66" ht="15">
      <c r="A272" s="61" t="s">
        <v>413</v>
      </c>
      <c r="B272" s="61" t="s">
        <v>567</v>
      </c>
      <c r="C272" s="62"/>
      <c r="D272" s="63"/>
      <c r="E272" s="62"/>
      <c r="F272" s="65"/>
      <c r="G272" s="62"/>
      <c r="H272" s="66"/>
      <c r="I272" s="67"/>
      <c r="J272" s="67"/>
      <c r="K272" s="31" t="s">
        <v>65</v>
      </c>
      <c r="L272" s="68">
        <v>388</v>
      </c>
      <c r="M272" s="68"/>
      <c r="N272" s="69"/>
      <c r="O272" s="76" t="s">
        <v>587</v>
      </c>
      <c r="P272" s="78">
        <v>44817.77234953704</v>
      </c>
      <c r="Q272" s="76" t="s">
        <v>754</v>
      </c>
      <c r="R272" s="76"/>
      <c r="S272" s="76"/>
      <c r="T272" s="81" t="s">
        <v>795</v>
      </c>
      <c r="U272" s="76"/>
      <c r="V272" s="79" t="str">
        <f>HYPERLINK("https://pbs.twimg.com/profile_images/1560723548540489739/Cp800W5O_normal.jpg")</f>
        <v>https://pbs.twimg.com/profile_images/1560723548540489739/Cp800W5O_normal.jpg</v>
      </c>
      <c r="W272" s="78">
        <v>44817.77234953704</v>
      </c>
      <c r="X272" s="84">
        <v>44817</v>
      </c>
      <c r="Y272" s="81" t="s">
        <v>1160</v>
      </c>
      <c r="Z272" s="79" t="str">
        <f>HYPERLINK("https://twitter.com/bobmozg/status/1569755841724571648")</f>
        <v>https://twitter.com/bobmozg/status/1569755841724571648</v>
      </c>
      <c r="AA272" s="76"/>
      <c r="AB272" s="76"/>
      <c r="AC272" s="81" t="s">
        <v>1495</v>
      </c>
      <c r="AD272" s="81" t="s">
        <v>1655</v>
      </c>
      <c r="AE272" s="76" t="b">
        <v>0</v>
      </c>
      <c r="AF272" s="76">
        <v>3</v>
      </c>
      <c r="AG272" s="81" t="s">
        <v>1756</v>
      </c>
      <c r="AH272" s="76" t="b">
        <v>0</v>
      </c>
      <c r="AI272" s="76" t="s">
        <v>1773</v>
      </c>
      <c r="AJ272" s="76"/>
      <c r="AK272" s="81" t="s">
        <v>1674</v>
      </c>
      <c r="AL272" s="76" t="b">
        <v>0</v>
      </c>
      <c r="AM272" s="76">
        <v>0</v>
      </c>
      <c r="AN272" s="81" t="s">
        <v>1674</v>
      </c>
      <c r="AO272" s="81" t="s">
        <v>1807</v>
      </c>
      <c r="AP272" s="76" t="b">
        <v>0</v>
      </c>
      <c r="AQ272" s="81" t="s">
        <v>1655</v>
      </c>
      <c r="AR272" s="76" t="s">
        <v>219</v>
      </c>
      <c r="AS272" s="76">
        <v>0</v>
      </c>
      <c r="AT272" s="76">
        <v>0</v>
      </c>
      <c r="AU272" s="76"/>
      <c r="AV272" s="76"/>
      <c r="AW272" s="76"/>
      <c r="AX272" s="76"/>
      <c r="AY272" s="76"/>
      <c r="AZ272" s="76"/>
      <c r="BA272" s="76"/>
      <c r="BB272" s="76"/>
      <c r="BC272">
        <v>3</v>
      </c>
      <c r="BD272" s="75" t="str">
        <f>REPLACE(INDEX(GroupVertices[Group],MATCH(Edges25[[#This Row],[Vertex 1]],GroupVertices[Vertex],0)),1,1,"")</f>
        <v>15</v>
      </c>
      <c r="BE272" s="75" t="str">
        <f>REPLACE(INDEX(GroupVertices[Group],MATCH(Edges25[[#This Row],[Vertex 2]],GroupVertices[Vertex],0)),1,1,"")</f>
        <v>15</v>
      </c>
      <c r="BF272" s="45">
        <v>0</v>
      </c>
      <c r="BG272" s="46">
        <v>0</v>
      </c>
      <c r="BH272" s="45">
        <v>0</v>
      </c>
      <c r="BI272" s="46">
        <v>0</v>
      </c>
      <c r="BJ272" s="45">
        <v>0</v>
      </c>
      <c r="BK272" s="46">
        <v>0</v>
      </c>
      <c r="BL272" s="45">
        <v>2</v>
      </c>
      <c r="BM272" s="46">
        <v>100</v>
      </c>
      <c r="BN272" s="45">
        <v>2</v>
      </c>
    </row>
    <row r="273" spans="1:66" ht="15">
      <c r="A273" s="61" t="s">
        <v>413</v>
      </c>
      <c r="B273" s="61" t="s">
        <v>567</v>
      </c>
      <c r="C273" s="62"/>
      <c r="D273" s="63"/>
      <c r="E273" s="62"/>
      <c r="F273" s="65"/>
      <c r="G273" s="62"/>
      <c r="H273" s="66"/>
      <c r="I273" s="67"/>
      <c r="J273" s="67"/>
      <c r="K273" s="31" t="s">
        <v>65</v>
      </c>
      <c r="L273" s="68">
        <v>389</v>
      </c>
      <c r="M273" s="68"/>
      <c r="N273" s="69"/>
      <c r="O273" s="76" t="s">
        <v>587</v>
      </c>
      <c r="P273" s="78">
        <v>44819.47162037037</v>
      </c>
      <c r="Q273" s="76" t="s">
        <v>754</v>
      </c>
      <c r="R273" s="76"/>
      <c r="S273" s="76"/>
      <c r="T273" s="81" t="s">
        <v>795</v>
      </c>
      <c r="U273" s="76"/>
      <c r="V273" s="79" t="str">
        <f>HYPERLINK("https://pbs.twimg.com/profile_images/1560723548540489739/Cp800W5O_normal.jpg")</f>
        <v>https://pbs.twimg.com/profile_images/1560723548540489739/Cp800W5O_normal.jpg</v>
      </c>
      <c r="W273" s="78">
        <v>44819.47162037037</v>
      </c>
      <c r="X273" s="84">
        <v>44819</v>
      </c>
      <c r="Y273" s="81" t="s">
        <v>1161</v>
      </c>
      <c r="Z273" s="79" t="str">
        <f>HYPERLINK("https://twitter.com/bobmozg/status/1570371632971259905")</f>
        <v>https://twitter.com/bobmozg/status/1570371632971259905</v>
      </c>
      <c r="AA273" s="76"/>
      <c r="AB273" s="76"/>
      <c r="AC273" s="81" t="s">
        <v>1496</v>
      </c>
      <c r="AD273" s="81" t="s">
        <v>1656</v>
      </c>
      <c r="AE273" s="76" t="b">
        <v>0</v>
      </c>
      <c r="AF273" s="76">
        <v>3</v>
      </c>
      <c r="AG273" s="81" t="s">
        <v>1756</v>
      </c>
      <c r="AH273" s="76" t="b">
        <v>0</v>
      </c>
      <c r="AI273" s="76" t="s">
        <v>1773</v>
      </c>
      <c r="AJ273" s="76"/>
      <c r="AK273" s="81" t="s">
        <v>1674</v>
      </c>
      <c r="AL273" s="76" t="b">
        <v>0</v>
      </c>
      <c r="AM273" s="76">
        <v>1</v>
      </c>
      <c r="AN273" s="81" t="s">
        <v>1674</v>
      </c>
      <c r="AO273" s="81" t="s">
        <v>1808</v>
      </c>
      <c r="AP273" s="76" t="b">
        <v>0</v>
      </c>
      <c r="AQ273" s="81" t="s">
        <v>1656</v>
      </c>
      <c r="AR273" s="76" t="s">
        <v>219</v>
      </c>
      <c r="AS273" s="76">
        <v>0</v>
      </c>
      <c r="AT273" s="76">
        <v>0</v>
      </c>
      <c r="AU273" s="76"/>
      <c r="AV273" s="76"/>
      <c r="AW273" s="76"/>
      <c r="AX273" s="76"/>
      <c r="AY273" s="76"/>
      <c r="AZ273" s="76"/>
      <c r="BA273" s="76"/>
      <c r="BB273" s="76"/>
      <c r="BC273">
        <v>3</v>
      </c>
      <c r="BD273" s="75" t="str">
        <f>REPLACE(INDEX(GroupVertices[Group],MATCH(Edges25[[#This Row],[Vertex 1]],GroupVertices[Vertex],0)),1,1,"")</f>
        <v>15</v>
      </c>
      <c r="BE273" s="75" t="str">
        <f>REPLACE(INDEX(GroupVertices[Group],MATCH(Edges25[[#This Row],[Vertex 2]],GroupVertices[Vertex],0)),1,1,"")</f>
        <v>15</v>
      </c>
      <c r="BF273" s="45">
        <v>0</v>
      </c>
      <c r="BG273" s="46">
        <v>0</v>
      </c>
      <c r="BH273" s="45">
        <v>0</v>
      </c>
      <c r="BI273" s="46">
        <v>0</v>
      </c>
      <c r="BJ273" s="45">
        <v>0</v>
      </c>
      <c r="BK273" s="46">
        <v>0</v>
      </c>
      <c r="BL273" s="45">
        <v>2</v>
      </c>
      <c r="BM273" s="46">
        <v>100</v>
      </c>
      <c r="BN273" s="45">
        <v>2</v>
      </c>
    </row>
    <row r="274" spans="1:66" ht="15">
      <c r="A274" s="61" t="s">
        <v>413</v>
      </c>
      <c r="B274" s="61" t="s">
        <v>567</v>
      </c>
      <c r="C274" s="62"/>
      <c r="D274" s="63"/>
      <c r="E274" s="62"/>
      <c r="F274" s="65"/>
      <c r="G274" s="62"/>
      <c r="H274" s="66"/>
      <c r="I274" s="67"/>
      <c r="J274" s="67"/>
      <c r="K274" s="31" t="s">
        <v>65</v>
      </c>
      <c r="L274" s="68">
        <v>390</v>
      </c>
      <c r="M274" s="68"/>
      <c r="N274" s="69"/>
      <c r="O274" s="76" t="s">
        <v>587</v>
      </c>
      <c r="P274" s="78">
        <v>44819.480046296296</v>
      </c>
      <c r="Q274" s="76" t="s">
        <v>754</v>
      </c>
      <c r="R274" s="76"/>
      <c r="S274" s="76"/>
      <c r="T274" s="81" t="s">
        <v>795</v>
      </c>
      <c r="U274" s="76"/>
      <c r="V274" s="79" t="str">
        <f>HYPERLINK("https://pbs.twimg.com/profile_images/1560723548540489739/Cp800W5O_normal.jpg")</f>
        <v>https://pbs.twimg.com/profile_images/1560723548540489739/Cp800W5O_normal.jpg</v>
      </c>
      <c r="W274" s="78">
        <v>44819.480046296296</v>
      </c>
      <c r="X274" s="84">
        <v>44819</v>
      </c>
      <c r="Y274" s="81" t="s">
        <v>1162</v>
      </c>
      <c r="Z274" s="79" t="str">
        <f>HYPERLINK("https://twitter.com/bobmozg/status/1570374688911532034")</f>
        <v>https://twitter.com/bobmozg/status/1570374688911532034</v>
      </c>
      <c r="AA274" s="76"/>
      <c r="AB274" s="76"/>
      <c r="AC274" s="81" t="s">
        <v>1497</v>
      </c>
      <c r="AD274" s="81" t="s">
        <v>1657</v>
      </c>
      <c r="AE274" s="76" t="b">
        <v>0</v>
      </c>
      <c r="AF274" s="76">
        <v>2</v>
      </c>
      <c r="AG274" s="81" t="s">
        <v>1756</v>
      </c>
      <c r="AH274" s="76" t="b">
        <v>0</v>
      </c>
      <c r="AI274" s="76" t="s">
        <v>1773</v>
      </c>
      <c r="AJ274" s="76"/>
      <c r="AK274" s="81" t="s">
        <v>1674</v>
      </c>
      <c r="AL274" s="76" t="b">
        <v>0</v>
      </c>
      <c r="AM274" s="76">
        <v>0</v>
      </c>
      <c r="AN274" s="81" t="s">
        <v>1674</v>
      </c>
      <c r="AO274" s="81" t="s">
        <v>1808</v>
      </c>
      <c r="AP274" s="76" t="b">
        <v>0</v>
      </c>
      <c r="AQ274" s="81" t="s">
        <v>1657</v>
      </c>
      <c r="AR274" s="76" t="s">
        <v>219</v>
      </c>
      <c r="AS274" s="76">
        <v>0</v>
      </c>
      <c r="AT274" s="76">
        <v>0</v>
      </c>
      <c r="AU274" s="76"/>
      <c r="AV274" s="76"/>
      <c r="AW274" s="76"/>
      <c r="AX274" s="76"/>
      <c r="AY274" s="76"/>
      <c r="AZ274" s="76"/>
      <c r="BA274" s="76"/>
      <c r="BB274" s="76"/>
      <c r="BC274">
        <v>3</v>
      </c>
      <c r="BD274" s="75" t="str">
        <f>REPLACE(INDEX(GroupVertices[Group],MATCH(Edges25[[#This Row],[Vertex 1]],GroupVertices[Vertex],0)),1,1,"")</f>
        <v>15</v>
      </c>
      <c r="BE274" s="75" t="str">
        <f>REPLACE(INDEX(GroupVertices[Group],MATCH(Edges25[[#This Row],[Vertex 2]],GroupVertices[Vertex],0)),1,1,"")</f>
        <v>15</v>
      </c>
      <c r="BF274" s="45">
        <v>0</v>
      </c>
      <c r="BG274" s="46">
        <v>0</v>
      </c>
      <c r="BH274" s="45">
        <v>0</v>
      </c>
      <c r="BI274" s="46">
        <v>0</v>
      </c>
      <c r="BJ274" s="45">
        <v>0</v>
      </c>
      <c r="BK274" s="46">
        <v>0</v>
      </c>
      <c r="BL274" s="45">
        <v>2</v>
      </c>
      <c r="BM274" s="46">
        <v>100</v>
      </c>
      <c r="BN274" s="45">
        <v>2</v>
      </c>
    </row>
    <row r="275" spans="1:66" ht="15">
      <c r="A275" s="61" t="s">
        <v>422</v>
      </c>
      <c r="B275" s="61" t="s">
        <v>413</v>
      </c>
      <c r="C275" s="62"/>
      <c r="D275" s="63"/>
      <c r="E275" s="62"/>
      <c r="F275" s="65"/>
      <c r="G275" s="62"/>
      <c r="H275" s="66"/>
      <c r="I275" s="67"/>
      <c r="J275" s="67"/>
      <c r="K275" s="31" t="s">
        <v>65</v>
      </c>
      <c r="L275" s="68">
        <v>391</v>
      </c>
      <c r="M275" s="68"/>
      <c r="N275" s="69"/>
      <c r="O275" s="76" t="s">
        <v>586</v>
      </c>
      <c r="P275" s="78">
        <v>44819.74172453704</v>
      </c>
      <c r="Q275" s="76" t="s">
        <v>754</v>
      </c>
      <c r="R275" s="76"/>
      <c r="S275" s="76"/>
      <c r="T275" s="81" t="s">
        <v>795</v>
      </c>
      <c r="U275" s="76"/>
      <c r="V275" s="79" t="str">
        <f>HYPERLINK("https://pbs.twimg.com/profile_images/1491225511716139015/TUVUa4rD_normal.jpg")</f>
        <v>https://pbs.twimg.com/profile_images/1491225511716139015/TUVUa4rD_normal.jpg</v>
      </c>
      <c r="W275" s="78">
        <v>44819.74172453704</v>
      </c>
      <c r="X275" s="84">
        <v>44819</v>
      </c>
      <c r="Y275" s="81" t="s">
        <v>1163</v>
      </c>
      <c r="Z275" s="79" t="str">
        <f>HYPERLINK("https://twitter.com/m_degage/status/1570469517146324994")</f>
        <v>https://twitter.com/m_degage/status/1570469517146324994</v>
      </c>
      <c r="AA275" s="76"/>
      <c r="AB275" s="76"/>
      <c r="AC275" s="81" t="s">
        <v>1498</v>
      </c>
      <c r="AD275" s="76"/>
      <c r="AE275" s="76" t="b">
        <v>0</v>
      </c>
      <c r="AF275" s="76">
        <v>0</v>
      </c>
      <c r="AG275" s="81" t="s">
        <v>1674</v>
      </c>
      <c r="AH275" s="76" t="b">
        <v>0</v>
      </c>
      <c r="AI275" s="76" t="s">
        <v>1773</v>
      </c>
      <c r="AJ275" s="76"/>
      <c r="AK275" s="81" t="s">
        <v>1674</v>
      </c>
      <c r="AL275" s="76" t="b">
        <v>0</v>
      </c>
      <c r="AM275" s="76">
        <v>1</v>
      </c>
      <c r="AN275" s="81" t="s">
        <v>1496</v>
      </c>
      <c r="AO275" s="81" t="s">
        <v>1808</v>
      </c>
      <c r="AP275" s="76" t="b">
        <v>0</v>
      </c>
      <c r="AQ275" s="81" t="s">
        <v>1496</v>
      </c>
      <c r="AR275" s="76" t="s">
        <v>219</v>
      </c>
      <c r="AS275" s="76">
        <v>0</v>
      </c>
      <c r="AT275" s="76">
        <v>0</v>
      </c>
      <c r="AU275" s="76"/>
      <c r="AV275" s="76"/>
      <c r="AW275" s="76"/>
      <c r="AX275" s="76"/>
      <c r="AY275" s="76"/>
      <c r="AZ275" s="76"/>
      <c r="BA275" s="76"/>
      <c r="BB275" s="76"/>
      <c r="BC275">
        <v>1</v>
      </c>
      <c r="BD275" s="75" t="str">
        <f>REPLACE(INDEX(GroupVertices[Group],MATCH(Edges25[[#This Row],[Vertex 1]],GroupVertices[Vertex],0)),1,1,"")</f>
        <v>15</v>
      </c>
      <c r="BE275" s="75" t="str">
        <f>REPLACE(INDEX(GroupVertices[Group],MATCH(Edges25[[#This Row],[Vertex 2]],GroupVertices[Vertex],0)),1,1,"")</f>
        <v>15</v>
      </c>
      <c r="BF275" s="45"/>
      <c r="BG275" s="46"/>
      <c r="BH275" s="45"/>
      <c r="BI275" s="46"/>
      <c r="BJ275" s="45"/>
      <c r="BK275" s="46"/>
      <c r="BL275" s="45"/>
      <c r="BM275" s="46"/>
      <c r="BN275" s="45"/>
    </row>
    <row r="276" spans="1:66" ht="15">
      <c r="A276" s="61" t="s">
        <v>423</v>
      </c>
      <c r="B276" s="61" t="s">
        <v>423</v>
      </c>
      <c r="C276" s="62"/>
      <c r="D276" s="63"/>
      <c r="E276" s="62"/>
      <c r="F276" s="65"/>
      <c r="G276" s="62"/>
      <c r="H276" s="66"/>
      <c r="I276" s="67"/>
      <c r="J276" s="67"/>
      <c r="K276" s="31" t="s">
        <v>65</v>
      </c>
      <c r="L276" s="68">
        <v>393</v>
      </c>
      <c r="M276" s="68"/>
      <c r="N276" s="69"/>
      <c r="O276" s="76" t="s">
        <v>219</v>
      </c>
      <c r="P276" s="78">
        <v>44811.62568287037</v>
      </c>
      <c r="Q276" s="76" t="s">
        <v>755</v>
      </c>
      <c r="R276" s="79" t="str">
        <f>HYPERLINK("https://www.youtube.com/watch?v=V75pj41VFGk")</f>
        <v>https://www.youtube.com/watch?v=V75pj41VFGk</v>
      </c>
      <c r="S276" s="76" t="s">
        <v>790</v>
      </c>
      <c r="T276" s="81" t="s">
        <v>875</v>
      </c>
      <c r="U276" s="76"/>
      <c r="V276" s="79" t="str">
        <f>HYPERLINK("https://abs.twimg.com/sticky/default_profile_images/default_profile_normal.png")</f>
        <v>https://abs.twimg.com/sticky/default_profile_images/default_profile_normal.png</v>
      </c>
      <c r="W276" s="78">
        <v>44811.62568287037</v>
      </c>
      <c r="X276" s="84">
        <v>44811</v>
      </c>
      <c r="Y276" s="81" t="s">
        <v>1164</v>
      </c>
      <c r="Z276" s="79" t="str">
        <f>HYPERLINK("https://twitter.com/reinbow05061512/status/1567528364138717184")</f>
        <v>https://twitter.com/reinbow05061512/status/1567528364138717184</v>
      </c>
      <c r="AA276" s="76"/>
      <c r="AB276" s="76"/>
      <c r="AC276" s="81" t="s">
        <v>1499</v>
      </c>
      <c r="AD276" s="76"/>
      <c r="AE276" s="76" t="b">
        <v>0</v>
      </c>
      <c r="AF276" s="76">
        <v>0</v>
      </c>
      <c r="AG276" s="81" t="s">
        <v>1674</v>
      </c>
      <c r="AH276" s="76" t="b">
        <v>0</v>
      </c>
      <c r="AI276" s="76" t="s">
        <v>1772</v>
      </c>
      <c r="AJ276" s="76"/>
      <c r="AK276" s="81" t="s">
        <v>1674</v>
      </c>
      <c r="AL276" s="76" t="b">
        <v>0</v>
      </c>
      <c r="AM276" s="76">
        <v>0</v>
      </c>
      <c r="AN276" s="81" t="s">
        <v>1674</v>
      </c>
      <c r="AO276" s="81" t="s">
        <v>1811</v>
      </c>
      <c r="AP276" s="76" t="b">
        <v>0</v>
      </c>
      <c r="AQ276" s="81" t="s">
        <v>1499</v>
      </c>
      <c r="AR276" s="76" t="s">
        <v>219</v>
      </c>
      <c r="AS276" s="76">
        <v>0</v>
      </c>
      <c r="AT276" s="76">
        <v>0</v>
      </c>
      <c r="AU276" s="76"/>
      <c r="AV276" s="76"/>
      <c r="AW276" s="76"/>
      <c r="AX276" s="76"/>
      <c r="AY276" s="76"/>
      <c r="AZ276" s="76"/>
      <c r="BA276" s="76"/>
      <c r="BB276" s="76"/>
      <c r="BC276">
        <v>43</v>
      </c>
      <c r="BD276" s="75" t="str">
        <f>REPLACE(INDEX(GroupVertices[Group],MATCH(Edges25[[#This Row],[Vertex 1]],GroupVertices[Vertex],0)),1,1,"")</f>
        <v>2</v>
      </c>
      <c r="BE276" s="75" t="str">
        <f>REPLACE(INDEX(GroupVertices[Group],MATCH(Edges25[[#This Row],[Vertex 2]],GroupVertices[Vertex],0)),1,1,"")</f>
        <v>2</v>
      </c>
      <c r="BF276" s="45">
        <v>0</v>
      </c>
      <c r="BG276" s="46">
        <v>0</v>
      </c>
      <c r="BH276" s="45">
        <v>0</v>
      </c>
      <c r="BI276" s="46">
        <v>0</v>
      </c>
      <c r="BJ276" s="45">
        <v>0</v>
      </c>
      <c r="BK276" s="46">
        <v>0</v>
      </c>
      <c r="BL276" s="45">
        <v>19</v>
      </c>
      <c r="BM276" s="46">
        <v>100</v>
      </c>
      <c r="BN276" s="45">
        <v>19</v>
      </c>
    </row>
    <row r="277" spans="1:66" ht="15">
      <c r="A277" s="61" t="s">
        <v>423</v>
      </c>
      <c r="B277" s="61" t="s">
        <v>423</v>
      </c>
      <c r="C277" s="62"/>
      <c r="D277" s="63"/>
      <c r="E277" s="62"/>
      <c r="F277" s="65"/>
      <c r="G277" s="62"/>
      <c r="H277" s="66"/>
      <c r="I277" s="67"/>
      <c r="J277" s="67"/>
      <c r="K277" s="31" t="s">
        <v>65</v>
      </c>
      <c r="L277" s="68">
        <v>394</v>
      </c>
      <c r="M277" s="68"/>
      <c r="N277" s="69"/>
      <c r="O277" s="76" t="s">
        <v>219</v>
      </c>
      <c r="P277" s="78">
        <v>44811.62577546296</v>
      </c>
      <c r="Q277" s="76" t="s">
        <v>756</v>
      </c>
      <c r="R277" s="79" t="str">
        <f>HYPERLINK("https://www.youtube.com/watch?v=ejG32fwnsV4&amp;feature=youtu.be")</f>
        <v>https://www.youtube.com/watch?v=ejG32fwnsV4&amp;feature=youtu.be</v>
      </c>
      <c r="S277" s="76" t="s">
        <v>790</v>
      </c>
      <c r="T277" s="81" t="s">
        <v>875</v>
      </c>
      <c r="U277" s="76"/>
      <c r="V277" s="79" t="str">
        <f>HYPERLINK("https://abs.twimg.com/sticky/default_profile_images/default_profile_normal.png")</f>
        <v>https://abs.twimg.com/sticky/default_profile_images/default_profile_normal.png</v>
      </c>
      <c r="W277" s="78">
        <v>44811.62577546296</v>
      </c>
      <c r="X277" s="84">
        <v>44811</v>
      </c>
      <c r="Y277" s="81" t="s">
        <v>1165</v>
      </c>
      <c r="Z277" s="79" t="str">
        <f>HYPERLINK("https://twitter.com/reinbow05061512/status/1567528397751914501")</f>
        <v>https://twitter.com/reinbow05061512/status/1567528397751914501</v>
      </c>
      <c r="AA277" s="76"/>
      <c r="AB277" s="76"/>
      <c r="AC277" s="81" t="s">
        <v>1500</v>
      </c>
      <c r="AD277" s="76"/>
      <c r="AE277" s="76" t="b">
        <v>0</v>
      </c>
      <c r="AF277" s="76">
        <v>0</v>
      </c>
      <c r="AG277" s="81" t="s">
        <v>1674</v>
      </c>
      <c r="AH277" s="76" t="b">
        <v>0</v>
      </c>
      <c r="AI277" s="76" t="s">
        <v>1772</v>
      </c>
      <c r="AJ277" s="76"/>
      <c r="AK277" s="81" t="s">
        <v>1674</v>
      </c>
      <c r="AL277" s="76" t="b">
        <v>0</v>
      </c>
      <c r="AM277" s="76">
        <v>0</v>
      </c>
      <c r="AN277" s="81" t="s">
        <v>1674</v>
      </c>
      <c r="AO277" s="81" t="s">
        <v>1811</v>
      </c>
      <c r="AP277" s="76" t="b">
        <v>0</v>
      </c>
      <c r="AQ277" s="81" t="s">
        <v>1500</v>
      </c>
      <c r="AR277" s="76" t="s">
        <v>219</v>
      </c>
      <c r="AS277" s="76">
        <v>0</v>
      </c>
      <c r="AT277" s="76">
        <v>0</v>
      </c>
      <c r="AU277" s="76"/>
      <c r="AV277" s="76"/>
      <c r="AW277" s="76"/>
      <c r="AX277" s="76"/>
      <c r="AY277" s="76"/>
      <c r="AZ277" s="76"/>
      <c r="BA277" s="76"/>
      <c r="BB277" s="76"/>
      <c r="BC277">
        <v>43</v>
      </c>
      <c r="BD277" s="75" t="str">
        <f>REPLACE(INDEX(GroupVertices[Group],MATCH(Edges25[[#This Row],[Vertex 1]],GroupVertices[Vertex],0)),1,1,"")</f>
        <v>2</v>
      </c>
      <c r="BE277" s="75" t="str">
        <f>REPLACE(INDEX(GroupVertices[Group],MATCH(Edges25[[#This Row],[Vertex 2]],GroupVertices[Vertex],0)),1,1,"")</f>
        <v>2</v>
      </c>
      <c r="BF277" s="45">
        <v>1</v>
      </c>
      <c r="BG277" s="46">
        <v>7.142857142857143</v>
      </c>
      <c r="BH277" s="45">
        <v>0</v>
      </c>
      <c r="BI277" s="46">
        <v>0</v>
      </c>
      <c r="BJ277" s="45">
        <v>0</v>
      </c>
      <c r="BK277" s="46">
        <v>0</v>
      </c>
      <c r="BL277" s="45">
        <v>13</v>
      </c>
      <c r="BM277" s="46">
        <v>92.85714285714286</v>
      </c>
      <c r="BN277" s="45">
        <v>14</v>
      </c>
    </row>
    <row r="278" spans="1:66" ht="15">
      <c r="A278" s="61" t="s">
        <v>423</v>
      </c>
      <c r="B278" s="61" t="s">
        <v>423</v>
      </c>
      <c r="C278" s="62"/>
      <c r="D278" s="63"/>
      <c r="E278" s="62"/>
      <c r="F278" s="65"/>
      <c r="G278" s="62"/>
      <c r="H278" s="66"/>
      <c r="I278" s="67"/>
      <c r="J278" s="67"/>
      <c r="K278" s="31" t="s">
        <v>65</v>
      </c>
      <c r="L278" s="68">
        <v>395</v>
      </c>
      <c r="M278" s="68"/>
      <c r="N278" s="69"/>
      <c r="O278" s="76" t="s">
        <v>219</v>
      </c>
      <c r="P278" s="78">
        <v>44811.771157407406</v>
      </c>
      <c r="Q278" s="76" t="s">
        <v>757</v>
      </c>
      <c r="R278" s="79" t="str">
        <f>HYPERLINK("https://www.youtube.com/watch?v=PMOHqsUyk7Y&amp;feature=youtu.be")</f>
        <v>https://www.youtube.com/watch?v=PMOHqsUyk7Y&amp;feature=youtu.be</v>
      </c>
      <c r="S278" s="76" t="s">
        <v>790</v>
      </c>
      <c r="T278" s="81" t="s">
        <v>876</v>
      </c>
      <c r="U278" s="76"/>
      <c r="V278" s="79" t="str">
        <f>HYPERLINK("https://abs.twimg.com/sticky/default_profile_images/default_profile_normal.png")</f>
        <v>https://abs.twimg.com/sticky/default_profile_images/default_profile_normal.png</v>
      </c>
      <c r="W278" s="78">
        <v>44811.771157407406</v>
      </c>
      <c r="X278" s="84">
        <v>44811</v>
      </c>
      <c r="Y278" s="81" t="s">
        <v>1166</v>
      </c>
      <c r="Z278" s="79" t="str">
        <f>HYPERLINK("https://twitter.com/reinbow05061512/status/1567581082006036481")</f>
        <v>https://twitter.com/reinbow05061512/status/1567581082006036481</v>
      </c>
      <c r="AA278" s="76"/>
      <c r="AB278" s="76"/>
      <c r="AC278" s="81" t="s">
        <v>1501</v>
      </c>
      <c r="AD278" s="76"/>
      <c r="AE278" s="76" t="b">
        <v>0</v>
      </c>
      <c r="AF278" s="76">
        <v>0</v>
      </c>
      <c r="AG278" s="81" t="s">
        <v>1674</v>
      </c>
      <c r="AH278" s="76" t="b">
        <v>0</v>
      </c>
      <c r="AI278" s="76" t="s">
        <v>1773</v>
      </c>
      <c r="AJ278" s="76"/>
      <c r="AK278" s="81" t="s">
        <v>1674</v>
      </c>
      <c r="AL278" s="76" t="b">
        <v>0</v>
      </c>
      <c r="AM278" s="76">
        <v>0</v>
      </c>
      <c r="AN278" s="81" t="s">
        <v>1674</v>
      </c>
      <c r="AO278" s="81" t="s">
        <v>1811</v>
      </c>
      <c r="AP278" s="76" t="b">
        <v>0</v>
      </c>
      <c r="AQ278" s="81" t="s">
        <v>1501</v>
      </c>
      <c r="AR278" s="76" t="s">
        <v>219</v>
      </c>
      <c r="AS278" s="76">
        <v>0</v>
      </c>
      <c r="AT278" s="76">
        <v>0</v>
      </c>
      <c r="AU278" s="76"/>
      <c r="AV278" s="76"/>
      <c r="AW278" s="76"/>
      <c r="AX278" s="76"/>
      <c r="AY278" s="76"/>
      <c r="AZ278" s="76"/>
      <c r="BA278" s="76"/>
      <c r="BB278" s="76"/>
      <c r="BC278">
        <v>43</v>
      </c>
      <c r="BD278" s="75" t="str">
        <f>REPLACE(INDEX(GroupVertices[Group],MATCH(Edges25[[#This Row],[Vertex 1]],GroupVertices[Vertex],0)),1,1,"")</f>
        <v>2</v>
      </c>
      <c r="BE278" s="75" t="str">
        <f>REPLACE(INDEX(GroupVertices[Group],MATCH(Edges25[[#This Row],[Vertex 2]],GroupVertices[Vertex],0)),1,1,"")</f>
        <v>2</v>
      </c>
      <c r="BF278" s="45">
        <v>0</v>
      </c>
      <c r="BG278" s="46">
        <v>0</v>
      </c>
      <c r="BH278" s="45">
        <v>0</v>
      </c>
      <c r="BI278" s="46">
        <v>0</v>
      </c>
      <c r="BJ278" s="45">
        <v>0</v>
      </c>
      <c r="BK278" s="46">
        <v>0</v>
      </c>
      <c r="BL278" s="45">
        <v>13</v>
      </c>
      <c r="BM278" s="46">
        <v>100</v>
      </c>
      <c r="BN278" s="45">
        <v>13</v>
      </c>
    </row>
    <row r="279" spans="1:66" ht="15">
      <c r="A279" s="61" t="s">
        <v>423</v>
      </c>
      <c r="B279" s="61" t="s">
        <v>423</v>
      </c>
      <c r="C279" s="62"/>
      <c r="D279" s="63"/>
      <c r="E279" s="62"/>
      <c r="F279" s="65"/>
      <c r="G279" s="62"/>
      <c r="H279" s="66"/>
      <c r="I279" s="67"/>
      <c r="J279" s="67"/>
      <c r="K279" s="31" t="s">
        <v>65</v>
      </c>
      <c r="L279" s="68">
        <v>396</v>
      </c>
      <c r="M279" s="68"/>
      <c r="N279" s="69"/>
      <c r="O279" s="76" t="s">
        <v>219</v>
      </c>
      <c r="P279" s="78">
        <v>44811.959340277775</v>
      </c>
      <c r="Q279" s="76" t="s">
        <v>758</v>
      </c>
      <c r="R279" s="79" t="str">
        <f>HYPERLINK("https://ameblo.jp/historical-gay/entry-10222227037.html")</f>
        <v>https://ameblo.jp/historical-gay/entry-10222227037.html</v>
      </c>
      <c r="S279" s="76" t="s">
        <v>791</v>
      </c>
      <c r="T279" s="81" t="s">
        <v>877</v>
      </c>
      <c r="U279" s="76"/>
      <c r="V279" s="79" t="str">
        <f>HYPERLINK("https://abs.twimg.com/sticky/default_profile_images/default_profile_normal.png")</f>
        <v>https://abs.twimg.com/sticky/default_profile_images/default_profile_normal.png</v>
      </c>
      <c r="W279" s="78">
        <v>44811.959340277775</v>
      </c>
      <c r="X279" s="84">
        <v>44811</v>
      </c>
      <c r="Y279" s="81" t="s">
        <v>1167</v>
      </c>
      <c r="Z279" s="79" t="str">
        <f>HYPERLINK("https://twitter.com/reinbow05061512/status/1567649274619469827")</f>
        <v>https://twitter.com/reinbow05061512/status/1567649274619469827</v>
      </c>
      <c r="AA279" s="76"/>
      <c r="AB279" s="76"/>
      <c r="AC279" s="81" t="s">
        <v>1502</v>
      </c>
      <c r="AD279" s="76"/>
      <c r="AE279" s="76" t="b">
        <v>0</v>
      </c>
      <c r="AF279" s="76">
        <v>0</v>
      </c>
      <c r="AG279" s="81" t="s">
        <v>1674</v>
      </c>
      <c r="AH279" s="76" t="b">
        <v>0</v>
      </c>
      <c r="AI279" s="76" t="s">
        <v>1773</v>
      </c>
      <c r="AJ279" s="76"/>
      <c r="AK279" s="81" t="s">
        <v>1674</v>
      </c>
      <c r="AL279" s="76" t="b">
        <v>0</v>
      </c>
      <c r="AM279" s="76">
        <v>0</v>
      </c>
      <c r="AN279" s="81" t="s">
        <v>1674</v>
      </c>
      <c r="AO279" s="81" t="s">
        <v>1811</v>
      </c>
      <c r="AP279" s="76" t="b">
        <v>0</v>
      </c>
      <c r="AQ279" s="81" t="s">
        <v>1502</v>
      </c>
      <c r="AR279" s="76" t="s">
        <v>219</v>
      </c>
      <c r="AS279" s="76">
        <v>0</v>
      </c>
      <c r="AT279" s="76">
        <v>0</v>
      </c>
      <c r="AU279" s="76"/>
      <c r="AV279" s="76"/>
      <c r="AW279" s="76"/>
      <c r="AX279" s="76"/>
      <c r="AY279" s="76"/>
      <c r="AZ279" s="76"/>
      <c r="BA279" s="76"/>
      <c r="BB279" s="76"/>
      <c r="BC279">
        <v>43</v>
      </c>
      <c r="BD279" s="75" t="str">
        <f>REPLACE(INDEX(GroupVertices[Group],MATCH(Edges25[[#This Row],[Vertex 1]],GroupVertices[Vertex],0)),1,1,"")</f>
        <v>2</v>
      </c>
      <c r="BE279" s="75" t="str">
        <f>REPLACE(INDEX(GroupVertices[Group],MATCH(Edges25[[#This Row],[Vertex 2]],GroupVertices[Vertex],0)),1,1,"")</f>
        <v>2</v>
      </c>
      <c r="BF279" s="45">
        <v>0</v>
      </c>
      <c r="BG279" s="46">
        <v>0</v>
      </c>
      <c r="BH279" s="45">
        <v>0</v>
      </c>
      <c r="BI279" s="46">
        <v>0</v>
      </c>
      <c r="BJ279" s="45">
        <v>0</v>
      </c>
      <c r="BK279" s="46">
        <v>0</v>
      </c>
      <c r="BL279" s="45">
        <v>13</v>
      </c>
      <c r="BM279" s="46">
        <v>100</v>
      </c>
      <c r="BN279" s="45">
        <v>13</v>
      </c>
    </row>
    <row r="280" spans="1:66" ht="15">
      <c r="A280" s="61" t="s">
        <v>423</v>
      </c>
      <c r="B280" s="61" t="s">
        <v>423</v>
      </c>
      <c r="C280" s="62"/>
      <c r="D280" s="63"/>
      <c r="E280" s="62"/>
      <c r="F280" s="65"/>
      <c r="G280" s="62"/>
      <c r="H280" s="66"/>
      <c r="I280" s="67"/>
      <c r="J280" s="67"/>
      <c r="K280" s="31" t="s">
        <v>65</v>
      </c>
      <c r="L280" s="68">
        <v>397</v>
      </c>
      <c r="M280" s="68"/>
      <c r="N280" s="69"/>
      <c r="O280" s="76" t="s">
        <v>219</v>
      </c>
      <c r="P280" s="78">
        <v>44811.959340277775</v>
      </c>
      <c r="Q280" s="76" t="s">
        <v>759</v>
      </c>
      <c r="R280" s="79" t="str">
        <f>HYPERLINK("https://www.youtube.com/watch?v=uHIVevq290k&amp;feature=youtu.be")</f>
        <v>https://www.youtube.com/watch?v=uHIVevq290k&amp;feature=youtu.be</v>
      </c>
      <c r="S280" s="76" t="s">
        <v>790</v>
      </c>
      <c r="T280" s="81" t="s">
        <v>878</v>
      </c>
      <c r="U280" s="76"/>
      <c r="V280" s="79" t="str">
        <f>HYPERLINK("https://abs.twimg.com/sticky/default_profile_images/default_profile_normal.png")</f>
        <v>https://abs.twimg.com/sticky/default_profile_images/default_profile_normal.png</v>
      </c>
      <c r="W280" s="78">
        <v>44811.959340277775</v>
      </c>
      <c r="X280" s="84">
        <v>44811</v>
      </c>
      <c r="Y280" s="81" t="s">
        <v>1167</v>
      </c>
      <c r="Z280" s="79" t="str">
        <f>HYPERLINK("https://twitter.com/reinbow05061512/status/1567649277203079168")</f>
        <v>https://twitter.com/reinbow05061512/status/1567649277203079168</v>
      </c>
      <c r="AA280" s="76"/>
      <c r="AB280" s="76"/>
      <c r="AC280" s="81" t="s">
        <v>1503</v>
      </c>
      <c r="AD280" s="76"/>
      <c r="AE280" s="76" t="b">
        <v>0</v>
      </c>
      <c r="AF280" s="76">
        <v>0</v>
      </c>
      <c r="AG280" s="81" t="s">
        <v>1674</v>
      </c>
      <c r="AH280" s="76" t="b">
        <v>0</v>
      </c>
      <c r="AI280" s="76" t="s">
        <v>1772</v>
      </c>
      <c r="AJ280" s="76"/>
      <c r="AK280" s="81" t="s">
        <v>1674</v>
      </c>
      <c r="AL280" s="76" t="b">
        <v>0</v>
      </c>
      <c r="AM280" s="76">
        <v>0</v>
      </c>
      <c r="AN280" s="81" t="s">
        <v>1674</v>
      </c>
      <c r="AO280" s="81" t="s">
        <v>1811</v>
      </c>
      <c r="AP280" s="76" t="b">
        <v>0</v>
      </c>
      <c r="AQ280" s="81" t="s">
        <v>1503</v>
      </c>
      <c r="AR280" s="76" t="s">
        <v>219</v>
      </c>
      <c r="AS280" s="76">
        <v>0</v>
      </c>
      <c r="AT280" s="76">
        <v>0</v>
      </c>
      <c r="AU280" s="76"/>
      <c r="AV280" s="76"/>
      <c r="AW280" s="76"/>
      <c r="AX280" s="76"/>
      <c r="AY280" s="76"/>
      <c r="AZ280" s="76"/>
      <c r="BA280" s="76"/>
      <c r="BB280" s="76"/>
      <c r="BC280">
        <v>43</v>
      </c>
      <c r="BD280" s="75" t="str">
        <f>REPLACE(INDEX(GroupVertices[Group],MATCH(Edges25[[#This Row],[Vertex 1]],GroupVertices[Vertex],0)),1,1,"")</f>
        <v>2</v>
      </c>
      <c r="BE280" s="75" t="str">
        <f>REPLACE(INDEX(GroupVertices[Group],MATCH(Edges25[[#This Row],[Vertex 2]],GroupVertices[Vertex],0)),1,1,"")</f>
        <v>2</v>
      </c>
      <c r="BF280" s="45">
        <v>0</v>
      </c>
      <c r="BG280" s="46">
        <v>0</v>
      </c>
      <c r="BH280" s="45">
        <v>0</v>
      </c>
      <c r="BI280" s="46">
        <v>0</v>
      </c>
      <c r="BJ280" s="45">
        <v>0</v>
      </c>
      <c r="BK280" s="46">
        <v>0</v>
      </c>
      <c r="BL280" s="45">
        <v>16</v>
      </c>
      <c r="BM280" s="46">
        <v>100</v>
      </c>
      <c r="BN280" s="45">
        <v>16</v>
      </c>
    </row>
    <row r="281" spans="1:66" ht="15">
      <c r="A281" s="61" t="s">
        <v>423</v>
      </c>
      <c r="B281" s="61" t="s">
        <v>423</v>
      </c>
      <c r="C281" s="62"/>
      <c r="D281" s="63"/>
      <c r="E281" s="62"/>
      <c r="F281" s="65"/>
      <c r="G281" s="62"/>
      <c r="H281" s="66"/>
      <c r="I281" s="67"/>
      <c r="J281" s="67"/>
      <c r="K281" s="31" t="s">
        <v>65</v>
      </c>
      <c r="L281" s="68">
        <v>398</v>
      </c>
      <c r="M281" s="68"/>
      <c r="N281" s="69"/>
      <c r="O281" s="76" t="s">
        <v>219</v>
      </c>
      <c r="P281" s="78">
        <v>44812.625659722224</v>
      </c>
      <c r="Q281" s="76" t="s">
        <v>756</v>
      </c>
      <c r="R281" s="79" t="str">
        <f>HYPERLINK("https://www.youtube.com/watch?v=ejG32fwnsV4&amp;feature=youtu.be")</f>
        <v>https://www.youtube.com/watch?v=ejG32fwnsV4&amp;feature=youtu.be</v>
      </c>
      <c r="S281" s="76" t="s">
        <v>790</v>
      </c>
      <c r="T281" s="81" t="s">
        <v>875</v>
      </c>
      <c r="U281" s="76"/>
      <c r="V281" s="79" t="str">
        <f>HYPERLINK("https://abs.twimg.com/sticky/default_profile_images/default_profile_normal.png")</f>
        <v>https://abs.twimg.com/sticky/default_profile_images/default_profile_normal.png</v>
      </c>
      <c r="W281" s="78">
        <v>44812.625659722224</v>
      </c>
      <c r="X281" s="84">
        <v>44812</v>
      </c>
      <c r="Y281" s="81" t="s">
        <v>1168</v>
      </c>
      <c r="Z281" s="79" t="str">
        <f>HYPERLINK("https://twitter.com/reinbow05061512/status/1567890741183057923")</f>
        <v>https://twitter.com/reinbow05061512/status/1567890741183057923</v>
      </c>
      <c r="AA281" s="76"/>
      <c r="AB281" s="76"/>
      <c r="AC281" s="81" t="s">
        <v>1504</v>
      </c>
      <c r="AD281" s="76"/>
      <c r="AE281" s="76" t="b">
        <v>0</v>
      </c>
      <c r="AF281" s="76">
        <v>0</v>
      </c>
      <c r="AG281" s="81" t="s">
        <v>1674</v>
      </c>
      <c r="AH281" s="76" t="b">
        <v>0</v>
      </c>
      <c r="AI281" s="76" t="s">
        <v>1772</v>
      </c>
      <c r="AJ281" s="76"/>
      <c r="AK281" s="81" t="s">
        <v>1674</v>
      </c>
      <c r="AL281" s="76" t="b">
        <v>0</v>
      </c>
      <c r="AM281" s="76">
        <v>0</v>
      </c>
      <c r="AN281" s="81" t="s">
        <v>1674</v>
      </c>
      <c r="AO281" s="81" t="s">
        <v>1811</v>
      </c>
      <c r="AP281" s="76" t="b">
        <v>0</v>
      </c>
      <c r="AQ281" s="81" t="s">
        <v>1504</v>
      </c>
      <c r="AR281" s="76" t="s">
        <v>219</v>
      </c>
      <c r="AS281" s="76">
        <v>0</v>
      </c>
      <c r="AT281" s="76">
        <v>0</v>
      </c>
      <c r="AU281" s="76"/>
      <c r="AV281" s="76"/>
      <c r="AW281" s="76"/>
      <c r="AX281" s="76"/>
      <c r="AY281" s="76"/>
      <c r="AZ281" s="76"/>
      <c r="BA281" s="76"/>
      <c r="BB281" s="76"/>
      <c r="BC281">
        <v>43</v>
      </c>
      <c r="BD281" s="75" t="str">
        <f>REPLACE(INDEX(GroupVertices[Group],MATCH(Edges25[[#This Row],[Vertex 1]],GroupVertices[Vertex],0)),1,1,"")</f>
        <v>2</v>
      </c>
      <c r="BE281" s="75" t="str">
        <f>REPLACE(INDEX(GroupVertices[Group],MATCH(Edges25[[#This Row],[Vertex 2]],GroupVertices[Vertex],0)),1,1,"")</f>
        <v>2</v>
      </c>
      <c r="BF281" s="45">
        <v>1</v>
      </c>
      <c r="BG281" s="46">
        <v>7.142857142857143</v>
      </c>
      <c r="BH281" s="45">
        <v>0</v>
      </c>
      <c r="BI281" s="46">
        <v>0</v>
      </c>
      <c r="BJ281" s="45">
        <v>0</v>
      </c>
      <c r="BK281" s="46">
        <v>0</v>
      </c>
      <c r="BL281" s="45">
        <v>13</v>
      </c>
      <c r="BM281" s="46">
        <v>92.85714285714286</v>
      </c>
      <c r="BN281" s="45">
        <v>14</v>
      </c>
    </row>
    <row r="282" spans="1:66" ht="15">
      <c r="A282" s="61" t="s">
        <v>423</v>
      </c>
      <c r="B282" s="61" t="s">
        <v>423</v>
      </c>
      <c r="C282" s="62"/>
      <c r="D282" s="63"/>
      <c r="E282" s="62"/>
      <c r="F282" s="65"/>
      <c r="G282" s="62"/>
      <c r="H282" s="66"/>
      <c r="I282" s="67"/>
      <c r="J282" s="67"/>
      <c r="K282" s="31" t="s">
        <v>65</v>
      </c>
      <c r="L282" s="68">
        <v>399</v>
      </c>
      <c r="M282" s="68"/>
      <c r="N282" s="69"/>
      <c r="O282" s="76" t="s">
        <v>219</v>
      </c>
      <c r="P282" s="78">
        <v>44812.625810185185</v>
      </c>
      <c r="Q282" s="76" t="s">
        <v>755</v>
      </c>
      <c r="R282" s="79" t="str">
        <f>HYPERLINK("https://www.youtube.com/watch?v=V75pj41VFGk")</f>
        <v>https://www.youtube.com/watch?v=V75pj41VFGk</v>
      </c>
      <c r="S282" s="76" t="s">
        <v>790</v>
      </c>
      <c r="T282" s="81" t="s">
        <v>875</v>
      </c>
      <c r="U282" s="76"/>
      <c r="V282" s="79" t="str">
        <f>HYPERLINK("https://abs.twimg.com/sticky/default_profile_images/default_profile_normal.png")</f>
        <v>https://abs.twimg.com/sticky/default_profile_images/default_profile_normal.png</v>
      </c>
      <c r="W282" s="78">
        <v>44812.625810185185</v>
      </c>
      <c r="X282" s="84">
        <v>44812</v>
      </c>
      <c r="Y282" s="81" t="s">
        <v>1169</v>
      </c>
      <c r="Z282" s="79" t="str">
        <f>HYPERLINK("https://twitter.com/reinbow05061512/status/1567890795218321408")</f>
        <v>https://twitter.com/reinbow05061512/status/1567890795218321408</v>
      </c>
      <c r="AA282" s="76"/>
      <c r="AB282" s="76"/>
      <c r="AC282" s="81" t="s">
        <v>1505</v>
      </c>
      <c r="AD282" s="76"/>
      <c r="AE282" s="76" t="b">
        <v>0</v>
      </c>
      <c r="AF282" s="76">
        <v>0</v>
      </c>
      <c r="AG282" s="81" t="s">
        <v>1674</v>
      </c>
      <c r="AH282" s="76" t="b">
        <v>0</v>
      </c>
      <c r="AI282" s="76" t="s">
        <v>1772</v>
      </c>
      <c r="AJ282" s="76"/>
      <c r="AK282" s="81" t="s">
        <v>1674</v>
      </c>
      <c r="AL282" s="76" t="b">
        <v>0</v>
      </c>
      <c r="AM282" s="76">
        <v>0</v>
      </c>
      <c r="AN282" s="81" t="s">
        <v>1674</v>
      </c>
      <c r="AO282" s="81" t="s">
        <v>1811</v>
      </c>
      <c r="AP282" s="76" t="b">
        <v>0</v>
      </c>
      <c r="AQ282" s="81" t="s">
        <v>1505</v>
      </c>
      <c r="AR282" s="76" t="s">
        <v>219</v>
      </c>
      <c r="AS282" s="76">
        <v>0</v>
      </c>
      <c r="AT282" s="76">
        <v>0</v>
      </c>
      <c r="AU282" s="76"/>
      <c r="AV282" s="76"/>
      <c r="AW282" s="76"/>
      <c r="AX282" s="76"/>
      <c r="AY282" s="76"/>
      <c r="AZ282" s="76"/>
      <c r="BA282" s="76"/>
      <c r="BB282" s="76"/>
      <c r="BC282">
        <v>43</v>
      </c>
      <c r="BD282" s="75" t="str">
        <f>REPLACE(INDEX(GroupVertices[Group],MATCH(Edges25[[#This Row],[Vertex 1]],GroupVertices[Vertex],0)),1,1,"")</f>
        <v>2</v>
      </c>
      <c r="BE282" s="75" t="str">
        <f>REPLACE(INDEX(GroupVertices[Group],MATCH(Edges25[[#This Row],[Vertex 2]],GroupVertices[Vertex],0)),1,1,"")</f>
        <v>2</v>
      </c>
      <c r="BF282" s="45">
        <v>0</v>
      </c>
      <c r="BG282" s="46">
        <v>0</v>
      </c>
      <c r="BH282" s="45">
        <v>0</v>
      </c>
      <c r="BI282" s="46">
        <v>0</v>
      </c>
      <c r="BJ282" s="45">
        <v>0</v>
      </c>
      <c r="BK282" s="46">
        <v>0</v>
      </c>
      <c r="BL282" s="45">
        <v>19</v>
      </c>
      <c r="BM282" s="46">
        <v>100</v>
      </c>
      <c r="BN282" s="45">
        <v>19</v>
      </c>
    </row>
    <row r="283" spans="1:66" ht="15">
      <c r="A283" s="61" t="s">
        <v>423</v>
      </c>
      <c r="B283" s="61" t="s">
        <v>423</v>
      </c>
      <c r="C283" s="62"/>
      <c r="D283" s="63"/>
      <c r="E283" s="62"/>
      <c r="F283" s="65"/>
      <c r="G283" s="62"/>
      <c r="H283" s="66"/>
      <c r="I283" s="67"/>
      <c r="J283" s="67"/>
      <c r="K283" s="31" t="s">
        <v>65</v>
      </c>
      <c r="L283" s="68">
        <v>400</v>
      </c>
      <c r="M283" s="68"/>
      <c r="N283" s="69"/>
      <c r="O283" s="76" t="s">
        <v>219</v>
      </c>
      <c r="P283" s="78">
        <v>44812.771203703705</v>
      </c>
      <c r="Q283" s="76" t="s">
        <v>757</v>
      </c>
      <c r="R283" s="79" t="str">
        <f>HYPERLINK("https://www.youtube.com/watch?v=PMOHqsUyk7Y&amp;feature=youtu.be")</f>
        <v>https://www.youtube.com/watch?v=PMOHqsUyk7Y&amp;feature=youtu.be</v>
      </c>
      <c r="S283" s="76" t="s">
        <v>790</v>
      </c>
      <c r="T283" s="81" t="s">
        <v>876</v>
      </c>
      <c r="U283" s="76"/>
      <c r="V283" s="79" t="str">
        <f>HYPERLINK("https://abs.twimg.com/sticky/default_profile_images/default_profile_normal.png")</f>
        <v>https://abs.twimg.com/sticky/default_profile_images/default_profile_normal.png</v>
      </c>
      <c r="W283" s="78">
        <v>44812.771203703705</v>
      </c>
      <c r="X283" s="84">
        <v>44812</v>
      </c>
      <c r="Y283" s="81" t="s">
        <v>1170</v>
      </c>
      <c r="Z283" s="79" t="str">
        <f>HYPERLINK("https://twitter.com/reinbow05061512/status/1567943485277233157")</f>
        <v>https://twitter.com/reinbow05061512/status/1567943485277233157</v>
      </c>
      <c r="AA283" s="76"/>
      <c r="AB283" s="76"/>
      <c r="AC283" s="81" t="s">
        <v>1506</v>
      </c>
      <c r="AD283" s="76"/>
      <c r="AE283" s="76" t="b">
        <v>0</v>
      </c>
      <c r="AF283" s="76">
        <v>0</v>
      </c>
      <c r="AG283" s="81" t="s">
        <v>1674</v>
      </c>
      <c r="AH283" s="76" t="b">
        <v>0</v>
      </c>
      <c r="AI283" s="76" t="s">
        <v>1773</v>
      </c>
      <c r="AJ283" s="76"/>
      <c r="AK283" s="81" t="s">
        <v>1674</v>
      </c>
      <c r="AL283" s="76" t="b">
        <v>0</v>
      </c>
      <c r="AM283" s="76">
        <v>0</v>
      </c>
      <c r="AN283" s="81" t="s">
        <v>1674</v>
      </c>
      <c r="AO283" s="81" t="s">
        <v>1811</v>
      </c>
      <c r="AP283" s="76" t="b">
        <v>0</v>
      </c>
      <c r="AQ283" s="81" t="s">
        <v>1506</v>
      </c>
      <c r="AR283" s="76" t="s">
        <v>219</v>
      </c>
      <c r="AS283" s="76">
        <v>0</v>
      </c>
      <c r="AT283" s="76">
        <v>0</v>
      </c>
      <c r="AU283" s="76"/>
      <c r="AV283" s="76"/>
      <c r="AW283" s="76"/>
      <c r="AX283" s="76"/>
      <c r="AY283" s="76"/>
      <c r="AZ283" s="76"/>
      <c r="BA283" s="76"/>
      <c r="BB283" s="76"/>
      <c r="BC283">
        <v>43</v>
      </c>
      <c r="BD283" s="75" t="str">
        <f>REPLACE(INDEX(GroupVertices[Group],MATCH(Edges25[[#This Row],[Vertex 1]],GroupVertices[Vertex],0)),1,1,"")</f>
        <v>2</v>
      </c>
      <c r="BE283" s="75" t="str">
        <f>REPLACE(INDEX(GroupVertices[Group],MATCH(Edges25[[#This Row],[Vertex 2]],GroupVertices[Vertex],0)),1,1,"")</f>
        <v>2</v>
      </c>
      <c r="BF283" s="45">
        <v>0</v>
      </c>
      <c r="BG283" s="46">
        <v>0</v>
      </c>
      <c r="BH283" s="45">
        <v>0</v>
      </c>
      <c r="BI283" s="46">
        <v>0</v>
      </c>
      <c r="BJ283" s="45">
        <v>0</v>
      </c>
      <c r="BK283" s="46">
        <v>0</v>
      </c>
      <c r="BL283" s="45">
        <v>13</v>
      </c>
      <c r="BM283" s="46">
        <v>100</v>
      </c>
      <c r="BN283" s="45">
        <v>13</v>
      </c>
    </row>
    <row r="284" spans="1:66" ht="15">
      <c r="A284" s="61" t="s">
        <v>423</v>
      </c>
      <c r="B284" s="61" t="s">
        <v>423</v>
      </c>
      <c r="C284" s="62"/>
      <c r="D284" s="63"/>
      <c r="E284" s="62"/>
      <c r="F284" s="65"/>
      <c r="G284" s="62"/>
      <c r="H284" s="66"/>
      <c r="I284" s="67"/>
      <c r="J284" s="67"/>
      <c r="K284" s="31" t="s">
        <v>65</v>
      </c>
      <c r="L284" s="68">
        <v>401</v>
      </c>
      <c r="M284" s="68"/>
      <c r="N284" s="69"/>
      <c r="O284" s="76" t="s">
        <v>219</v>
      </c>
      <c r="P284" s="78">
        <v>44812.95936342593</v>
      </c>
      <c r="Q284" s="76" t="s">
        <v>758</v>
      </c>
      <c r="R284" s="79" t="str">
        <f>HYPERLINK("https://ameblo.jp/historical-gay/entry-10222227037.html")</f>
        <v>https://ameblo.jp/historical-gay/entry-10222227037.html</v>
      </c>
      <c r="S284" s="76" t="s">
        <v>791</v>
      </c>
      <c r="T284" s="81" t="s">
        <v>877</v>
      </c>
      <c r="U284" s="76"/>
      <c r="V284" s="79" t="str">
        <f>HYPERLINK("https://abs.twimg.com/sticky/default_profile_images/default_profile_normal.png")</f>
        <v>https://abs.twimg.com/sticky/default_profile_images/default_profile_normal.png</v>
      </c>
      <c r="W284" s="78">
        <v>44812.95936342593</v>
      </c>
      <c r="X284" s="84">
        <v>44812</v>
      </c>
      <c r="Y284" s="81" t="s">
        <v>1171</v>
      </c>
      <c r="Z284" s="79" t="str">
        <f>HYPERLINK("https://twitter.com/reinbow05061512/status/1568011673813794816")</f>
        <v>https://twitter.com/reinbow05061512/status/1568011673813794816</v>
      </c>
      <c r="AA284" s="76"/>
      <c r="AB284" s="76"/>
      <c r="AC284" s="81" t="s">
        <v>1507</v>
      </c>
      <c r="AD284" s="76"/>
      <c r="AE284" s="76" t="b">
        <v>0</v>
      </c>
      <c r="AF284" s="76">
        <v>0</v>
      </c>
      <c r="AG284" s="81" t="s">
        <v>1674</v>
      </c>
      <c r="AH284" s="76" t="b">
        <v>0</v>
      </c>
      <c r="AI284" s="76" t="s">
        <v>1773</v>
      </c>
      <c r="AJ284" s="76"/>
      <c r="AK284" s="81" t="s">
        <v>1674</v>
      </c>
      <c r="AL284" s="76" t="b">
        <v>0</v>
      </c>
      <c r="AM284" s="76">
        <v>0</v>
      </c>
      <c r="AN284" s="81" t="s">
        <v>1674</v>
      </c>
      <c r="AO284" s="81" t="s">
        <v>1811</v>
      </c>
      <c r="AP284" s="76" t="b">
        <v>0</v>
      </c>
      <c r="AQ284" s="81" t="s">
        <v>1507</v>
      </c>
      <c r="AR284" s="76" t="s">
        <v>219</v>
      </c>
      <c r="AS284" s="76">
        <v>0</v>
      </c>
      <c r="AT284" s="76">
        <v>0</v>
      </c>
      <c r="AU284" s="76"/>
      <c r="AV284" s="76"/>
      <c r="AW284" s="76"/>
      <c r="AX284" s="76"/>
      <c r="AY284" s="76"/>
      <c r="AZ284" s="76"/>
      <c r="BA284" s="76"/>
      <c r="BB284" s="76"/>
      <c r="BC284">
        <v>43</v>
      </c>
      <c r="BD284" s="75" t="str">
        <f>REPLACE(INDEX(GroupVertices[Group],MATCH(Edges25[[#This Row],[Vertex 1]],GroupVertices[Vertex],0)),1,1,"")</f>
        <v>2</v>
      </c>
      <c r="BE284" s="75" t="str">
        <f>REPLACE(INDEX(GroupVertices[Group],MATCH(Edges25[[#This Row],[Vertex 2]],GroupVertices[Vertex],0)),1,1,"")</f>
        <v>2</v>
      </c>
      <c r="BF284" s="45">
        <v>0</v>
      </c>
      <c r="BG284" s="46">
        <v>0</v>
      </c>
      <c r="BH284" s="45">
        <v>0</v>
      </c>
      <c r="BI284" s="46">
        <v>0</v>
      </c>
      <c r="BJ284" s="45">
        <v>0</v>
      </c>
      <c r="BK284" s="46">
        <v>0</v>
      </c>
      <c r="BL284" s="45">
        <v>13</v>
      </c>
      <c r="BM284" s="46">
        <v>100</v>
      </c>
      <c r="BN284" s="45">
        <v>13</v>
      </c>
    </row>
    <row r="285" spans="1:66" ht="15">
      <c r="A285" s="61" t="s">
        <v>423</v>
      </c>
      <c r="B285" s="61" t="s">
        <v>423</v>
      </c>
      <c r="C285" s="62"/>
      <c r="D285" s="63"/>
      <c r="E285" s="62"/>
      <c r="F285" s="65"/>
      <c r="G285" s="62"/>
      <c r="H285" s="66"/>
      <c r="I285" s="67"/>
      <c r="J285" s="67"/>
      <c r="K285" s="31" t="s">
        <v>65</v>
      </c>
      <c r="L285" s="68">
        <v>402</v>
      </c>
      <c r="M285" s="68"/>
      <c r="N285" s="69"/>
      <c r="O285" s="76" t="s">
        <v>219</v>
      </c>
      <c r="P285" s="78">
        <v>44812.9594212963</v>
      </c>
      <c r="Q285" s="76" t="s">
        <v>759</v>
      </c>
      <c r="R285" s="79" t="str">
        <f>HYPERLINK("https://www.youtube.com/watch?v=uHIVevq290k&amp;feature=youtu.be")</f>
        <v>https://www.youtube.com/watch?v=uHIVevq290k&amp;feature=youtu.be</v>
      </c>
      <c r="S285" s="76" t="s">
        <v>790</v>
      </c>
      <c r="T285" s="81" t="s">
        <v>878</v>
      </c>
      <c r="U285" s="76"/>
      <c r="V285" s="79" t="str">
        <f>HYPERLINK("https://abs.twimg.com/sticky/default_profile_images/default_profile_normal.png")</f>
        <v>https://abs.twimg.com/sticky/default_profile_images/default_profile_normal.png</v>
      </c>
      <c r="W285" s="78">
        <v>44812.9594212963</v>
      </c>
      <c r="X285" s="84">
        <v>44812</v>
      </c>
      <c r="Y285" s="81" t="s">
        <v>1172</v>
      </c>
      <c r="Z285" s="79" t="str">
        <f>HYPERLINK("https://twitter.com/reinbow05061512/status/1568011691362844672")</f>
        <v>https://twitter.com/reinbow05061512/status/1568011691362844672</v>
      </c>
      <c r="AA285" s="76"/>
      <c r="AB285" s="76"/>
      <c r="AC285" s="81" t="s">
        <v>1508</v>
      </c>
      <c r="AD285" s="76"/>
      <c r="AE285" s="76" t="b">
        <v>0</v>
      </c>
      <c r="AF285" s="76">
        <v>0</v>
      </c>
      <c r="AG285" s="81" t="s">
        <v>1674</v>
      </c>
      <c r="AH285" s="76" t="b">
        <v>0</v>
      </c>
      <c r="AI285" s="76" t="s">
        <v>1772</v>
      </c>
      <c r="AJ285" s="76"/>
      <c r="AK285" s="81" t="s">
        <v>1674</v>
      </c>
      <c r="AL285" s="76" t="b">
        <v>0</v>
      </c>
      <c r="AM285" s="76">
        <v>0</v>
      </c>
      <c r="AN285" s="81" t="s">
        <v>1674</v>
      </c>
      <c r="AO285" s="81" t="s">
        <v>1811</v>
      </c>
      <c r="AP285" s="76" t="b">
        <v>0</v>
      </c>
      <c r="AQ285" s="81" t="s">
        <v>1508</v>
      </c>
      <c r="AR285" s="76" t="s">
        <v>219</v>
      </c>
      <c r="AS285" s="76">
        <v>0</v>
      </c>
      <c r="AT285" s="76">
        <v>0</v>
      </c>
      <c r="AU285" s="76"/>
      <c r="AV285" s="76"/>
      <c r="AW285" s="76"/>
      <c r="AX285" s="76"/>
      <c r="AY285" s="76"/>
      <c r="AZ285" s="76"/>
      <c r="BA285" s="76"/>
      <c r="BB285" s="76"/>
      <c r="BC285">
        <v>43</v>
      </c>
      <c r="BD285" s="75" t="str">
        <f>REPLACE(INDEX(GroupVertices[Group],MATCH(Edges25[[#This Row],[Vertex 1]],GroupVertices[Vertex],0)),1,1,"")</f>
        <v>2</v>
      </c>
      <c r="BE285" s="75" t="str">
        <f>REPLACE(INDEX(GroupVertices[Group],MATCH(Edges25[[#This Row],[Vertex 2]],GroupVertices[Vertex],0)),1,1,"")</f>
        <v>2</v>
      </c>
      <c r="BF285" s="45">
        <v>0</v>
      </c>
      <c r="BG285" s="46">
        <v>0</v>
      </c>
      <c r="BH285" s="45">
        <v>0</v>
      </c>
      <c r="BI285" s="46">
        <v>0</v>
      </c>
      <c r="BJ285" s="45">
        <v>0</v>
      </c>
      <c r="BK285" s="46">
        <v>0</v>
      </c>
      <c r="BL285" s="45">
        <v>16</v>
      </c>
      <c r="BM285" s="46">
        <v>100</v>
      </c>
      <c r="BN285" s="45">
        <v>16</v>
      </c>
    </row>
    <row r="286" spans="1:66" ht="15">
      <c r="A286" s="61" t="s">
        <v>423</v>
      </c>
      <c r="B286" s="61" t="s">
        <v>423</v>
      </c>
      <c r="C286" s="62"/>
      <c r="D286" s="63"/>
      <c r="E286" s="62"/>
      <c r="F286" s="65"/>
      <c r="G286" s="62"/>
      <c r="H286" s="66"/>
      <c r="I286" s="67"/>
      <c r="J286" s="67"/>
      <c r="K286" s="31" t="s">
        <v>65</v>
      </c>
      <c r="L286" s="68">
        <v>403</v>
      </c>
      <c r="M286" s="68"/>
      <c r="N286" s="69"/>
      <c r="O286" s="76" t="s">
        <v>219</v>
      </c>
      <c r="P286" s="78">
        <v>44813.62585648148</v>
      </c>
      <c r="Q286" s="76" t="s">
        <v>760</v>
      </c>
      <c r="R286" s="79" t="str">
        <f>HYPERLINK("https://www.youtube.com/watch?v=V75pj41VFGk")</f>
        <v>https://www.youtube.com/watch?v=V75pj41VFGk</v>
      </c>
      <c r="S286" s="76" t="s">
        <v>790</v>
      </c>
      <c r="T286" s="81" t="s">
        <v>875</v>
      </c>
      <c r="U286" s="76"/>
      <c r="V286" s="79" t="str">
        <f>HYPERLINK("https://abs.twimg.com/sticky/default_profile_images/default_profile_normal.png")</f>
        <v>https://abs.twimg.com/sticky/default_profile_images/default_profile_normal.png</v>
      </c>
      <c r="W286" s="78">
        <v>44813.62585648148</v>
      </c>
      <c r="X286" s="84">
        <v>44813</v>
      </c>
      <c r="Y286" s="81" t="s">
        <v>1173</v>
      </c>
      <c r="Z286" s="79" t="str">
        <f>HYPERLINK("https://twitter.com/reinbow05061512/status/1568253201811652614")</f>
        <v>https://twitter.com/reinbow05061512/status/1568253201811652614</v>
      </c>
      <c r="AA286" s="76"/>
      <c r="AB286" s="76"/>
      <c r="AC286" s="81" t="s">
        <v>1509</v>
      </c>
      <c r="AD286" s="76"/>
      <c r="AE286" s="76" t="b">
        <v>0</v>
      </c>
      <c r="AF286" s="76">
        <v>0</v>
      </c>
      <c r="AG286" s="81" t="s">
        <v>1674</v>
      </c>
      <c r="AH286" s="76" t="b">
        <v>0</v>
      </c>
      <c r="AI286" s="76" t="s">
        <v>1772</v>
      </c>
      <c r="AJ286" s="76"/>
      <c r="AK286" s="81" t="s">
        <v>1674</v>
      </c>
      <c r="AL286" s="76" t="b">
        <v>0</v>
      </c>
      <c r="AM286" s="76">
        <v>0</v>
      </c>
      <c r="AN286" s="81" t="s">
        <v>1674</v>
      </c>
      <c r="AO286" s="81" t="s">
        <v>1811</v>
      </c>
      <c r="AP286" s="76" t="b">
        <v>0</v>
      </c>
      <c r="AQ286" s="81" t="s">
        <v>1509</v>
      </c>
      <c r="AR286" s="76" t="s">
        <v>219</v>
      </c>
      <c r="AS286" s="76">
        <v>0</v>
      </c>
      <c r="AT286" s="76">
        <v>0</v>
      </c>
      <c r="AU286" s="76"/>
      <c r="AV286" s="76"/>
      <c r="AW286" s="76"/>
      <c r="AX286" s="76"/>
      <c r="AY286" s="76"/>
      <c r="AZ286" s="76"/>
      <c r="BA286" s="76"/>
      <c r="BB286" s="76"/>
      <c r="BC286">
        <v>43</v>
      </c>
      <c r="BD286" s="75" t="str">
        <f>REPLACE(INDEX(GroupVertices[Group],MATCH(Edges25[[#This Row],[Vertex 1]],GroupVertices[Vertex],0)),1,1,"")</f>
        <v>2</v>
      </c>
      <c r="BE286" s="75" t="str">
        <f>REPLACE(INDEX(GroupVertices[Group],MATCH(Edges25[[#This Row],[Vertex 2]],GroupVertices[Vertex],0)),1,1,"")</f>
        <v>2</v>
      </c>
      <c r="BF286" s="45">
        <v>0</v>
      </c>
      <c r="BG286" s="46">
        <v>0</v>
      </c>
      <c r="BH286" s="45">
        <v>0</v>
      </c>
      <c r="BI286" s="46">
        <v>0</v>
      </c>
      <c r="BJ286" s="45">
        <v>0</v>
      </c>
      <c r="BK286" s="46">
        <v>0</v>
      </c>
      <c r="BL286" s="45">
        <v>19</v>
      </c>
      <c r="BM286" s="46">
        <v>100</v>
      </c>
      <c r="BN286" s="45">
        <v>19</v>
      </c>
    </row>
    <row r="287" spans="1:66" ht="15">
      <c r="A287" s="61" t="s">
        <v>423</v>
      </c>
      <c r="B287" s="61" t="s">
        <v>423</v>
      </c>
      <c r="C287" s="62"/>
      <c r="D287" s="63"/>
      <c r="E287" s="62"/>
      <c r="F287" s="65"/>
      <c r="G287" s="62"/>
      <c r="H287" s="66"/>
      <c r="I287" s="67"/>
      <c r="J287" s="67"/>
      <c r="K287" s="31" t="s">
        <v>65</v>
      </c>
      <c r="L287" s="68">
        <v>404</v>
      </c>
      <c r="M287" s="68"/>
      <c r="N287" s="69"/>
      <c r="O287" s="76" t="s">
        <v>219</v>
      </c>
      <c r="P287" s="78">
        <v>44813.62611111111</v>
      </c>
      <c r="Q287" s="76" t="s">
        <v>756</v>
      </c>
      <c r="R287" s="79" t="str">
        <f>HYPERLINK("https://www.youtube.com/watch?v=ejG32fwnsV4&amp;feature=youtu.be")</f>
        <v>https://www.youtube.com/watch?v=ejG32fwnsV4&amp;feature=youtu.be</v>
      </c>
      <c r="S287" s="76" t="s">
        <v>790</v>
      </c>
      <c r="T287" s="81" t="s">
        <v>875</v>
      </c>
      <c r="U287" s="76"/>
      <c r="V287" s="79" t="str">
        <f>HYPERLINK("https://abs.twimg.com/sticky/default_profile_images/default_profile_normal.png")</f>
        <v>https://abs.twimg.com/sticky/default_profile_images/default_profile_normal.png</v>
      </c>
      <c r="W287" s="78">
        <v>44813.62611111111</v>
      </c>
      <c r="X287" s="84">
        <v>44813</v>
      </c>
      <c r="Y287" s="81" t="s">
        <v>1174</v>
      </c>
      <c r="Z287" s="79" t="str">
        <f>HYPERLINK("https://twitter.com/reinbow05061512/status/1568253294442684416")</f>
        <v>https://twitter.com/reinbow05061512/status/1568253294442684416</v>
      </c>
      <c r="AA287" s="76"/>
      <c r="AB287" s="76"/>
      <c r="AC287" s="81" t="s">
        <v>1510</v>
      </c>
      <c r="AD287" s="76"/>
      <c r="AE287" s="76" t="b">
        <v>0</v>
      </c>
      <c r="AF287" s="76">
        <v>0</v>
      </c>
      <c r="AG287" s="81" t="s">
        <v>1674</v>
      </c>
      <c r="AH287" s="76" t="b">
        <v>0</v>
      </c>
      <c r="AI287" s="76" t="s">
        <v>1772</v>
      </c>
      <c r="AJ287" s="76"/>
      <c r="AK287" s="81" t="s">
        <v>1674</v>
      </c>
      <c r="AL287" s="76" t="b">
        <v>0</v>
      </c>
      <c r="AM287" s="76">
        <v>0</v>
      </c>
      <c r="AN287" s="81" t="s">
        <v>1674</v>
      </c>
      <c r="AO287" s="81" t="s">
        <v>1811</v>
      </c>
      <c r="AP287" s="76" t="b">
        <v>0</v>
      </c>
      <c r="AQ287" s="81" t="s">
        <v>1510</v>
      </c>
      <c r="AR287" s="76" t="s">
        <v>219</v>
      </c>
      <c r="AS287" s="76">
        <v>0</v>
      </c>
      <c r="AT287" s="76">
        <v>0</v>
      </c>
      <c r="AU287" s="76"/>
      <c r="AV287" s="76"/>
      <c r="AW287" s="76"/>
      <c r="AX287" s="76"/>
      <c r="AY287" s="76"/>
      <c r="AZ287" s="76"/>
      <c r="BA287" s="76"/>
      <c r="BB287" s="76"/>
      <c r="BC287">
        <v>43</v>
      </c>
      <c r="BD287" s="75" t="str">
        <f>REPLACE(INDEX(GroupVertices[Group],MATCH(Edges25[[#This Row],[Vertex 1]],GroupVertices[Vertex],0)),1,1,"")</f>
        <v>2</v>
      </c>
      <c r="BE287" s="75" t="str">
        <f>REPLACE(INDEX(GroupVertices[Group],MATCH(Edges25[[#This Row],[Vertex 2]],GroupVertices[Vertex],0)),1,1,"")</f>
        <v>2</v>
      </c>
      <c r="BF287" s="45">
        <v>1</v>
      </c>
      <c r="BG287" s="46">
        <v>7.142857142857143</v>
      </c>
      <c r="BH287" s="45">
        <v>0</v>
      </c>
      <c r="BI287" s="46">
        <v>0</v>
      </c>
      <c r="BJ287" s="45">
        <v>0</v>
      </c>
      <c r="BK287" s="46">
        <v>0</v>
      </c>
      <c r="BL287" s="45">
        <v>13</v>
      </c>
      <c r="BM287" s="46">
        <v>92.85714285714286</v>
      </c>
      <c r="BN287" s="45">
        <v>14</v>
      </c>
    </row>
    <row r="288" spans="1:66" ht="15">
      <c r="A288" s="61" t="s">
        <v>423</v>
      </c>
      <c r="B288" s="61" t="s">
        <v>423</v>
      </c>
      <c r="C288" s="62"/>
      <c r="D288" s="63"/>
      <c r="E288" s="62"/>
      <c r="F288" s="65"/>
      <c r="G288" s="62"/>
      <c r="H288" s="66"/>
      <c r="I288" s="67"/>
      <c r="J288" s="67"/>
      <c r="K288" s="31" t="s">
        <v>65</v>
      </c>
      <c r="L288" s="68">
        <v>405</v>
      </c>
      <c r="M288" s="68"/>
      <c r="N288" s="69"/>
      <c r="O288" s="76" t="s">
        <v>219</v>
      </c>
      <c r="P288" s="78">
        <v>44813.7712962963</v>
      </c>
      <c r="Q288" s="76" t="s">
        <v>761</v>
      </c>
      <c r="R288" s="79" t="str">
        <f>HYPERLINK("https://www.youtube.com/watch?v=PMOHqsUyk7Y&amp;feature=youtu.be")</f>
        <v>https://www.youtube.com/watch?v=PMOHqsUyk7Y&amp;feature=youtu.be</v>
      </c>
      <c r="S288" s="76" t="s">
        <v>790</v>
      </c>
      <c r="T288" s="81" t="s">
        <v>876</v>
      </c>
      <c r="U288" s="76"/>
      <c r="V288" s="79" t="str">
        <f>HYPERLINK("https://abs.twimg.com/sticky/default_profile_images/default_profile_normal.png")</f>
        <v>https://abs.twimg.com/sticky/default_profile_images/default_profile_normal.png</v>
      </c>
      <c r="W288" s="78">
        <v>44813.7712962963</v>
      </c>
      <c r="X288" s="84">
        <v>44813</v>
      </c>
      <c r="Y288" s="81" t="s">
        <v>1175</v>
      </c>
      <c r="Z288" s="79" t="str">
        <f>HYPERLINK("https://twitter.com/reinbow05061512/status/1568305907741904896")</f>
        <v>https://twitter.com/reinbow05061512/status/1568305907741904896</v>
      </c>
      <c r="AA288" s="76"/>
      <c r="AB288" s="76"/>
      <c r="AC288" s="81" t="s">
        <v>1511</v>
      </c>
      <c r="AD288" s="76"/>
      <c r="AE288" s="76" t="b">
        <v>0</v>
      </c>
      <c r="AF288" s="76">
        <v>0</v>
      </c>
      <c r="AG288" s="81" t="s">
        <v>1674</v>
      </c>
      <c r="AH288" s="76" t="b">
        <v>0</v>
      </c>
      <c r="AI288" s="76" t="s">
        <v>1773</v>
      </c>
      <c r="AJ288" s="76"/>
      <c r="AK288" s="81" t="s">
        <v>1674</v>
      </c>
      <c r="AL288" s="76" t="b">
        <v>0</v>
      </c>
      <c r="AM288" s="76">
        <v>0</v>
      </c>
      <c r="AN288" s="81" t="s">
        <v>1674</v>
      </c>
      <c r="AO288" s="81" t="s">
        <v>1811</v>
      </c>
      <c r="AP288" s="76" t="b">
        <v>0</v>
      </c>
      <c r="AQ288" s="81" t="s">
        <v>1511</v>
      </c>
      <c r="AR288" s="76" t="s">
        <v>219</v>
      </c>
      <c r="AS288" s="76">
        <v>0</v>
      </c>
      <c r="AT288" s="76">
        <v>0</v>
      </c>
      <c r="AU288" s="76"/>
      <c r="AV288" s="76"/>
      <c r="AW288" s="76"/>
      <c r="AX288" s="76"/>
      <c r="AY288" s="76"/>
      <c r="AZ288" s="76"/>
      <c r="BA288" s="76"/>
      <c r="BB288" s="76"/>
      <c r="BC288">
        <v>43</v>
      </c>
      <c r="BD288" s="75" t="str">
        <f>REPLACE(INDEX(GroupVertices[Group],MATCH(Edges25[[#This Row],[Vertex 1]],GroupVertices[Vertex],0)),1,1,"")</f>
        <v>2</v>
      </c>
      <c r="BE288" s="75" t="str">
        <f>REPLACE(INDEX(GroupVertices[Group],MATCH(Edges25[[#This Row],[Vertex 2]],GroupVertices[Vertex],0)),1,1,"")</f>
        <v>2</v>
      </c>
      <c r="BF288" s="45">
        <v>0</v>
      </c>
      <c r="BG288" s="46">
        <v>0</v>
      </c>
      <c r="BH288" s="45">
        <v>0</v>
      </c>
      <c r="BI288" s="46">
        <v>0</v>
      </c>
      <c r="BJ288" s="45">
        <v>0</v>
      </c>
      <c r="BK288" s="46">
        <v>0</v>
      </c>
      <c r="BL288" s="45">
        <v>13</v>
      </c>
      <c r="BM288" s="46">
        <v>100</v>
      </c>
      <c r="BN288" s="45">
        <v>13</v>
      </c>
    </row>
    <row r="289" spans="1:66" ht="15">
      <c r="A289" s="61" t="s">
        <v>423</v>
      </c>
      <c r="B289" s="61" t="s">
        <v>423</v>
      </c>
      <c r="C289" s="62"/>
      <c r="D289" s="63"/>
      <c r="E289" s="62"/>
      <c r="F289" s="65"/>
      <c r="G289" s="62"/>
      <c r="H289" s="66"/>
      <c r="I289" s="67"/>
      <c r="J289" s="67"/>
      <c r="K289" s="31" t="s">
        <v>65</v>
      </c>
      <c r="L289" s="68">
        <v>406</v>
      </c>
      <c r="M289" s="68"/>
      <c r="N289" s="69"/>
      <c r="O289" s="76" t="s">
        <v>219</v>
      </c>
      <c r="P289" s="78">
        <v>44813.959074074075</v>
      </c>
      <c r="Q289" s="76" t="s">
        <v>762</v>
      </c>
      <c r="R289" s="79" t="str">
        <f>HYPERLINK("https://ameblo.jp/historical-gay/entry-10222227037.html")</f>
        <v>https://ameblo.jp/historical-gay/entry-10222227037.html</v>
      </c>
      <c r="S289" s="76" t="s">
        <v>791</v>
      </c>
      <c r="T289" s="81" t="s">
        <v>877</v>
      </c>
      <c r="U289" s="76"/>
      <c r="V289" s="79" t="str">
        <f>HYPERLINK("https://abs.twimg.com/sticky/default_profile_images/default_profile_normal.png")</f>
        <v>https://abs.twimg.com/sticky/default_profile_images/default_profile_normal.png</v>
      </c>
      <c r="W289" s="78">
        <v>44813.959074074075</v>
      </c>
      <c r="X289" s="84">
        <v>44813</v>
      </c>
      <c r="Y289" s="81" t="s">
        <v>1176</v>
      </c>
      <c r="Z289" s="79" t="str">
        <f>HYPERLINK("https://twitter.com/reinbow05061512/status/1568373954141900807")</f>
        <v>https://twitter.com/reinbow05061512/status/1568373954141900807</v>
      </c>
      <c r="AA289" s="76"/>
      <c r="AB289" s="76"/>
      <c r="AC289" s="81" t="s">
        <v>1512</v>
      </c>
      <c r="AD289" s="76"/>
      <c r="AE289" s="76" t="b">
        <v>0</v>
      </c>
      <c r="AF289" s="76">
        <v>0</v>
      </c>
      <c r="AG289" s="81" t="s">
        <v>1674</v>
      </c>
      <c r="AH289" s="76" t="b">
        <v>0</v>
      </c>
      <c r="AI289" s="76" t="s">
        <v>1773</v>
      </c>
      <c r="AJ289" s="76"/>
      <c r="AK289" s="81" t="s">
        <v>1674</v>
      </c>
      <c r="AL289" s="76" t="b">
        <v>0</v>
      </c>
      <c r="AM289" s="76">
        <v>0</v>
      </c>
      <c r="AN289" s="81" t="s">
        <v>1674</v>
      </c>
      <c r="AO289" s="81" t="s">
        <v>1811</v>
      </c>
      <c r="AP289" s="76" t="b">
        <v>0</v>
      </c>
      <c r="AQ289" s="81" t="s">
        <v>1512</v>
      </c>
      <c r="AR289" s="76" t="s">
        <v>219</v>
      </c>
      <c r="AS289" s="76">
        <v>0</v>
      </c>
      <c r="AT289" s="76">
        <v>0</v>
      </c>
      <c r="AU289" s="76"/>
      <c r="AV289" s="76"/>
      <c r="AW289" s="76"/>
      <c r="AX289" s="76"/>
      <c r="AY289" s="76"/>
      <c r="AZ289" s="76"/>
      <c r="BA289" s="76"/>
      <c r="BB289" s="76"/>
      <c r="BC289">
        <v>43</v>
      </c>
      <c r="BD289" s="75" t="str">
        <f>REPLACE(INDEX(GroupVertices[Group],MATCH(Edges25[[#This Row],[Vertex 1]],GroupVertices[Vertex],0)),1,1,"")</f>
        <v>2</v>
      </c>
      <c r="BE289" s="75" t="str">
        <f>REPLACE(INDEX(GroupVertices[Group],MATCH(Edges25[[#This Row],[Vertex 2]],GroupVertices[Vertex],0)),1,1,"")</f>
        <v>2</v>
      </c>
      <c r="BF289" s="45">
        <v>0</v>
      </c>
      <c r="BG289" s="46">
        <v>0</v>
      </c>
      <c r="BH289" s="45">
        <v>0</v>
      </c>
      <c r="BI289" s="46">
        <v>0</v>
      </c>
      <c r="BJ289" s="45">
        <v>0</v>
      </c>
      <c r="BK289" s="46">
        <v>0</v>
      </c>
      <c r="BL289" s="45">
        <v>13</v>
      </c>
      <c r="BM289" s="46">
        <v>100</v>
      </c>
      <c r="BN289" s="45">
        <v>13</v>
      </c>
    </row>
    <row r="290" spans="1:66" ht="15">
      <c r="A290" s="61" t="s">
        <v>423</v>
      </c>
      <c r="B290" s="61" t="s">
        <v>423</v>
      </c>
      <c r="C290" s="62"/>
      <c r="D290" s="63"/>
      <c r="E290" s="62"/>
      <c r="F290" s="65"/>
      <c r="G290" s="62"/>
      <c r="H290" s="66"/>
      <c r="I290" s="67"/>
      <c r="J290" s="67"/>
      <c r="K290" s="31" t="s">
        <v>65</v>
      </c>
      <c r="L290" s="68">
        <v>407</v>
      </c>
      <c r="M290" s="68"/>
      <c r="N290" s="69"/>
      <c r="O290" s="76" t="s">
        <v>219</v>
      </c>
      <c r="P290" s="78">
        <v>44813.959189814814</v>
      </c>
      <c r="Q290" s="76" t="s">
        <v>759</v>
      </c>
      <c r="R290" s="79" t="str">
        <f>HYPERLINK("https://www.youtube.com/watch?v=uHIVevq290k&amp;feature=youtu.be")</f>
        <v>https://www.youtube.com/watch?v=uHIVevq290k&amp;feature=youtu.be</v>
      </c>
      <c r="S290" s="76" t="s">
        <v>790</v>
      </c>
      <c r="T290" s="81" t="s">
        <v>878</v>
      </c>
      <c r="U290" s="76"/>
      <c r="V290" s="79" t="str">
        <f>HYPERLINK("https://abs.twimg.com/sticky/default_profile_images/default_profile_normal.png")</f>
        <v>https://abs.twimg.com/sticky/default_profile_images/default_profile_normal.png</v>
      </c>
      <c r="W290" s="78">
        <v>44813.959189814814</v>
      </c>
      <c r="X290" s="84">
        <v>44813</v>
      </c>
      <c r="Y290" s="81" t="s">
        <v>1177</v>
      </c>
      <c r="Z290" s="79" t="str">
        <f>HYPERLINK("https://twitter.com/reinbow05061512/status/1568373995170308098")</f>
        <v>https://twitter.com/reinbow05061512/status/1568373995170308098</v>
      </c>
      <c r="AA290" s="76"/>
      <c r="AB290" s="76"/>
      <c r="AC290" s="81" t="s">
        <v>1513</v>
      </c>
      <c r="AD290" s="76"/>
      <c r="AE290" s="76" t="b">
        <v>0</v>
      </c>
      <c r="AF290" s="76">
        <v>0</v>
      </c>
      <c r="AG290" s="81" t="s">
        <v>1674</v>
      </c>
      <c r="AH290" s="76" t="b">
        <v>0</v>
      </c>
      <c r="AI290" s="76" t="s">
        <v>1772</v>
      </c>
      <c r="AJ290" s="76"/>
      <c r="AK290" s="81" t="s">
        <v>1674</v>
      </c>
      <c r="AL290" s="76" t="b">
        <v>0</v>
      </c>
      <c r="AM290" s="76">
        <v>0</v>
      </c>
      <c r="AN290" s="81" t="s">
        <v>1674</v>
      </c>
      <c r="AO290" s="81" t="s">
        <v>1811</v>
      </c>
      <c r="AP290" s="76" t="b">
        <v>0</v>
      </c>
      <c r="AQ290" s="81" t="s">
        <v>1513</v>
      </c>
      <c r="AR290" s="76" t="s">
        <v>219</v>
      </c>
      <c r="AS290" s="76">
        <v>0</v>
      </c>
      <c r="AT290" s="76">
        <v>0</v>
      </c>
      <c r="AU290" s="76"/>
      <c r="AV290" s="76"/>
      <c r="AW290" s="76"/>
      <c r="AX290" s="76"/>
      <c r="AY290" s="76"/>
      <c r="AZ290" s="76"/>
      <c r="BA290" s="76"/>
      <c r="BB290" s="76"/>
      <c r="BC290">
        <v>43</v>
      </c>
      <c r="BD290" s="75" t="str">
        <f>REPLACE(INDEX(GroupVertices[Group],MATCH(Edges25[[#This Row],[Vertex 1]],GroupVertices[Vertex],0)),1,1,"")</f>
        <v>2</v>
      </c>
      <c r="BE290" s="75" t="str">
        <f>REPLACE(INDEX(GroupVertices[Group],MATCH(Edges25[[#This Row],[Vertex 2]],GroupVertices[Vertex],0)),1,1,"")</f>
        <v>2</v>
      </c>
      <c r="BF290" s="45">
        <v>0</v>
      </c>
      <c r="BG290" s="46">
        <v>0</v>
      </c>
      <c r="BH290" s="45">
        <v>0</v>
      </c>
      <c r="BI290" s="46">
        <v>0</v>
      </c>
      <c r="BJ290" s="45">
        <v>0</v>
      </c>
      <c r="BK290" s="46">
        <v>0</v>
      </c>
      <c r="BL290" s="45">
        <v>16</v>
      </c>
      <c r="BM290" s="46">
        <v>100</v>
      </c>
      <c r="BN290" s="45">
        <v>16</v>
      </c>
    </row>
    <row r="291" spans="1:66" ht="15">
      <c r="A291" s="61" t="s">
        <v>423</v>
      </c>
      <c r="B291" s="61" t="s">
        <v>423</v>
      </c>
      <c r="C291" s="62"/>
      <c r="D291" s="63"/>
      <c r="E291" s="62"/>
      <c r="F291" s="65"/>
      <c r="G291" s="62"/>
      <c r="H291" s="66"/>
      <c r="I291" s="67"/>
      <c r="J291" s="67"/>
      <c r="K291" s="31" t="s">
        <v>65</v>
      </c>
      <c r="L291" s="68">
        <v>408</v>
      </c>
      <c r="M291" s="68"/>
      <c r="N291" s="69"/>
      <c r="O291" s="76" t="s">
        <v>219</v>
      </c>
      <c r="P291" s="78">
        <v>44814.625555555554</v>
      </c>
      <c r="Q291" s="76" t="s">
        <v>755</v>
      </c>
      <c r="R291" s="79" t="str">
        <f>HYPERLINK("https://www.youtube.com/watch?v=V75pj41VFGk")</f>
        <v>https://www.youtube.com/watch?v=V75pj41VFGk</v>
      </c>
      <c r="S291" s="76" t="s">
        <v>790</v>
      </c>
      <c r="T291" s="81" t="s">
        <v>875</v>
      </c>
      <c r="U291" s="76"/>
      <c r="V291" s="79" t="str">
        <f>HYPERLINK("https://abs.twimg.com/sticky/default_profile_images/default_profile_normal.png")</f>
        <v>https://abs.twimg.com/sticky/default_profile_images/default_profile_normal.png</v>
      </c>
      <c r="W291" s="78">
        <v>44814.625555555554</v>
      </c>
      <c r="X291" s="84">
        <v>44814</v>
      </c>
      <c r="Y291" s="81" t="s">
        <v>1178</v>
      </c>
      <c r="Z291" s="79" t="str">
        <f>HYPERLINK("https://twitter.com/reinbow05061512/status/1568615478444130304")</f>
        <v>https://twitter.com/reinbow05061512/status/1568615478444130304</v>
      </c>
      <c r="AA291" s="76"/>
      <c r="AB291" s="76"/>
      <c r="AC291" s="81" t="s">
        <v>1514</v>
      </c>
      <c r="AD291" s="76"/>
      <c r="AE291" s="76" t="b">
        <v>0</v>
      </c>
      <c r="AF291" s="76">
        <v>0</v>
      </c>
      <c r="AG291" s="81" t="s">
        <v>1674</v>
      </c>
      <c r="AH291" s="76" t="b">
        <v>0</v>
      </c>
      <c r="AI291" s="76" t="s">
        <v>1772</v>
      </c>
      <c r="AJ291" s="76"/>
      <c r="AK291" s="81" t="s">
        <v>1674</v>
      </c>
      <c r="AL291" s="76" t="b">
        <v>0</v>
      </c>
      <c r="AM291" s="76">
        <v>0</v>
      </c>
      <c r="AN291" s="81" t="s">
        <v>1674</v>
      </c>
      <c r="AO291" s="81" t="s">
        <v>1811</v>
      </c>
      <c r="AP291" s="76" t="b">
        <v>0</v>
      </c>
      <c r="AQ291" s="81" t="s">
        <v>1514</v>
      </c>
      <c r="AR291" s="76" t="s">
        <v>219</v>
      </c>
      <c r="AS291" s="76">
        <v>0</v>
      </c>
      <c r="AT291" s="76">
        <v>0</v>
      </c>
      <c r="AU291" s="76"/>
      <c r="AV291" s="76"/>
      <c r="AW291" s="76"/>
      <c r="AX291" s="76"/>
      <c r="AY291" s="76"/>
      <c r="AZ291" s="76"/>
      <c r="BA291" s="76"/>
      <c r="BB291" s="76"/>
      <c r="BC291">
        <v>43</v>
      </c>
      <c r="BD291" s="75" t="str">
        <f>REPLACE(INDEX(GroupVertices[Group],MATCH(Edges25[[#This Row],[Vertex 1]],GroupVertices[Vertex],0)),1,1,"")</f>
        <v>2</v>
      </c>
      <c r="BE291" s="75" t="str">
        <f>REPLACE(INDEX(GroupVertices[Group],MATCH(Edges25[[#This Row],[Vertex 2]],GroupVertices[Vertex],0)),1,1,"")</f>
        <v>2</v>
      </c>
      <c r="BF291" s="45">
        <v>0</v>
      </c>
      <c r="BG291" s="46">
        <v>0</v>
      </c>
      <c r="BH291" s="45">
        <v>0</v>
      </c>
      <c r="BI291" s="46">
        <v>0</v>
      </c>
      <c r="BJ291" s="45">
        <v>0</v>
      </c>
      <c r="BK291" s="46">
        <v>0</v>
      </c>
      <c r="BL291" s="45">
        <v>19</v>
      </c>
      <c r="BM291" s="46">
        <v>100</v>
      </c>
      <c r="BN291" s="45">
        <v>19</v>
      </c>
    </row>
    <row r="292" spans="1:66" ht="15">
      <c r="A292" s="61" t="s">
        <v>423</v>
      </c>
      <c r="B292" s="61" t="s">
        <v>423</v>
      </c>
      <c r="C292" s="62"/>
      <c r="D292" s="63"/>
      <c r="E292" s="62"/>
      <c r="F292" s="65"/>
      <c r="G292" s="62"/>
      <c r="H292" s="66"/>
      <c r="I292" s="67"/>
      <c r="J292" s="67"/>
      <c r="K292" s="31" t="s">
        <v>65</v>
      </c>
      <c r="L292" s="68">
        <v>409</v>
      </c>
      <c r="M292" s="68"/>
      <c r="N292" s="69"/>
      <c r="O292" s="76" t="s">
        <v>219</v>
      </c>
      <c r="P292" s="78">
        <v>44814.625625</v>
      </c>
      <c r="Q292" s="76" t="s">
        <v>763</v>
      </c>
      <c r="R292" s="79" t="str">
        <f>HYPERLINK("https://www.youtube.com/watch?v=ejG32fwnsV4&amp;feature=youtu.be")</f>
        <v>https://www.youtube.com/watch?v=ejG32fwnsV4&amp;feature=youtu.be</v>
      </c>
      <c r="S292" s="76" t="s">
        <v>790</v>
      </c>
      <c r="T292" s="81" t="s">
        <v>875</v>
      </c>
      <c r="U292" s="76"/>
      <c r="V292" s="79" t="str">
        <f>HYPERLINK("https://abs.twimg.com/sticky/default_profile_images/default_profile_normal.png")</f>
        <v>https://abs.twimg.com/sticky/default_profile_images/default_profile_normal.png</v>
      </c>
      <c r="W292" s="78">
        <v>44814.625625</v>
      </c>
      <c r="X292" s="84">
        <v>44814</v>
      </c>
      <c r="Y292" s="81" t="s">
        <v>1179</v>
      </c>
      <c r="Z292" s="79" t="str">
        <f>HYPERLINK("https://twitter.com/reinbow05061512/status/1568615504612556800")</f>
        <v>https://twitter.com/reinbow05061512/status/1568615504612556800</v>
      </c>
      <c r="AA292" s="76"/>
      <c r="AB292" s="76"/>
      <c r="AC292" s="81" t="s">
        <v>1515</v>
      </c>
      <c r="AD292" s="76"/>
      <c r="AE292" s="76" t="b">
        <v>0</v>
      </c>
      <c r="AF292" s="76">
        <v>0</v>
      </c>
      <c r="AG292" s="81" t="s">
        <v>1674</v>
      </c>
      <c r="AH292" s="76" t="b">
        <v>0</v>
      </c>
      <c r="AI292" s="76" t="s">
        <v>1772</v>
      </c>
      <c r="AJ292" s="76"/>
      <c r="AK292" s="81" t="s">
        <v>1674</v>
      </c>
      <c r="AL292" s="76" t="b">
        <v>0</v>
      </c>
      <c r="AM292" s="76">
        <v>0</v>
      </c>
      <c r="AN292" s="81" t="s">
        <v>1674</v>
      </c>
      <c r="AO292" s="81" t="s">
        <v>1811</v>
      </c>
      <c r="AP292" s="76" t="b">
        <v>0</v>
      </c>
      <c r="AQ292" s="81" t="s">
        <v>1515</v>
      </c>
      <c r="AR292" s="76" t="s">
        <v>219</v>
      </c>
      <c r="AS292" s="76">
        <v>0</v>
      </c>
      <c r="AT292" s="76">
        <v>0</v>
      </c>
      <c r="AU292" s="76"/>
      <c r="AV292" s="76"/>
      <c r="AW292" s="76"/>
      <c r="AX292" s="76"/>
      <c r="AY292" s="76"/>
      <c r="AZ292" s="76"/>
      <c r="BA292" s="76"/>
      <c r="BB292" s="76"/>
      <c r="BC292">
        <v>43</v>
      </c>
      <c r="BD292" s="75" t="str">
        <f>REPLACE(INDEX(GroupVertices[Group],MATCH(Edges25[[#This Row],[Vertex 1]],GroupVertices[Vertex],0)),1,1,"")</f>
        <v>2</v>
      </c>
      <c r="BE292" s="75" t="str">
        <f>REPLACE(INDEX(GroupVertices[Group],MATCH(Edges25[[#This Row],[Vertex 2]],GroupVertices[Vertex],0)),1,1,"")</f>
        <v>2</v>
      </c>
      <c r="BF292" s="45">
        <v>1</v>
      </c>
      <c r="BG292" s="46">
        <v>7.142857142857143</v>
      </c>
      <c r="BH292" s="45">
        <v>0</v>
      </c>
      <c r="BI292" s="46">
        <v>0</v>
      </c>
      <c r="BJ292" s="45">
        <v>0</v>
      </c>
      <c r="BK292" s="46">
        <v>0</v>
      </c>
      <c r="BL292" s="45">
        <v>13</v>
      </c>
      <c r="BM292" s="46">
        <v>92.85714285714286</v>
      </c>
      <c r="BN292" s="45">
        <v>14</v>
      </c>
    </row>
    <row r="293" spans="1:66" ht="15">
      <c r="A293" s="61" t="s">
        <v>423</v>
      </c>
      <c r="B293" s="61" t="s">
        <v>423</v>
      </c>
      <c r="C293" s="62"/>
      <c r="D293" s="63"/>
      <c r="E293" s="62"/>
      <c r="F293" s="65"/>
      <c r="G293" s="62"/>
      <c r="H293" s="66"/>
      <c r="I293" s="67"/>
      <c r="J293" s="67"/>
      <c r="K293" s="31" t="s">
        <v>65</v>
      </c>
      <c r="L293" s="68">
        <v>410</v>
      </c>
      <c r="M293" s="68"/>
      <c r="N293" s="69"/>
      <c r="O293" s="76" t="s">
        <v>219</v>
      </c>
      <c r="P293" s="78">
        <v>44814.77116898148</v>
      </c>
      <c r="Q293" s="76" t="s">
        <v>757</v>
      </c>
      <c r="R293" s="79" t="str">
        <f>HYPERLINK("https://www.youtube.com/watch?v=PMOHqsUyk7Y&amp;feature=youtu.be")</f>
        <v>https://www.youtube.com/watch?v=PMOHqsUyk7Y&amp;feature=youtu.be</v>
      </c>
      <c r="S293" s="76" t="s">
        <v>790</v>
      </c>
      <c r="T293" s="81" t="s">
        <v>876</v>
      </c>
      <c r="U293" s="76"/>
      <c r="V293" s="79" t="str">
        <f>HYPERLINK("https://abs.twimg.com/sticky/default_profile_images/default_profile_normal.png")</f>
        <v>https://abs.twimg.com/sticky/default_profile_images/default_profile_normal.png</v>
      </c>
      <c r="W293" s="78">
        <v>44814.77116898148</v>
      </c>
      <c r="X293" s="84">
        <v>44814</v>
      </c>
      <c r="Y293" s="81" t="s">
        <v>1180</v>
      </c>
      <c r="Z293" s="79" t="str">
        <f>HYPERLINK("https://twitter.com/reinbow05061512/status/1568668247997792257")</f>
        <v>https://twitter.com/reinbow05061512/status/1568668247997792257</v>
      </c>
      <c r="AA293" s="76"/>
      <c r="AB293" s="76"/>
      <c r="AC293" s="81" t="s">
        <v>1516</v>
      </c>
      <c r="AD293" s="76"/>
      <c r="AE293" s="76" t="b">
        <v>0</v>
      </c>
      <c r="AF293" s="76">
        <v>0</v>
      </c>
      <c r="AG293" s="81" t="s">
        <v>1674</v>
      </c>
      <c r="AH293" s="76" t="b">
        <v>0</v>
      </c>
      <c r="AI293" s="76" t="s">
        <v>1773</v>
      </c>
      <c r="AJ293" s="76"/>
      <c r="AK293" s="81" t="s">
        <v>1674</v>
      </c>
      <c r="AL293" s="76" t="b">
        <v>0</v>
      </c>
      <c r="AM293" s="76">
        <v>0</v>
      </c>
      <c r="AN293" s="81" t="s">
        <v>1674</v>
      </c>
      <c r="AO293" s="81" t="s">
        <v>1811</v>
      </c>
      <c r="AP293" s="76" t="b">
        <v>0</v>
      </c>
      <c r="AQ293" s="81" t="s">
        <v>1516</v>
      </c>
      <c r="AR293" s="76" t="s">
        <v>219</v>
      </c>
      <c r="AS293" s="76">
        <v>0</v>
      </c>
      <c r="AT293" s="76">
        <v>0</v>
      </c>
      <c r="AU293" s="76"/>
      <c r="AV293" s="76"/>
      <c r="AW293" s="76"/>
      <c r="AX293" s="76"/>
      <c r="AY293" s="76"/>
      <c r="AZ293" s="76"/>
      <c r="BA293" s="76"/>
      <c r="BB293" s="76"/>
      <c r="BC293">
        <v>43</v>
      </c>
      <c r="BD293" s="75" t="str">
        <f>REPLACE(INDEX(GroupVertices[Group],MATCH(Edges25[[#This Row],[Vertex 1]],GroupVertices[Vertex],0)),1,1,"")</f>
        <v>2</v>
      </c>
      <c r="BE293" s="75" t="str">
        <f>REPLACE(INDEX(GroupVertices[Group],MATCH(Edges25[[#This Row],[Vertex 2]],GroupVertices[Vertex],0)),1,1,"")</f>
        <v>2</v>
      </c>
      <c r="BF293" s="45">
        <v>0</v>
      </c>
      <c r="BG293" s="46">
        <v>0</v>
      </c>
      <c r="BH293" s="45">
        <v>0</v>
      </c>
      <c r="BI293" s="46">
        <v>0</v>
      </c>
      <c r="BJ293" s="45">
        <v>0</v>
      </c>
      <c r="BK293" s="46">
        <v>0</v>
      </c>
      <c r="BL293" s="45">
        <v>13</v>
      </c>
      <c r="BM293" s="46">
        <v>100</v>
      </c>
      <c r="BN293" s="45">
        <v>13</v>
      </c>
    </row>
    <row r="294" spans="1:66" ht="15">
      <c r="A294" s="61" t="s">
        <v>423</v>
      </c>
      <c r="B294" s="61" t="s">
        <v>423</v>
      </c>
      <c r="C294" s="62"/>
      <c r="D294" s="63"/>
      <c r="E294" s="62"/>
      <c r="F294" s="65"/>
      <c r="G294" s="62"/>
      <c r="H294" s="66"/>
      <c r="I294" s="67"/>
      <c r="J294" s="67"/>
      <c r="K294" s="31" t="s">
        <v>65</v>
      </c>
      <c r="L294" s="68">
        <v>411</v>
      </c>
      <c r="M294" s="68"/>
      <c r="N294" s="69"/>
      <c r="O294" s="76" t="s">
        <v>219</v>
      </c>
      <c r="P294" s="78">
        <v>44814.958969907406</v>
      </c>
      <c r="Q294" s="76" t="s">
        <v>764</v>
      </c>
      <c r="R294" s="79" t="str">
        <f>HYPERLINK("https://www.youtube.com/watch?v=uHIVevq290k&amp;feature=youtu.be")</f>
        <v>https://www.youtube.com/watch?v=uHIVevq290k&amp;feature=youtu.be</v>
      </c>
      <c r="S294" s="76" t="s">
        <v>790</v>
      </c>
      <c r="T294" s="81" t="s">
        <v>878</v>
      </c>
      <c r="U294" s="76"/>
      <c r="V294" s="79" t="str">
        <f>HYPERLINK("https://abs.twimg.com/sticky/default_profile_images/default_profile_normal.png")</f>
        <v>https://abs.twimg.com/sticky/default_profile_images/default_profile_normal.png</v>
      </c>
      <c r="W294" s="78">
        <v>44814.958969907406</v>
      </c>
      <c r="X294" s="84">
        <v>44814</v>
      </c>
      <c r="Y294" s="81" t="s">
        <v>1181</v>
      </c>
      <c r="Z294" s="79" t="str">
        <f>HYPERLINK("https://twitter.com/reinbow05061512/status/1568736306217517062")</f>
        <v>https://twitter.com/reinbow05061512/status/1568736306217517062</v>
      </c>
      <c r="AA294" s="76"/>
      <c r="AB294" s="76"/>
      <c r="AC294" s="81" t="s">
        <v>1517</v>
      </c>
      <c r="AD294" s="76"/>
      <c r="AE294" s="76" t="b">
        <v>0</v>
      </c>
      <c r="AF294" s="76">
        <v>0</v>
      </c>
      <c r="AG294" s="81" t="s">
        <v>1674</v>
      </c>
      <c r="AH294" s="76" t="b">
        <v>0</v>
      </c>
      <c r="AI294" s="76" t="s">
        <v>1772</v>
      </c>
      <c r="AJ294" s="76"/>
      <c r="AK294" s="81" t="s">
        <v>1674</v>
      </c>
      <c r="AL294" s="76" t="b">
        <v>0</v>
      </c>
      <c r="AM294" s="76">
        <v>0</v>
      </c>
      <c r="AN294" s="81" t="s">
        <v>1674</v>
      </c>
      <c r="AO294" s="81" t="s">
        <v>1811</v>
      </c>
      <c r="AP294" s="76" t="b">
        <v>0</v>
      </c>
      <c r="AQ294" s="81" t="s">
        <v>1517</v>
      </c>
      <c r="AR294" s="76" t="s">
        <v>219</v>
      </c>
      <c r="AS294" s="76">
        <v>0</v>
      </c>
      <c r="AT294" s="76">
        <v>0</v>
      </c>
      <c r="AU294" s="76"/>
      <c r="AV294" s="76"/>
      <c r="AW294" s="76"/>
      <c r="AX294" s="76"/>
      <c r="AY294" s="76"/>
      <c r="AZ294" s="76"/>
      <c r="BA294" s="76"/>
      <c r="BB294" s="76"/>
      <c r="BC294">
        <v>43</v>
      </c>
      <c r="BD294" s="75" t="str">
        <f>REPLACE(INDEX(GroupVertices[Group],MATCH(Edges25[[#This Row],[Vertex 1]],GroupVertices[Vertex],0)),1,1,"")</f>
        <v>2</v>
      </c>
      <c r="BE294" s="75" t="str">
        <f>REPLACE(INDEX(GroupVertices[Group],MATCH(Edges25[[#This Row],[Vertex 2]],GroupVertices[Vertex],0)),1,1,"")</f>
        <v>2</v>
      </c>
      <c r="BF294" s="45">
        <v>0</v>
      </c>
      <c r="BG294" s="46">
        <v>0</v>
      </c>
      <c r="BH294" s="45">
        <v>0</v>
      </c>
      <c r="BI294" s="46">
        <v>0</v>
      </c>
      <c r="BJ294" s="45">
        <v>0</v>
      </c>
      <c r="BK294" s="46">
        <v>0</v>
      </c>
      <c r="BL294" s="45">
        <v>16</v>
      </c>
      <c r="BM294" s="46">
        <v>100</v>
      </c>
      <c r="BN294" s="45">
        <v>16</v>
      </c>
    </row>
    <row r="295" spans="1:66" ht="15">
      <c r="A295" s="61" t="s">
        <v>423</v>
      </c>
      <c r="B295" s="61" t="s">
        <v>423</v>
      </c>
      <c r="C295" s="62"/>
      <c r="D295" s="63"/>
      <c r="E295" s="62"/>
      <c r="F295" s="65"/>
      <c r="G295" s="62"/>
      <c r="H295" s="66"/>
      <c r="I295" s="67"/>
      <c r="J295" s="67"/>
      <c r="K295" s="31" t="s">
        <v>65</v>
      </c>
      <c r="L295" s="68">
        <v>412</v>
      </c>
      <c r="M295" s="68"/>
      <c r="N295" s="69"/>
      <c r="O295" s="76" t="s">
        <v>219</v>
      </c>
      <c r="P295" s="78">
        <v>44814.959178240744</v>
      </c>
      <c r="Q295" s="76" t="s">
        <v>762</v>
      </c>
      <c r="R295" s="79" t="str">
        <f>HYPERLINK("https://ameblo.jp/historical-gay/entry-10222227037.html")</f>
        <v>https://ameblo.jp/historical-gay/entry-10222227037.html</v>
      </c>
      <c r="S295" s="76" t="s">
        <v>791</v>
      </c>
      <c r="T295" s="81" t="s">
        <v>877</v>
      </c>
      <c r="U295" s="76"/>
      <c r="V295" s="79" t="str">
        <f>HYPERLINK("https://abs.twimg.com/sticky/default_profile_images/default_profile_normal.png")</f>
        <v>https://abs.twimg.com/sticky/default_profile_images/default_profile_normal.png</v>
      </c>
      <c r="W295" s="78">
        <v>44814.959178240744</v>
      </c>
      <c r="X295" s="84">
        <v>44814</v>
      </c>
      <c r="Y295" s="81" t="s">
        <v>1182</v>
      </c>
      <c r="Z295" s="79" t="str">
        <f>HYPERLINK("https://twitter.com/reinbow05061512/status/1568736380494413824")</f>
        <v>https://twitter.com/reinbow05061512/status/1568736380494413824</v>
      </c>
      <c r="AA295" s="76"/>
      <c r="AB295" s="76"/>
      <c r="AC295" s="81" t="s">
        <v>1518</v>
      </c>
      <c r="AD295" s="76"/>
      <c r="AE295" s="76" t="b">
        <v>0</v>
      </c>
      <c r="AF295" s="76">
        <v>0</v>
      </c>
      <c r="AG295" s="81" t="s">
        <v>1674</v>
      </c>
      <c r="AH295" s="76" t="b">
        <v>0</v>
      </c>
      <c r="AI295" s="76" t="s">
        <v>1773</v>
      </c>
      <c r="AJ295" s="76"/>
      <c r="AK295" s="81" t="s">
        <v>1674</v>
      </c>
      <c r="AL295" s="76" t="b">
        <v>0</v>
      </c>
      <c r="AM295" s="76">
        <v>0</v>
      </c>
      <c r="AN295" s="81" t="s">
        <v>1674</v>
      </c>
      <c r="AO295" s="81" t="s">
        <v>1811</v>
      </c>
      <c r="AP295" s="76" t="b">
        <v>0</v>
      </c>
      <c r="AQ295" s="81" t="s">
        <v>1518</v>
      </c>
      <c r="AR295" s="76" t="s">
        <v>219</v>
      </c>
      <c r="AS295" s="76">
        <v>0</v>
      </c>
      <c r="AT295" s="76">
        <v>0</v>
      </c>
      <c r="AU295" s="76"/>
      <c r="AV295" s="76"/>
      <c r="AW295" s="76"/>
      <c r="AX295" s="76"/>
      <c r="AY295" s="76"/>
      <c r="AZ295" s="76"/>
      <c r="BA295" s="76"/>
      <c r="BB295" s="76"/>
      <c r="BC295">
        <v>43</v>
      </c>
      <c r="BD295" s="75" t="str">
        <f>REPLACE(INDEX(GroupVertices[Group],MATCH(Edges25[[#This Row],[Vertex 1]],GroupVertices[Vertex],0)),1,1,"")</f>
        <v>2</v>
      </c>
      <c r="BE295" s="75" t="str">
        <f>REPLACE(INDEX(GroupVertices[Group],MATCH(Edges25[[#This Row],[Vertex 2]],GroupVertices[Vertex],0)),1,1,"")</f>
        <v>2</v>
      </c>
      <c r="BF295" s="45">
        <v>0</v>
      </c>
      <c r="BG295" s="46">
        <v>0</v>
      </c>
      <c r="BH295" s="45">
        <v>0</v>
      </c>
      <c r="BI295" s="46">
        <v>0</v>
      </c>
      <c r="BJ295" s="45">
        <v>0</v>
      </c>
      <c r="BK295" s="46">
        <v>0</v>
      </c>
      <c r="BL295" s="45">
        <v>13</v>
      </c>
      <c r="BM295" s="46">
        <v>100</v>
      </c>
      <c r="BN295" s="45">
        <v>13</v>
      </c>
    </row>
    <row r="296" spans="1:66" ht="15">
      <c r="A296" s="61" t="s">
        <v>423</v>
      </c>
      <c r="B296" s="61" t="s">
        <v>423</v>
      </c>
      <c r="C296" s="62"/>
      <c r="D296" s="63"/>
      <c r="E296" s="62"/>
      <c r="F296" s="65"/>
      <c r="G296" s="62"/>
      <c r="H296" s="66"/>
      <c r="I296" s="67"/>
      <c r="J296" s="67"/>
      <c r="K296" s="31" t="s">
        <v>65</v>
      </c>
      <c r="L296" s="68">
        <v>413</v>
      </c>
      <c r="M296" s="68"/>
      <c r="N296" s="69"/>
      <c r="O296" s="76" t="s">
        <v>219</v>
      </c>
      <c r="P296" s="78">
        <v>44815.62579861111</v>
      </c>
      <c r="Q296" s="76" t="s">
        <v>756</v>
      </c>
      <c r="R296" s="79" t="str">
        <f>HYPERLINK("https://www.youtube.com/watch?v=ejG32fwnsV4&amp;feature=youtu.be")</f>
        <v>https://www.youtube.com/watch?v=ejG32fwnsV4&amp;feature=youtu.be</v>
      </c>
      <c r="S296" s="76" t="s">
        <v>790</v>
      </c>
      <c r="T296" s="81" t="s">
        <v>875</v>
      </c>
      <c r="U296" s="76"/>
      <c r="V296" s="79" t="str">
        <f>HYPERLINK("https://abs.twimg.com/sticky/default_profile_images/default_profile_normal.png")</f>
        <v>https://abs.twimg.com/sticky/default_profile_images/default_profile_normal.png</v>
      </c>
      <c r="W296" s="78">
        <v>44815.62579861111</v>
      </c>
      <c r="X296" s="84">
        <v>44815</v>
      </c>
      <c r="Y296" s="81" t="s">
        <v>1183</v>
      </c>
      <c r="Z296" s="79" t="str">
        <f>HYPERLINK("https://twitter.com/reinbow05061512/status/1568977956734734338")</f>
        <v>https://twitter.com/reinbow05061512/status/1568977956734734338</v>
      </c>
      <c r="AA296" s="76"/>
      <c r="AB296" s="76"/>
      <c r="AC296" s="81" t="s">
        <v>1519</v>
      </c>
      <c r="AD296" s="76"/>
      <c r="AE296" s="76" t="b">
        <v>0</v>
      </c>
      <c r="AF296" s="76">
        <v>0</v>
      </c>
      <c r="AG296" s="81" t="s">
        <v>1674</v>
      </c>
      <c r="AH296" s="76" t="b">
        <v>0</v>
      </c>
      <c r="AI296" s="76" t="s">
        <v>1772</v>
      </c>
      <c r="AJ296" s="76"/>
      <c r="AK296" s="81" t="s">
        <v>1674</v>
      </c>
      <c r="AL296" s="76" t="b">
        <v>0</v>
      </c>
      <c r="AM296" s="76">
        <v>0</v>
      </c>
      <c r="AN296" s="81" t="s">
        <v>1674</v>
      </c>
      <c r="AO296" s="81" t="s">
        <v>1811</v>
      </c>
      <c r="AP296" s="76" t="b">
        <v>0</v>
      </c>
      <c r="AQ296" s="81" t="s">
        <v>1519</v>
      </c>
      <c r="AR296" s="76" t="s">
        <v>219</v>
      </c>
      <c r="AS296" s="76">
        <v>0</v>
      </c>
      <c r="AT296" s="76">
        <v>0</v>
      </c>
      <c r="AU296" s="76"/>
      <c r="AV296" s="76"/>
      <c r="AW296" s="76"/>
      <c r="AX296" s="76"/>
      <c r="AY296" s="76"/>
      <c r="AZ296" s="76"/>
      <c r="BA296" s="76"/>
      <c r="BB296" s="76"/>
      <c r="BC296">
        <v>43</v>
      </c>
      <c r="BD296" s="75" t="str">
        <f>REPLACE(INDEX(GroupVertices[Group],MATCH(Edges25[[#This Row],[Vertex 1]],GroupVertices[Vertex],0)),1,1,"")</f>
        <v>2</v>
      </c>
      <c r="BE296" s="75" t="str">
        <f>REPLACE(INDEX(GroupVertices[Group],MATCH(Edges25[[#This Row],[Vertex 2]],GroupVertices[Vertex],0)),1,1,"")</f>
        <v>2</v>
      </c>
      <c r="BF296" s="45">
        <v>1</v>
      </c>
      <c r="BG296" s="46">
        <v>7.142857142857143</v>
      </c>
      <c r="BH296" s="45">
        <v>0</v>
      </c>
      <c r="BI296" s="46">
        <v>0</v>
      </c>
      <c r="BJ296" s="45">
        <v>0</v>
      </c>
      <c r="BK296" s="46">
        <v>0</v>
      </c>
      <c r="BL296" s="45">
        <v>13</v>
      </c>
      <c r="BM296" s="46">
        <v>92.85714285714286</v>
      </c>
      <c r="BN296" s="45">
        <v>14</v>
      </c>
    </row>
    <row r="297" spans="1:66" ht="15">
      <c r="A297" s="61" t="s">
        <v>423</v>
      </c>
      <c r="B297" s="61" t="s">
        <v>423</v>
      </c>
      <c r="C297" s="62"/>
      <c r="D297" s="63"/>
      <c r="E297" s="62"/>
      <c r="F297" s="65"/>
      <c r="G297" s="62"/>
      <c r="H297" s="66"/>
      <c r="I297" s="67"/>
      <c r="J297" s="67"/>
      <c r="K297" s="31" t="s">
        <v>65</v>
      </c>
      <c r="L297" s="68">
        <v>414</v>
      </c>
      <c r="M297" s="68"/>
      <c r="N297" s="69"/>
      <c r="O297" s="76" t="s">
        <v>219</v>
      </c>
      <c r="P297" s="78">
        <v>44815.62584490741</v>
      </c>
      <c r="Q297" s="76" t="s">
        <v>755</v>
      </c>
      <c r="R297" s="79" t="str">
        <f>HYPERLINK("https://www.youtube.com/watch?v=V75pj41VFGk")</f>
        <v>https://www.youtube.com/watch?v=V75pj41VFGk</v>
      </c>
      <c r="S297" s="76" t="s">
        <v>790</v>
      </c>
      <c r="T297" s="81" t="s">
        <v>875</v>
      </c>
      <c r="U297" s="76"/>
      <c r="V297" s="79" t="str">
        <f>HYPERLINK("https://abs.twimg.com/sticky/default_profile_images/default_profile_normal.png")</f>
        <v>https://abs.twimg.com/sticky/default_profile_images/default_profile_normal.png</v>
      </c>
      <c r="W297" s="78">
        <v>44815.62584490741</v>
      </c>
      <c r="X297" s="84">
        <v>44815</v>
      </c>
      <c r="Y297" s="81" t="s">
        <v>1184</v>
      </c>
      <c r="Z297" s="79" t="str">
        <f>HYPERLINK("https://twitter.com/reinbow05061512/status/1568977973826523136")</f>
        <v>https://twitter.com/reinbow05061512/status/1568977973826523136</v>
      </c>
      <c r="AA297" s="76"/>
      <c r="AB297" s="76"/>
      <c r="AC297" s="81" t="s">
        <v>1520</v>
      </c>
      <c r="AD297" s="76"/>
      <c r="AE297" s="76" t="b">
        <v>0</v>
      </c>
      <c r="AF297" s="76">
        <v>0</v>
      </c>
      <c r="AG297" s="81" t="s">
        <v>1674</v>
      </c>
      <c r="AH297" s="76" t="b">
        <v>0</v>
      </c>
      <c r="AI297" s="76" t="s">
        <v>1772</v>
      </c>
      <c r="AJ297" s="76"/>
      <c r="AK297" s="81" t="s">
        <v>1674</v>
      </c>
      <c r="AL297" s="76" t="b">
        <v>0</v>
      </c>
      <c r="AM297" s="76">
        <v>0</v>
      </c>
      <c r="AN297" s="81" t="s">
        <v>1674</v>
      </c>
      <c r="AO297" s="81" t="s">
        <v>1811</v>
      </c>
      <c r="AP297" s="76" t="b">
        <v>0</v>
      </c>
      <c r="AQ297" s="81" t="s">
        <v>1520</v>
      </c>
      <c r="AR297" s="76" t="s">
        <v>219</v>
      </c>
      <c r="AS297" s="76">
        <v>0</v>
      </c>
      <c r="AT297" s="76">
        <v>0</v>
      </c>
      <c r="AU297" s="76"/>
      <c r="AV297" s="76"/>
      <c r="AW297" s="76"/>
      <c r="AX297" s="76"/>
      <c r="AY297" s="76"/>
      <c r="AZ297" s="76"/>
      <c r="BA297" s="76"/>
      <c r="BB297" s="76"/>
      <c r="BC297">
        <v>43</v>
      </c>
      <c r="BD297" s="75" t="str">
        <f>REPLACE(INDEX(GroupVertices[Group],MATCH(Edges25[[#This Row],[Vertex 1]],GroupVertices[Vertex],0)),1,1,"")</f>
        <v>2</v>
      </c>
      <c r="BE297" s="75" t="str">
        <f>REPLACE(INDEX(GroupVertices[Group],MATCH(Edges25[[#This Row],[Vertex 2]],GroupVertices[Vertex],0)),1,1,"")</f>
        <v>2</v>
      </c>
      <c r="BF297" s="45">
        <v>0</v>
      </c>
      <c r="BG297" s="46">
        <v>0</v>
      </c>
      <c r="BH297" s="45">
        <v>0</v>
      </c>
      <c r="BI297" s="46">
        <v>0</v>
      </c>
      <c r="BJ297" s="45">
        <v>0</v>
      </c>
      <c r="BK297" s="46">
        <v>0</v>
      </c>
      <c r="BL297" s="45">
        <v>19</v>
      </c>
      <c r="BM297" s="46">
        <v>100</v>
      </c>
      <c r="BN297" s="45">
        <v>19</v>
      </c>
    </row>
    <row r="298" spans="1:66" ht="15">
      <c r="A298" s="61" t="s">
        <v>423</v>
      </c>
      <c r="B298" s="61" t="s">
        <v>423</v>
      </c>
      <c r="C298" s="62"/>
      <c r="D298" s="63"/>
      <c r="E298" s="62"/>
      <c r="F298" s="65"/>
      <c r="G298" s="62"/>
      <c r="H298" s="66"/>
      <c r="I298" s="67"/>
      <c r="J298" s="67"/>
      <c r="K298" s="31" t="s">
        <v>65</v>
      </c>
      <c r="L298" s="68">
        <v>415</v>
      </c>
      <c r="M298" s="68"/>
      <c r="N298" s="69"/>
      <c r="O298" s="76" t="s">
        <v>219</v>
      </c>
      <c r="P298" s="78">
        <v>44815.771261574075</v>
      </c>
      <c r="Q298" s="76" t="s">
        <v>757</v>
      </c>
      <c r="R298" s="79" t="str">
        <f>HYPERLINK("https://www.youtube.com/watch?v=PMOHqsUyk7Y&amp;feature=youtu.be")</f>
        <v>https://www.youtube.com/watch?v=PMOHqsUyk7Y&amp;feature=youtu.be</v>
      </c>
      <c r="S298" s="76" t="s">
        <v>790</v>
      </c>
      <c r="T298" s="81" t="s">
        <v>876</v>
      </c>
      <c r="U298" s="76"/>
      <c r="V298" s="79" t="str">
        <f>HYPERLINK("https://abs.twimg.com/sticky/default_profile_images/default_profile_normal.png")</f>
        <v>https://abs.twimg.com/sticky/default_profile_images/default_profile_normal.png</v>
      </c>
      <c r="W298" s="78">
        <v>44815.771261574075</v>
      </c>
      <c r="X298" s="84">
        <v>44815</v>
      </c>
      <c r="Y298" s="81" t="s">
        <v>1185</v>
      </c>
      <c r="Z298" s="79" t="str">
        <f>HYPERLINK("https://twitter.com/reinbow05061512/status/1569030670688608256")</f>
        <v>https://twitter.com/reinbow05061512/status/1569030670688608256</v>
      </c>
      <c r="AA298" s="76"/>
      <c r="AB298" s="76"/>
      <c r="AC298" s="81" t="s">
        <v>1521</v>
      </c>
      <c r="AD298" s="76"/>
      <c r="AE298" s="76" t="b">
        <v>0</v>
      </c>
      <c r="AF298" s="76">
        <v>0</v>
      </c>
      <c r="AG298" s="81" t="s">
        <v>1674</v>
      </c>
      <c r="AH298" s="76" t="b">
        <v>0</v>
      </c>
      <c r="AI298" s="76" t="s">
        <v>1773</v>
      </c>
      <c r="AJ298" s="76"/>
      <c r="AK298" s="81" t="s">
        <v>1674</v>
      </c>
      <c r="AL298" s="76" t="b">
        <v>0</v>
      </c>
      <c r="AM298" s="76">
        <v>0</v>
      </c>
      <c r="AN298" s="81" t="s">
        <v>1674</v>
      </c>
      <c r="AO298" s="81" t="s">
        <v>1811</v>
      </c>
      <c r="AP298" s="76" t="b">
        <v>0</v>
      </c>
      <c r="AQ298" s="81" t="s">
        <v>1521</v>
      </c>
      <c r="AR298" s="76" t="s">
        <v>219</v>
      </c>
      <c r="AS298" s="76">
        <v>0</v>
      </c>
      <c r="AT298" s="76">
        <v>0</v>
      </c>
      <c r="AU298" s="76"/>
      <c r="AV298" s="76"/>
      <c r="AW298" s="76"/>
      <c r="AX298" s="76"/>
      <c r="AY298" s="76"/>
      <c r="AZ298" s="76"/>
      <c r="BA298" s="76"/>
      <c r="BB298" s="76"/>
      <c r="BC298">
        <v>43</v>
      </c>
      <c r="BD298" s="75" t="str">
        <f>REPLACE(INDEX(GroupVertices[Group],MATCH(Edges25[[#This Row],[Vertex 1]],GroupVertices[Vertex],0)),1,1,"")</f>
        <v>2</v>
      </c>
      <c r="BE298" s="75" t="str">
        <f>REPLACE(INDEX(GroupVertices[Group],MATCH(Edges25[[#This Row],[Vertex 2]],GroupVertices[Vertex],0)),1,1,"")</f>
        <v>2</v>
      </c>
      <c r="BF298" s="45">
        <v>0</v>
      </c>
      <c r="BG298" s="46">
        <v>0</v>
      </c>
      <c r="BH298" s="45">
        <v>0</v>
      </c>
      <c r="BI298" s="46">
        <v>0</v>
      </c>
      <c r="BJ298" s="45">
        <v>0</v>
      </c>
      <c r="BK298" s="46">
        <v>0</v>
      </c>
      <c r="BL298" s="45">
        <v>13</v>
      </c>
      <c r="BM298" s="46">
        <v>100</v>
      </c>
      <c r="BN298" s="45">
        <v>13</v>
      </c>
    </row>
    <row r="299" spans="1:66" ht="15">
      <c r="A299" s="61" t="s">
        <v>423</v>
      </c>
      <c r="B299" s="61" t="s">
        <v>423</v>
      </c>
      <c r="C299" s="62"/>
      <c r="D299" s="63"/>
      <c r="E299" s="62"/>
      <c r="F299" s="65"/>
      <c r="G299" s="62"/>
      <c r="H299" s="66"/>
      <c r="I299" s="67"/>
      <c r="J299" s="67"/>
      <c r="K299" s="31" t="s">
        <v>65</v>
      </c>
      <c r="L299" s="68">
        <v>416</v>
      </c>
      <c r="M299" s="68"/>
      <c r="N299" s="69"/>
      <c r="O299" s="76" t="s">
        <v>219</v>
      </c>
      <c r="P299" s="78">
        <v>44815.95869212963</v>
      </c>
      <c r="Q299" s="76" t="s">
        <v>759</v>
      </c>
      <c r="R299" s="79" t="str">
        <f>HYPERLINK("https://www.youtube.com/watch?v=uHIVevq290k&amp;feature=youtu.be")</f>
        <v>https://www.youtube.com/watch?v=uHIVevq290k&amp;feature=youtu.be</v>
      </c>
      <c r="S299" s="76" t="s">
        <v>790</v>
      </c>
      <c r="T299" s="81" t="s">
        <v>878</v>
      </c>
      <c r="U299" s="76"/>
      <c r="V299" s="79" t="str">
        <f>HYPERLINK("https://abs.twimg.com/sticky/default_profile_images/default_profile_normal.png")</f>
        <v>https://abs.twimg.com/sticky/default_profile_images/default_profile_normal.png</v>
      </c>
      <c r="W299" s="78">
        <v>44815.95869212963</v>
      </c>
      <c r="X299" s="84">
        <v>44815</v>
      </c>
      <c r="Y299" s="81" t="s">
        <v>1186</v>
      </c>
      <c r="Z299" s="79" t="str">
        <f>HYPERLINK("https://twitter.com/reinbow05061512/status/1569098591280500738")</f>
        <v>https://twitter.com/reinbow05061512/status/1569098591280500738</v>
      </c>
      <c r="AA299" s="76"/>
      <c r="AB299" s="76"/>
      <c r="AC299" s="81" t="s">
        <v>1522</v>
      </c>
      <c r="AD299" s="76"/>
      <c r="AE299" s="76" t="b">
        <v>0</v>
      </c>
      <c r="AF299" s="76">
        <v>0</v>
      </c>
      <c r="AG299" s="81" t="s">
        <v>1674</v>
      </c>
      <c r="AH299" s="76" t="b">
        <v>0</v>
      </c>
      <c r="AI299" s="76" t="s">
        <v>1772</v>
      </c>
      <c r="AJ299" s="76"/>
      <c r="AK299" s="81" t="s">
        <v>1674</v>
      </c>
      <c r="AL299" s="76" t="b">
        <v>0</v>
      </c>
      <c r="AM299" s="76">
        <v>0</v>
      </c>
      <c r="AN299" s="81" t="s">
        <v>1674</v>
      </c>
      <c r="AO299" s="81" t="s">
        <v>1811</v>
      </c>
      <c r="AP299" s="76" t="b">
        <v>0</v>
      </c>
      <c r="AQ299" s="81" t="s">
        <v>1522</v>
      </c>
      <c r="AR299" s="76" t="s">
        <v>219</v>
      </c>
      <c r="AS299" s="76">
        <v>0</v>
      </c>
      <c r="AT299" s="76">
        <v>0</v>
      </c>
      <c r="AU299" s="76"/>
      <c r="AV299" s="76"/>
      <c r="AW299" s="76"/>
      <c r="AX299" s="76"/>
      <c r="AY299" s="76"/>
      <c r="AZ299" s="76"/>
      <c r="BA299" s="76"/>
      <c r="BB299" s="76"/>
      <c r="BC299">
        <v>43</v>
      </c>
      <c r="BD299" s="75" t="str">
        <f>REPLACE(INDEX(GroupVertices[Group],MATCH(Edges25[[#This Row],[Vertex 1]],GroupVertices[Vertex],0)),1,1,"")</f>
        <v>2</v>
      </c>
      <c r="BE299" s="75" t="str">
        <f>REPLACE(INDEX(GroupVertices[Group],MATCH(Edges25[[#This Row],[Vertex 2]],GroupVertices[Vertex],0)),1,1,"")</f>
        <v>2</v>
      </c>
      <c r="BF299" s="45">
        <v>0</v>
      </c>
      <c r="BG299" s="46">
        <v>0</v>
      </c>
      <c r="BH299" s="45">
        <v>0</v>
      </c>
      <c r="BI299" s="46">
        <v>0</v>
      </c>
      <c r="BJ299" s="45">
        <v>0</v>
      </c>
      <c r="BK299" s="46">
        <v>0</v>
      </c>
      <c r="BL299" s="45">
        <v>16</v>
      </c>
      <c r="BM299" s="46">
        <v>100</v>
      </c>
      <c r="BN299" s="45">
        <v>16</v>
      </c>
    </row>
    <row r="300" spans="1:66" ht="15">
      <c r="A300" s="61" t="s">
        <v>423</v>
      </c>
      <c r="B300" s="61" t="s">
        <v>423</v>
      </c>
      <c r="C300" s="62"/>
      <c r="D300" s="63"/>
      <c r="E300" s="62"/>
      <c r="F300" s="65"/>
      <c r="G300" s="62"/>
      <c r="H300" s="66"/>
      <c r="I300" s="67"/>
      <c r="J300" s="67"/>
      <c r="K300" s="31" t="s">
        <v>65</v>
      </c>
      <c r="L300" s="68">
        <v>417</v>
      </c>
      <c r="M300" s="68"/>
      <c r="N300" s="69"/>
      <c r="O300" s="76" t="s">
        <v>219</v>
      </c>
      <c r="P300" s="78">
        <v>44815.95875</v>
      </c>
      <c r="Q300" s="76" t="s">
        <v>758</v>
      </c>
      <c r="R300" s="79" t="str">
        <f>HYPERLINK("https://ameblo.jp/historical-gay/entry-10222227037.html")</f>
        <v>https://ameblo.jp/historical-gay/entry-10222227037.html</v>
      </c>
      <c r="S300" s="76" t="s">
        <v>791</v>
      </c>
      <c r="T300" s="81" t="s">
        <v>877</v>
      </c>
      <c r="U300" s="76"/>
      <c r="V300" s="79" t="str">
        <f>HYPERLINK("https://abs.twimg.com/sticky/default_profile_images/default_profile_normal.png")</f>
        <v>https://abs.twimg.com/sticky/default_profile_images/default_profile_normal.png</v>
      </c>
      <c r="W300" s="78">
        <v>44815.95875</v>
      </c>
      <c r="X300" s="84">
        <v>44815</v>
      </c>
      <c r="Y300" s="81" t="s">
        <v>1187</v>
      </c>
      <c r="Z300" s="79" t="str">
        <f>HYPERLINK("https://twitter.com/reinbow05061512/status/1569098613040488448")</f>
        <v>https://twitter.com/reinbow05061512/status/1569098613040488448</v>
      </c>
      <c r="AA300" s="76"/>
      <c r="AB300" s="76"/>
      <c r="AC300" s="81" t="s">
        <v>1523</v>
      </c>
      <c r="AD300" s="76"/>
      <c r="AE300" s="76" t="b">
        <v>0</v>
      </c>
      <c r="AF300" s="76">
        <v>0</v>
      </c>
      <c r="AG300" s="81" t="s">
        <v>1674</v>
      </c>
      <c r="AH300" s="76" t="b">
        <v>0</v>
      </c>
      <c r="AI300" s="76" t="s">
        <v>1773</v>
      </c>
      <c r="AJ300" s="76"/>
      <c r="AK300" s="81" t="s">
        <v>1674</v>
      </c>
      <c r="AL300" s="76" t="b">
        <v>0</v>
      </c>
      <c r="AM300" s="76">
        <v>0</v>
      </c>
      <c r="AN300" s="81" t="s">
        <v>1674</v>
      </c>
      <c r="AO300" s="81" t="s">
        <v>1811</v>
      </c>
      <c r="AP300" s="76" t="b">
        <v>0</v>
      </c>
      <c r="AQ300" s="81" t="s">
        <v>1523</v>
      </c>
      <c r="AR300" s="76" t="s">
        <v>219</v>
      </c>
      <c r="AS300" s="76">
        <v>0</v>
      </c>
      <c r="AT300" s="76">
        <v>0</v>
      </c>
      <c r="AU300" s="76"/>
      <c r="AV300" s="76"/>
      <c r="AW300" s="76"/>
      <c r="AX300" s="76"/>
      <c r="AY300" s="76"/>
      <c r="AZ300" s="76"/>
      <c r="BA300" s="76"/>
      <c r="BB300" s="76"/>
      <c r="BC300">
        <v>43</v>
      </c>
      <c r="BD300" s="75" t="str">
        <f>REPLACE(INDEX(GroupVertices[Group],MATCH(Edges25[[#This Row],[Vertex 1]],GroupVertices[Vertex],0)),1,1,"")</f>
        <v>2</v>
      </c>
      <c r="BE300" s="75" t="str">
        <f>REPLACE(INDEX(GroupVertices[Group],MATCH(Edges25[[#This Row],[Vertex 2]],GroupVertices[Vertex],0)),1,1,"")</f>
        <v>2</v>
      </c>
      <c r="BF300" s="45">
        <v>0</v>
      </c>
      <c r="BG300" s="46">
        <v>0</v>
      </c>
      <c r="BH300" s="45">
        <v>0</v>
      </c>
      <c r="BI300" s="46">
        <v>0</v>
      </c>
      <c r="BJ300" s="45">
        <v>0</v>
      </c>
      <c r="BK300" s="46">
        <v>0</v>
      </c>
      <c r="BL300" s="45">
        <v>13</v>
      </c>
      <c r="BM300" s="46">
        <v>100</v>
      </c>
      <c r="BN300" s="45">
        <v>13</v>
      </c>
    </row>
    <row r="301" spans="1:66" ht="15">
      <c r="A301" s="61" t="s">
        <v>423</v>
      </c>
      <c r="B301" s="61" t="s">
        <v>423</v>
      </c>
      <c r="C301" s="62"/>
      <c r="D301" s="63"/>
      <c r="E301" s="62"/>
      <c r="F301" s="65"/>
      <c r="G301" s="62"/>
      <c r="H301" s="66"/>
      <c r="I301" s="67"/>
      <c r="J301" s="67"/>
      <c r="K301" s="31" t="s">
        <v>65</v>
      </c>
      <c r="L301" s="68">
        <v>418</v>
      </c>
      <c r="M301" s="68"/>
      <c r="N301" s="69"/>
      <c r="O301" s="76" t="s">
        <v>219</v>
      </c>
      <c r="P301" s="78">
        <v>44816.62542824074</v>
      </c>
      <c r="Q301" s="76" t="s">
        <v>756</v>
      </c>
      <c r="R301" s="79" t="str">
        <f>HYPERLINK("https://www.youtube.com/watch?v=ejG32fwnsV4&amp;feature=youtu.be")</f>
        <v>https://www.youtube.com/watch?v=ejG32fwnsV4&amp;feature=youtu.be</v>
      </c>
      <c r="S301" s="76" t="s">
        <v>790</v>
      </c>
      <c r="T301" s="81" t="s">
        <v>875</v>
      </c>
      <c r="U301" s="76"/>
      <c r="V301" s="79" t="str">
        <f>HYPERLINK("https://abs.twimg.com/sticky/default_profile_images/default_profile_normal.png")</f>
        <v>https://abs.twimg.com/sticky/default_profile_images/default_profile_normal.png</v>
      </c>
      <c r="W301" s="78">
        <v>44816.62542824074</v>
      </c>
      <c r="X301" s="84">
        <v>44816</v>
      </c>
      <c r="Y301" s="81" t="s">
        <v>1188</v>
      </c>
      <c r="Z301" s="79" t="str">
        <f>HYPERLINK("https://twitter.com/reinbow05061512/status/1569340209707339776")</f>
        <v>https://twitter.com/reinbow05061512/status/1569340209707339776</v>
      </c>
      <c r="AA301" s="76"/>
      <c r="AB301" s="76"/>
      <c r="AC301" s="81" t="s">
        <v>1524</v>
      </c>
      <c r="AD301" s="76"/>
      <c r="AE301" s="76" t="b">
        <v>0</v>
      </c>
      <c r="AF301" s="76">
        <v>0</v>
      </c>
      <c r="AG301" s="81" t="s">
        <v>1674</v>
      </c>
      <c r="AH301" s="76" t="b">
        <v>0</v>
      </c>
      <c r="AI301" s="76" t="s">
        <v>1772</v>
      </c>
      <c r="AJ301" s="76"/>
      <c r="AK301" s="81" t="s">
        <v>1674</v>
      </c>
      <c r="AL301" s="76" t="b">
        <v>0</v>
      </c>
      <c r="AM301" s="76">
        <v>0</v>
      </c>
      <c r="AN301" s="81" t="s">
        <v>1674</v>
      </c>
      <c r="AO301" s="81" t="s">
        <v>1811</v>
      </c>
      <c r="AP301" s="76" t="b">
        <v>0</v>
      </c>
      <c r="AQ301" s="81" t="s">
        <v>1524</v>
      </c>
      <c r="AR301" s="76" t="s">
        <v>219</v>
      </c>
      <c r="AS301" s="76">
        <v>0</v>
      </c>
      <c r="AT301" s="76">
        <v>0</v>
      </c>
      <c r="AU301" s="76"/>
      <c r="AV301" s="76"/>
      <c r="AW301" s="76"/>
      <c r="AX301" s="76"/>
      <c r="AY301" s="76"/>
      <c r="AZ301" s="76"/>
      <c r="BA301" s="76"/>
      <c r="BB301" s="76"/>
      <c r="BC301">
        <v>43</v>
      </c>
      <c r="BD301" s="75" t="str">
        <f>REPLACE(INDEX(GroupVertices[Group],MATCH(Edges25[[#This Row],[Vertex 1]],GroupVertices[Vertex],0)),1,1,"")</f>
        <v>2</v>
      </c>
      <c r="BE301" s="75" t="str">
        <f>REPLACE(INDEX(GroupVertices[Group],MATCH(Edges25[[#This Row],[Vertex 2]],GroupVertices[Vertex],0)),1,1,"")</f>
        <v>2</v>
      </c>
      <c r="BF301" s="45">
        <v>1</v>
      </c>
      <c r="BG301" s="46">
        <v>7.142857142857143</v>
      </c>
      <c r="BH301" s="45">
        <v>0</v>
      </c>
      <c r="BI301" s="46">
        <v>0</v>
      </c>
      <c r="BJ301" s="45">
        <v>0</v>
      </c>
      <c r="BK301" s="46">
        <v>0</v>
      </c>
      <c r="BL301" s="45">
        <v>13</v>
      </c>
      <c r="BM301" s="46">
        <v>92.85714285714286</v>
      </c>
      <c r="BN301" s="45">
        <v>14</v>
      </c>
    </row>
    <row r="302" spans="1:66" ht="15">
      <c r="A302" s="61" t="s">
        <v>423</v>
      </c>
      <c r="B302" s="61" t="s">
        <v>423</v>
      </c>
      <c r="C302" s="62"/>
      <c r="D302" s="63"/>
      <c r="E302" s="62"/>
      <c r="F302" s="65"/>
      <c r="G302" s="62"/>
      <c r="H302" s="66"/>
      <c r="I302" s="67"/>
      <c r="J302" s="67"/>
      <c r="K302" s="31" t="s">
        <v>65</v>
      </c>
      <c r="L302" s="68">
        <v>419</v>
      </c>
      <c r="M302" s="68"/>
      <c r="N302" s="69"/>
      <c r="O302" s="76" t="s">
        <v>219</v>
      </c>
      <c r="P302" s="78">
        <v>44816.625625</v>
      </c>
      <c r="Q302" s="76" t="s">
        <v>755</v>
      </c>
      <c r="R302" s="79" t="str">
        <f>HYPERLINK("https://www.youtube.com/watch?v=V75pj41VFGk")</f>
        <v>https://www.youtube.com/watch?v=V75pj41VFGk</v>
      </c>
      <c r="S302" s="76" t="s">
        <v>790</v>
      </c>
      <c r="T302" s="81" t="s">
        <v>875</v>
      </c>
      <c r="U302" s="76"/>
      <c r="V302" s="79" t="str">
        <f>HYPERLINK("https://abs.twimg.com/sticky/default_profile_images/default_profile_normal.png")</f>
        <v>https://abs.twimg.com/sticky/default_profile_images/default_profile_normal.png</v>
      </c>
      <c r="W302" s="78">
        <v>44816.625625</v>
      </c>
      <c r="X302" s="84">
        <v>44816</v>
      </c>
      <c r="Y302" s="81" t="s">
        <v>1179</v>
      </c>
      <c r="Z302" s="79" t="str">
        <f>HYPERLINK("https://twitter.com/reinbow05061512/status/1569340279680892937")</f>
        <v>https://twitter.com/reinbow05061512/status/1569340279680892937</v>
      </c>
      <c r="AA302" s="76"/>
      <c r="AB302" s="76"/>
      <c r="AC302" s="81" t="s">
        <v>1525</v>
      </c>
      <c r="AD302" s="76"/>
      <c r="AE302" s="76" t="b">
        <v>0</v>
      </c>
      <c r="AF302" s="76">
        <v>0</v>
      </c>
      <c r="AG302" s="81" t="s">
        <v>1674</v>
      </c>
      <c r="AH302" s="76" t="b">
        <v>0</v>
      </c>
      <c r="AI302" s="76" t="s">
        <v>1772</v>
      </c>
      <c r="AJ302" s="76"/>
      <c r="AK302" s="81" t="s">
        <v>1674</v>
      </c>
      <c r="AL302" s="76" t="b">
        <v>0</v>
      </c>
      <c r="AM302" s="76">
        <v>0</v>
      </c>
      <c r="AN302" s="81" t="s">
        <v>1674</v>
      </c>
      <c r="AO302" s="81" t="s">
        <v>1811</v>
      </c>
      <c r="AP302" s="76" t="b">
        <v>0</v>
      </c>
      <c r="AQ302" s="81" t="s">
        <v>1525</v>
      </c>
      <c r="AR302" s="76" t="s">
        <v>219</v>
      </c>
      <c r="AS302" s="76">
        <v>0</v>
      </c>
      <c r="AT302" s="76">
        <v>0</v>
      </c>
      <c r="AU302" s="76"/>
      <c r="AV302" s="76"/>
      <c r="AW302" s="76"/>
      <c r="AX302" s="76"/>
      <c r="AY302" s="76"/>
      <c r="AZ302" s="76"/>
      <c r="BA302" s="76"/>
      <c r="BB302" s="76"/>
      <c r="BC302">
        <v>43</v>
      </c>
      <c r="BD302" s="75" t="str">
        <f>REPLACE(INDEX(GroupVertices[Group],MATCH(Edges25[[#This Row],[Vertex 1]],GroupVertices[Vertex],0)),1,1,"")</f>
        <v>2</v>
      </c>
      <c r="BE302" s="75" t="str">
        <f>REPLACE(INDEX(GroupVertices[Group],MATCH(Edges25[[#This Row],[Vertex 2]],GroupVertices[Vertex],0)),1,1,"")</f>
        <v>2</v>
      </c>
      <c r="BF302" s="45">
        <v>0</v>
      </c>
      <c r="BG302" s="46">
        <v>0</v>
      </c>
      <c r="BH302" s="45">
        <v>0</v>
      </c>
      <c r="BI302" s="46">
        <v>0</v>
      </c>
      <c r="BJ302" s="45">
        <v>0</v>
      </c>
      <c r="BK302" s="46">
        <v>0</v>
      </c>
      <c r="BL302" s="45">
        <v>19</v>
      </c>
      <c r="BM302" s="46">
        <v>100</v>
      </c>
      <c r="BN302" s="45">
        <v>19</v>
      </c>
    </row>
    <row r="303" spans="1:66" ht="15">
      <c r="A303" s="61" t="s">
        <v>423</v>
      </c>
      <c r="B303" s="61" t="s">
        <v>423</v>
      </c>
      <c r="C303" s="62"/>
      <c r="D303" s="63"/>
      <c r="E303" s="62"/>
      <c r="F303" s="65"/>
      <c r="G303" s="62"/>
      <c r="H303" s="66"/>
      <c r="I303" s="67"/>
      <c r="J303" s="67"/>
      <c r="K303" s="31" t="s">
        <v>65</v>
      </c>
      <c r="L303" s="68">
        <v>420</v>
      </c>
      <c r="M303" s="68"/>
      <c r="N303" s="69"/>
      <c r="O303" s="76" t="s">
        <v>219</v>
      </c>
      <c r="P303" s="78">
        <v>44816.771215277775</v>
      </c>
      <c r="Q303" s="76" t="s">
        <v>757</v>
      </c>
      <c r="R303" s="79" t="str">
        <f>HYPERLINK("https://www.youtube.com/watch?v=PMOHqsUyk7Y&amp;feature=youtu.be")</f>
        <v>https://www.youtube.com/watch?v=PMOHqsUyk7Y&amp;feature=youtu.be</v>
      </c>
      <c r="S303" s="76" t="s">
        <v>790</v>
      </c>
      <c r="T303" s="81" t="s">
        <v>876</v>
      </c>
      <c r="U303" s="76"/>
      <c r="V303" s="79" t="str">
        <f>HYPERLINK("https://abs.twimg.com/sticky/default_profile_images/default_profile_normal.png")</f>
        <v>https://abs.twimg.com/sticky/default_profile_images/default_profile_normal.png</v>
      </c>
      <c r="W303" s="78">
        <v>44816.771215277775</v>
      </c>
      <c r="X303" s="84">
        <v>44816</v>
      </c>
      <c r="Y303" s="81" t="s">
        <v>1189</v>
      </c>
      <c r="Z303" s="79" t="str">
        <f>HYPERLINK("https://twitter.com/reinbow05061512/status/1569393040501997568")</f>
        <v>https://twitter.com/reinbow05061512/status/1569393040501997568</v>
      </c>
      <c r="AA303" s="76"/>
      <c r="AB303" s="76"/>
      <c r="AC303" s="81" t="s">
        <v>1526</v>
      </c>
      <c r="AD303" s="76"/>
      <c r="AE303" s="76" t="b">
        <v>0</v>
      </c>
      <c r="AF303" s="76">
        <v>0</v>
      </c>
      <c r="AG303" s="81" t="s">
        <v>1674</v>
      </c>
      <c r="AH303" s="76" t="b">
        <v>0</v>
      </c>
      <c r="AI303" s="76" t="s">
        <v>1773</v>
      </c>
      <c r="AJ303" s="76"/>
      <c r="AK303" s="81" t="s">
        <v>1674</v>
      </c>
      <c r="AL303" s="76" t="b">
        <v>0</v>
      </c>
      <c r="AM303" s="76">
        <v>0</v>
      </c>
      <c r="AN303" s="81" t="s">
        <v>1674</v>
      </c>
      <c r="AO303" s="81" t="s">
        <v>1811</v>
      </c>
      <c r="AP303" s="76" t="b">
        <v>0</v>
      </c>
      <c r="AQ303" s="81" t="s">
        <v>1526</v>
      </c>
      <c r="AR303" s="76" t="s">
        <v>219</v>
      </c>
      <c r="AS303" s="76">
        <v>0</v>
      </c>
      <c r="AT303" s="76">
        <v>0</v>
      </c>
      <c r="AU303" s="76"/>
      <c r="AV303" s="76"/>
      <c r="AW303" s="76"/>
      <c r="AX303" s="76"/>
      <c r="AY303" s="76"/>
      <c r="AZ303" s="76"/>
      <c r="BA303" s="76"/>
      <c r="BB303" s="76"/>
      <c r="BC303">
        <v>43</v>
      </c>
      <c r="BD303" s="75" t="str">
        <f>REPLACE(INDEX(GroupVertices[Group],MATCH(Edges25[[#This Row],[Vertex 1]],GroupVertices[Vertex],0)),1,1,"")</f>
        <v>2</v>
      </c>
      <c r="BE303" s="75" t="str">
        <f>REPLACE(INDEX(GroupVertices[Group],MATCH(Edges25[[#This Row],[Vertex 2]],GroupVertices[Vertex],0)),1,1,"")</f>
        <v>2</v>
      </c>
      <c r="BF303" s="45">
        <v>0</v>
      </c>
      <c r="BG303" s="46">
        <v>0</v>
      </c>
      <c r="BH303" s="45">
        <v>0</v>
      </c>
      <c r="BI303" s="46">
        <v>0</v>
      </c>
      <c r="BJ303" s="45">
        <v>0</v>
      </c>
      <c r="BK303" s="46">
        <v>0</v>
      </c>
      <c r="BL303" s="45">
        <v>13</v>
      </c>
      <c r="BM303" s="46">
        <v>100</v>
      </c>
      <c r="BN303" s="45">
        <v>13</v>
      </c>
    </row>
    <row r="304" spans="1:66" ht="15">
      <c r="A304" s="61" t="s">
        <v>423</v>
      </c>
      <c r="B304" s="61" t="s">
        <v>423</v>
      </c>
      <c r="C304" s="62"/>
      <c r="D304" s="63"/>
      <c r="E304" s="62"/>
      <c r="F304" s="65"/>
      <c r="G304" s="62"/>
      <c r="H304" s="66"/>
      <c r="I304" s="67"/>
      <c r="J304" s="67"/>
      <c r="K304" s="31" t="s">
        <v>65</v>
      </c>
      <c r="L304" s="68">
        <v>421</v>
      </c>
      <c r="M304" s="68"/>
      <c r="N304" s="69"/>
      <c r="O304" s="76" t="s">
        <v>219</v>
      </c>
      <c r="P304" s="78">
        <v>44816.95899305555</v>
      </c>
      <c r="Q304" s="76" t="s">
        <v>759</v>
      </c>
      <c r="R304" s="79" t="str">
        <f>HYPERLINK("https://www.youtube.com/watch?v=uHIVevq290k&amp;feature=youtu.be")</f>
        <v>https://www.youtube.com/watch?v=uHIVevq290k&amp;feature=youtu.be</v>
      </c>
      <c r="S304" s="76" t="s">
        <v>790</v>
      </c>
      <c r="T304" s="81" t="s">
        <v>878</v>
      </c>
      <c r="U304" s="76"/>
      <c r="V304" s="79" t="str">
        <f>HYPERLINK("https://abs.twimg.com/sticky/default_profile_images/default_profile_normal.png")</f>
        <v>https://abs.twimg.com/sticky/default_profile_images/default_profile_normal.png</v>
      </c>
      <c r="W304" s="78">
        <v>44816.95899305555</v>
      </c>
      <c r="X304" s="84">
        <v>44816</v>
      </c>
      <c r="Y304" s="81" t="s">
        <v>1190</v>
      </c>
      <c r="Z304" s="79" t="str">
        <f>HYPERLINK("https://twitter.com/reinbow05061512/status/1569461089775001603")</f>
        <v>https://twitter.com/reinbow05061512/status/1569461089775001603</v>
      </c>
      <c r="AA304" s="76"/>
      <c r="AB304" s="76"/>
      <c r="AC304" s="81" t="s">
        <v>1527</v>
      </c>
      <c r="AD304" s="76"/>
      <c r="AE304" s="76" t="b">
        <v>0</v>
      </c>
      <c r="AF304" s="76">
        <v>0</v>
      </c>
      <c r="AG304" s="81" t="s">
        <v>1674</v>
      </c>
      <c r="AH304" s="76" t="b">
        <v>0</v>
      </c>
      <c r="AI304" s="76" t="s">
        <v>1772</v>
      </c>
      <c r="AJ304" s="76"/>
      <c r="AK304" s="81" t="s">
        <v>1674</v>
      </c>
      <c r="AL304" s="76" t="b">
        <v>0</v>
      </c>
      <c r="AM304" s="76">
        <v>0</v>
      </c>
      <c r="AN304" s="81" t="s">
        <v>1674</v>
      </c>
      <c r="AO304" s="81" t="s">
        <v>1811</v>
      </c>
      <c r="AP304" s="76" t="b">
        <v>0</v>
      </c>
      <c r="AQ304" s="81" t="s">
        <v>1527</v>
      </c>
      <c r="AR304" s="76" t="s">
        <v>219</v>
      </c>
      <c r="AS304" s="76">
        <v>0</v>
      </c>
      <c r="AT304" s="76">
        <v>0</v>
      </c>
      <c r="AU304" s="76"/>
      <c r="AV304" s="76"/>
      <c r="AW304" s="76"/>
      <c r="AX304" s="76"/>
      <c r="AY304" s="76"/>
      <c r="AZ304" s="76"/>
      <c r="BA304" s="76"/>
      <c r="BB304" s="76"/>
      <c r="BC304">
        <v>43</v>
      </c>
      <c r="BD304" s="75" t="str">
        <f>REPLACE(INDEX(GroupVertices[Group],MATCH(Edges25[[#This Row],[Vertex 1]],GroupVertices[Vertex],0)),1,1,"")</f>
        <v>2</v>
      </c>
      <c r="BE304" s="75" t="str">
        <f>REPLACE(INDEX(GroupVertices[Group],MATCH(Edges25[[#This Row],[Vertex 2]],GroupVertices[Vertex],0)),1,1,"")</f>
        <v>2</v>
      </c>
      <c r="BF304" s="45">
        <v>0</v>
      </c>
      <c r="BG304" s="46">
        <v>0</v>
      </c>
      <c r="BH304" s="45">
        <v>0</v>
      </c>
      <c r="BI304" s="46">
        <v>0</v>
      </c>
      <c r="BJ304" s="45">
        <v>0</v>
      </c>
      <c r="BK304" s="46">
        <v>0</v>
      </c>
      <c r="BL304" s="45">
        <v>16</v>
      </c>
      <c r="BM304" s="46">
        <v>100</v>
      </c>
      <c r="BN304" s="45">
        <v>16</v>
      </c>
    </row>
    <row r="305" spans="1:66" ht="15">
      <c r="A305" s="61" t="s">
        <v>423</v>
      </c>
      <c r="B305" s="61" t="s">
        <v>423</v>
      </c>
      <c r="C305" s="62"/>
      <c r="D305" s="63"/>
      <c r="E305" s="62"/>
      <c r="F305" s="65"/>
      <c r="G305" s="62"/>
      <c r="H305" s="66"/>
      <c r="I305" s="67"/>
      <c r="J305" s="67"/>
      <c r="K305" s="31" t="s">
        <v>65</v>
      </c>
      <c r="L305" s="68">
        <v>422</v>
      </c>
      <c r="M305" s="68"/>
      <c r="N305" s="69"/>
      <c r="O305" s="76" t="s">
        <v>219</v>
      </c>
      <c r="P305" s="78">
        <v>44816.959085648145</v>
      </c>
      <c r="Q305" s="76" t="s">
        <v>758</v>
      </c>
      <c r="R305" s="79" t="str">
        <f>HYPERLINK("https://ameblo.jp/historical-gay/entry-10222227037.html")</f>
        <v>https://ameblo.jp/historical-gay/entry-10222227037.html</v>
      </c>
      <c r="S305" s="76" t="s">
        <v>791</v>
      </c>
      <c r="T305" s="81" t="s">
        <v>877</v>
      </c>
      <c r="U305" s="76"/>
      <c r="V305" s="79" t="str">
        <f>HYPERLINK("https://abs.twimg.com/sticky/default_profile_images/default_profile_normal.png")</f>
        <v>https://abs.twimg.com/sticky/default_profile_images/default_profile_normal.png</v>
      </c>
      <c r="W305" s="78">
        <v>44816.959085648145</v>
      </c>
      <c r="X305" s="84">
        <v>44816</v>
      </c>
      <c r="Y305" s="81" t="s">
        <v>1191</v>
      </c>
      <c r="Z305" s="79" t="str">
        <f>HYPERLINK("https://twitter.com/reinbow05061512/status/1569461124160000000")</f>
        <v>https://twitter.com/reinbow05061512/status/1569461124160000000</v>
      </c>
      <c r="AA305" s="76"/>
      <c r="AB305" s="76"/>
      <c r="AC305" s="81" t="s">
        <v>1528</v>
      </c>
      <c r="AD305" s="76"/>
      <c r="AE305" s="76" t="b">
        <v>0</v>
      </c>
      <c r="AF305" s="76">
        <v>0</v>
      </c>
      <c r="AG305" s="81" t="s">
        <v>1674</v>
      </c>
      <c r="AH305" s="76" t="b">
        <v>0</v>
      </c>
      <c r="AI305" s="76" t="s">
        <v>1773</v>
      </c>
      <c r="AJ305" s="76"/>
      <c r="AK305" s="81" t="s">
        <v>1674</v>
      </c>
      <c r="AL305" s="76" t="b">
        <v>0</v>
      </c>
      <c r="AM305" s="76">
        <v>0</v>
      </c>
      <c r="AN305" s="81" t="s">
        <v>1674</v>
      </c>
      <c r="AO305" s="81" t="s">
        <v>1811</v>
      </c>
      <c r="AP305" s="76" t="b">
        <v>0</v>
      </c>
      <c r="AQ305" s="81" t="s">
        <v>1528</v>
      </c>
      <c r="AR305" s="76" t="s">
        <v>219</v>
      </c>
      <c r="AS305" s="76">
        <v>0</v>
      </c>
      <c r="AT305" s="76">
        <v>0</v>
      </c>
      <c r="AU305" s="76"/>
      <c r="AV305" s="76"/>
      <c r="AW305" s="76"/>
      <c r="AX305" s="76"/>
      <c r="AY305" s="76"/>
      <c r="AZ305" s="76"/>
      <c r="BA305" s="76"/>
      <c r="BB305" s="76"/>
      <c r="BC305">
        <v>43</v>
      </c>
      <c r="BD305" s="75" t="str">
        <f>REPLACE(INDEX(GroupVertices[Group],MATCH(Edges25[[#This Row],[Vertex 1]],GroupVertices[Vertex],0)),1,1,"")</f>
        <v>2</v>
      </c>
      <c r="BE305" s="75" t="str">
        <f>REPLACE(INDEX(GroupVertices[Group],MATCH(Edges25[[#This Row],[Vertex 2]],GroupVertices[Vertex],0)),1,1,"")</f>
        <v>2</v>
      </c>
      <c r="BF305" s="45">
        <v>0</v>
      </c>
      <c r="BG305" s="46">
        <v>0</v>
      </c>
      <c r="BH305" s="45">
        <v>0</v>
      </c>
      <c r="BI305" s="46">
        <v>0</v>
      </c>
      <c r="BJ305" s="45">
        <v>0</v>
      </c>
      <c r="BK305" s="46">
        <v>0</v>
      </c>
      <c r="BL305" s="45">
        <v>13</v>
      </c>
      <c r="BM305" s="46">
        <v>100</v>
      </c>
      <c r="BN305" s="45">
        <v>13</v>
      </c>
    </row>
    <row r="306" spans="1:66" ht="15">
      <c r="A306" s="61" t="s">
        <v>423</v>
      </c>
      <c r="B306" s="61" t="s">
        <v>423</v>
      </c>
      <c r="C306" s="62"/>
      <c r="D306" s="63"/>
      <c r="E306" s="62"/>
      <c r="F306" s="65"/>
      <c r="G306" s="62"/>
      <c r="H306" s="66"/>
      <c r="I306" s="67"/>
      <c r="J306" s="67"/>
      <c r="K306" s="31" t="s">
        <v>65</v>
      </c>
      <c r="L306" s="68">
        <v>423</v>
      </c>
      <c r="M306" s="68"/>
      <c r="N306" s="69"/>
      <c r="O306" s="76" t="s">
        <v>219</v>
      </c>
      <c r="P306" s="78">
        <v>44817.625763888886</v>
      </c>
      <c r="Q306" s="76" t="s">
        <v>760</v>
      </c>
      <c r="R306" s="79" t="str">
        <f>HYPERLINK("https://www.youtube.com/watch?v=V75pj41VFGk")</f>
        <v>https://www.youtube.com/watch?v=V75pj41VFGk</v>
      </c>
      <c r="S306" s="76" t="s">
        <v>790</v>
      </c>
      <c r="T306" s="81" t="s">
        <v>875</v>
      </c>
      <c r="U306" s="76"/>
      <c r="V306" s="79" t="str">
        <f>HYPERLINK("https://abs.twimg.com/sticky/default_profile_images/default_profile_normal.png")</f>
        <v>https://abs.twimg.com/sticky/default_profile_images/default_profile_normal.png</v>
      </c>
      <c r="W306" s="78">
        <v>44817.625763888886</v>
      </c>
      <c r="X306" s="84">
        <v>44817</v>
      </c>
      <c r="Y306" s="81" t="s">
        <v>1192</v>
      </c>
      <c r="Z306" s="79" t="str">
        <f>HYPERLINK("https://twitter.com/reinbow05061512/status/1569702720818548736")</f>
        <v>https://twitter.com/reinbow05061512/status/1569702720818548736</v>
      </c>
      <c r="AA306" s="76"/>
      <c r="AB306" s="76"/>
      <c r="AC306" s="81" t="s">
        <v>1529</v>
      </c>
      <c r="AD306" s="76"/>
      <c r="AE306" s="76" t="b">
        <v>0</v>
      </c>
      <c r="AF306" s="76">
        <v>0</v>
      </c>
      <c r="AG306" s="81" t="s">
        <v>1674</v>
      </c>
      <c r="AH306" s="76" t="b">
        <v>0</v>
      </c>
      <c r="AI306" s="76" t="s">
        <v>1772</v>
      </c>
      <c r="AJ306" s="76"/>
      <c r="AK306" s="81" t="s">
        <v>1674</v>
      </c>
      <c r="AL306" s="76" t="b">
        <v>0</v>
      </c>
      <c r="AM306" s="76">
        <v>0</v>
      </c>
      <c r="AN306" s="81" t="s">
        <v>1674</v>
      </c>
      <c r="AO306" s="81" t="s">
        <v>1811</v>
      </c>
      <c r="AP306" s="76" t="b">
        <v>0</v>
      </c>
      <c r="AQ306" s="81" t="s">
        <v>1529</v>
      </c>
      <c r="AR306" s="76" t="s">
        <v>219</v>
      </c>
      <c r="AS306" s="76">
        <v>0</v>
      </c>
      <c r="AT306" s="76">
        <v>0</v>
      </c>
      <c r="AU306" s="76"/>
      <c r="AV306" s="76"/>
      <c r="AW306" s="76"/>
      <c r="AX306" s="76"/>
      <c r="AY306" s="76"/>
      <c r="AZ306" s="76"/>
      <c r="BA306" s="76"/>
      <c r="BB306" s="76"/>
      <c r="BC306">
        <v>43</v>
      </c>
      <c r="BD306" s="75" t="str">
        <f>REPLACE(INDEX(GroupVertices[Group],MATCH(Edges25[[#This Row],[Vertex 1]],GroupVertices[Vertex],0)),1,1,"")</f>
        <v>2</v>
      </c>
      <c r="BE306" s="75" t="str">
        <f>REPLACE(INDEX(GroupVertices[Group],MATCH(Edges25[[#This Row],[Vertex 2]],GroupVertices[Vertex],0)),1,1,"")</f>
        <v>2</v>
      </c>
      <c r="BF306" s="45">
        <v>0</v>
      </c>
      <c r="BG306" s="46">
        <v>0</v>
      </c>
      <c r="BH306" s="45">
        <v>0</v>
      </c>
      <c r="BI306" s="46">
        <v>0</v>
      </c>
      <c r="BJ306" s="45">
        <v>0</v>
      </c>
      <c r="BK306" s="46">
        <v>0</v>
      </c>
      <c r="BL306" s="45">
        <v>19</v>
      </c>
      <c r="BM306" s="46">
        <v>100</v>
      </c>
      <c r="BN306" s="45">
        <v>19</v>
      </c>
    </row>
    <row r="307" spans="1:66" ht="15">
      <c r="A307" s="61" t="s">
        <v>423</v>
      </c>
      <c r="B307" s="61" t="s">
        <v>423</v>
      </c>
      <c r="C307" s="62"/>
      <c r="D307" s="63"/>
      <c r="E307" s="62"/>
      <c r="F307" s="65"/>
      <c r="G307" s="62"/>
      <c r="H307" s="66"/>
      <c r="I307" s="67"/>
      <c r="J307" s="67"/>
      <c r="K307" s="31" t="s">
        <v>65</v>
      </c>
      <c r="L307" s="68">
        <v>424</v>
      </c>
      <c r="M307" s="68"/>
      <c r="N307" s="69"/>
      <c r="O307" s="76" t="s">
        <v>219</v>
      </c>
      <c r="P307" s="78">
        <v>44817.626122685186</v>
      </c>
      <c r="Q307" s="76" t="s">
        <v>756</v>
      </c>
      <c r="R307" s="79" t="str">
        <f>HYPERLINK("https://www.youtube.com/watch?v=ejG32fwnsV4&amp;feature=youtu.be")</f>
        <v>https://www.youtube.com/watch?v=ejG32fwnsV4&amp;feature=youtu.be</v>
      </c>
      <c r="S307" s="76" t="s">
        <v>790</v>
      </c>
      <c r="T307" s="81" t="s">
        <v>875</v>
      </c>
      <c r="U307" s="76"/>
      <c r="V307" s="79" t="str">
        <f>HYPERLINK("https://abs.twimg.com/sticky/default_profile_images/default_profile_normal.png")</f>
        <v>https://abs.twimg.com/sticky/default_profile_images/default_profile_normal.png</v>
      </c>
      <c r="W307" s="78">
        <v>44817.626122685186</v>
      </c>
      <c r="X307" s="84">
        <v>44817</v>
      </c>
      <c r="Y307" s="81" t="s">
        <v>1193</v>
      </c>
      <c r="Z307" s="79" t="str">
        <f>HYPERLINK("https://twitter.com/reinbow05061512/status/1569702848337788928")</f>
        <v>https://twitter.com/reinbow05061512/status/1569702848337788928</v>
      </c>
      <c r="AA307" s="76"/>
      <c r="AB307" s="76"/>
      <c r="AC307" s="81" t="s">
        <v>1530</v>
      </c>
      <c r="AD307" s="76"/>
      <c r="AE307" s="76" t="b">
        <v>0</v>
      </c>
      <c r="AF307" s="76">
        <v>0</v>
      </c>
      <c r="AG307" s="81" t="s">
        <v>1674</v>
      </c>
      <c r="AH307" s="76" t="b">
        <v>0</v>
      </c>
      <c r="AI307" s="76" t="s">
        <v>1772</v>
      </c>
      <c r="AJ307" s="76"/>
      <c r="AK307" s="81" t="s">
        <v>1674</v>
      </c>
      <c r="AL307" s="76" t="b">
        <v>0</v>
      </c>
      <c r="AM307" s="76">
        <v>0</v>
      </c>
      <c r="AN307" s="81" t="s">
        <v>1674</v>
      </c>
      <c r="AO307" s="81" t="s">
        <v>1811</v>
      </c>
      <c r="AP307" s="76" t="b">
        <v>0</v>
      </c>
      <c r="AQ307" s="81" t="s">
        <v>1530</v>
      </c>
      <c r="AR307" s="76" t="s">
        <v>219</v>
      </c>
      <c r="AS307" s="76">
        <v>0</v>
      </c>
      <c r="AT307" s="76">
        <v>0</v>
      </c>
      <c r="AU307" s="76"/>
      <c r="AV307" s="76"/>
      <c r="AW307" s="76"/>
      <c r="AX307" s="76"/>
      <c r="AY307" s="76"/>
      <c r="AZ307" s="76"/>
      <c r="BA307" s="76"/>
      <c r="BB307" s="76"/>
      <c r="BC307">
        <v>43</v>
      </c>
      <c r="BD307" s="75" t="str">
        <f>REPLACE(INDEX(GroupVertices[Group],MATCH(Edges25[[#This Row],[Vertex 1]],GroupVertices[Vertex],0)),1,1,"")</f>
        <v>2</v>
      </c>
      <c r="BE307" s="75" t="str">
        <f>REPLACE(INDEX(GroupVertices[Group],MATCH(Edges25[[#This Row],[Vertex 2]],GroupVertices[Vertex],0)),1,1,"")</f>
        <v>2</v>
      </c>
      <c r="BF307" s="45">
        <v>1</v>
      </c>
      <c r="BG307" s="46">
        <v>7.142857142857143</v>
      </c>
      <c r="BH307" s="45">
        <v>0</v>
      </c>
      <c r="BI307" s="46">
        <v>0</v>
      </c>
      <c r="BJ307" s="45">
        <v>0</v>
      </c>
      <c r="BK307" s="46">
        <v>0</v>
      </c>
      <c r="BL307" s="45">
        <v>13</v>
      </c>
      <c r="BM307" s="46">
        <v>92.85714285714286</v>
      </c>
      <c r="BN307" s="45">
        <v>14</v>
      </c>
    </row>
    <row r="308" spans="1:66" ht="15">
      <c r="A308" s="61" t="s">
        <v>423</v>
      </c>
      <c r="B308" s="61" t="s">
        <v>423</v>
      </c>
      <c r="C308" s="62"/>
      <c r="D308" s="63"/>
      <c r="E308" s="62"/>
      <c r="F308" s="65"/>
      <c r="G308" s="62"/>
      <c r="H308" s="66"/>
      <c r="I308" s="67"/>
      <c r="J308" s="67"/>
      <c r="K308" s="31" t="s">
        <v>65</v>
      </c>
      <c r="L308" s="68">
        <v>425</v>
      </c>
      <c r="M308" s="68"/>
      <c r="N308" s="69"/>
      <c r="O308" s="76" t="s">
        <v>219</v>
      </c>
      <c r="P308" s="78">
        <v>44817.77125</v>
      </c>
      <c r="Q308" s="76" t="s">
        <v>757</v>
      </c>
      <c r="R308" s="79" t="str">
        <f>HYPERLINK("https://www.youtube.com/watch?v=PMOHqsUyk7Y&amp;feature=youtu.be")</f>
        <v>https://www.youtube.com/watch?v=PMOHqsUyk7Y&amp;feature=youtu.be</v>
      </c>
      <c r="S308" s="76" t="s">
        <v>790</v>
      </c>
      <c r="T308" s="81" t="s">
        <v>876</v>
      </c>
      <c r="U308" s="76"/>
      <c r="V308" s="79" t="str">
        <f>HYPERLINK("https://abs.twimg.com/sticky/default_profile_images/default_profile_normal.png")</f>
        <v>https://abs.twimg.com/sticky/default_profile_images/default_profile_normal.png</v>
      </c>
      <c r="W308" s="78">
        <v>44817.77125</v>
      </c>
      <c r="X308" s="84">
        <v>44817</v>
      </c>
      <c r="Y308" s="81" t="s">
        <v>1194</v>
      </c>
      <c r="Z308" s="79" t="str">
        <f>HYPERLINK("https://twitter.com/reinbow05061512/status/1569755442212896773")</f>
        <v>https://twitter.com/reinbow05061512/status/1569755442212896773</v>
      </c>
      <c r="AA308" s="76"/>
      <c r="AB308" s="76"/>
      <c r="AC308" s="81" t="s">
        <v>1531</v>
      </c>
      <c r="AD308" s="76"/>
      <c r="AE308" s="76" t="b">
        <v>0</v>
      </c>
      <c r="AF308" s="76">
        <v>0</v>
      </c>
      <c r="AG308" s="81" t="s">
        <v>1674</v>
      </c>
      <c r="AH308" s="76" t="b">
        <v>0</v>
      </c>
      <c r="AI308" s="76" t="s">
        <v>1773</v>
      </c>
      <c r="AJ308" s="76"/>
      <c r="AK308" s="81" t="s">
        <v>1674</v>
      </c>
      <c r="AL308" s="76" t="b">
        <v>0</v>
      </c>
      <c r="AM308" s="76">
        <v>0</v>
      </c>
      <c r="AN308" s="81" t="s">
        <v>1674</v>
      </c>
      <c r="AO308" s="81" t="s">
        <v>1811</v>
      </c>
      <c r="AP308" s="76" t="b">
        <v>0</v>
      </c>
      <c r="AQ308" s="81" t="s">
        <v>1531</v>
      </c>
      <c r="AR308" s="76" t="s">
        <v>219</v>
      </c>
      <c r="AS308" s="76">
        <v>0</v>
      </c>
      <c r="AT308" s="76">
        <v>0</v>
      </c>
      <c r="AU308" s="76"/>
      <c r="AV308" s="76"/>
      <c r="AW308" s="76"/>
      <c r="AX308" s="76"/>
      <c r="AY308" s="76"/>
      <c r="AZ308" s="76"/>
      <c r="BA308" s="76"/>
      <c r="BB308" s="76"/>
      <c r="BC308">
        <v>43</v>
      </c>
      <c r="BD308" s="75" t="str">
        <f>REPLACE(INDEX(GroupVertices[Group],MATCH(Edges25[[#This Row],[Vertex 1]],GroupVertices[Vertex],0)),1,1,"")</f>
        <v>2</v>
      </c>
      <c r="BE308" s="75" t="str">
        <f>REPLACE(INDEX(GroupVertices[Group],MATCH(Edges25[[#This Row],[Vertex 2]],GroupVertices[Vertex],0)),1,1,"")</f>
        <v>2</v>
      </c>
      <c r="BF308" s="45">
        <v>0</v>
      </c>
      <c r="BG308" s="46">
        <v>0</v>
      </c>
      <c r="BH308" s="45">
        <v>0</v>
      </c>
      <c r="BI308" s="46">
        <v>0</v>
      </c>
      <c r="BJ308" s="45">
        <v>0</v>
      </c>
      <c r="BK308" s="46">
        <v>0</v>
      </c>
      <c r="BL308" s="45">
        <v>13</v>
      </c>
      <c r="BM308" s="46">
        <v>100</v>
      </c>
      <c r="BN308" s="45">
        <v>13</v>
      </c>
    </row>
    <row r="309" spans="1:66" ht="15">
      <c r="A309" s="61" t="s">
        <v>423</v>
      </c>
      <c r="B309" s="61" t="s">
        <v>423</v>
      </c>
      <c r="C309" s="62"/>
      <c r="D309" s="63"/>
      <c r="E309" s="62"/>
      <c r="F309" s="65"/>
      <c r="G309" s="62"/>
      <c r="H309" s="66"/>
      <c r="I309" s="67"/>
      <c r="J309" s="67"/>
      <c r="K309" s="31" t="s">
        <v>65</v>
      </c>
      <c r="L309" s="68">
        <v>426</v>
      </c>
      <c r="M309" s="68"/>
      <c r="N309" s="69"/>
      <c r="O309" s="76" t="s">
        <v>219</v>
      </c>
      <c r="P309" s="78">
        <v>44817.9590625</v>
      </c>
      <c r="Q309" s="76" t="s">
        <v>759</v>
      </c>
      <c r="R309" s="79" t="str">
        <f>HYPERLINK("https://www.youtube.com/watch?v=uHIVevq290k&amp;feature=youtu.be")</f>
        <v>https://www.youtube.com/watch?v=uHIVevq290k&amp;feature=youtu.be</v>
      </c>
      <c r="S309" s="76" t="s">
        <v>790</v>
      </c>
      <c r="T309" s="81" t="s">
        <v>878</v>
      </c>
      <c r="U309" s="76"/>
      <c r="V309" s="79" t="str">
        <f>HYPERLINK("https://abs.twimg.com/sticky/default_profile_images/default_profile_normal.png")</f>
        <v>https://abs.twimg.com/sticky/default_profile_images/default_profile_normal.png</v>
      </c>
      <c r="W309" s="78">
        <v>44817.9590625</v>
      </c>
      <c r="X309" s="84">
        <v>44817</v>
      </c>
      <c r="Y309" s="81" t="s">
        <v>1195</v>
      </c>
      <c r="Z309" s="79" t="str">
        <f>HYPERLINK("https://twitter.com/reinbow05061512/status/1569823503263612928")</f>
        <v>https://twitter.com/reinbow05061512/status/1569823503263612928</v>
      </c>
      <c r="AA309" s="76"/>
      <c r="AB309" s="76"/>
      <c r="AC309" s="81" t="s">
        <v>1532</v>
      </c>
      <c r="AD309" s="76"/>
      <c r="AE309" s="76" t="b">
        <v>0</v>
      </c>
      <c r="AF309" s="76">
        <v>0</v>
      </c>
      <c r="AG309" s="81" t="s">
        <v>1674</v>
      </c>
      <c r="AH309" s="76" t="b">
        <v>0</v>
      </c>
      <c r="AI309" s="76" t="s">
        <v>1772</v>
      </c>
      <c r="AJ309" s="76"/>
      <c r="AK309" s="81" t="s">
        <v>1674</v>
      </c>
      <c r="AL309" s="76" t="b">
        <v>0</v>
      </c>
      <c r="AM309" s="76">
        <v>0</v>
      </c>
      <c r="AN309" s="81" t="s">
        <v>1674</v>
      </c>
      <c r="AO309" s="81" t="s">
        <v>1811</v>
      </c>
      <c r="AP309" s="76" t="b">
        <v>0</v>
      </c>
      <c r="AQ309" s="81" t="s">
        <v>1532</v>
      </c>
      <c r="AR309" s="76" t="s">
        <v>219</v>
      </c>
      <c r="AS309" s="76">
        <v>0</v>
      </c>
      <c r="AT309" s="76">
        <v>0</v>
      </c>
      <c r="AU309" s="76"/>
      <c r="AV309" s="76"/>
      <c r="AW309" s="76"/>
      <c r="AX309" s="76"/>
      <c r="AY309" s="76"/>
      <c r="AZ309" s="76"/>
      <c r="BA309" s="76"/>
      <c r="BB309" s="76"/>
      <c r="BC309">
        <v>43</v>
      </c>
      <c r="BD309" s="75" t="str">
        <f>REPLACE(INDEX(GroupVertices[Group],MATCH(Edges25[[#This Row],[Vertex 1]],GroupVertices[Vertex],0)),1,1,"")</f>
        <v>2</v>
      </c>
      <c r="BE309" s="75" t="str">
        <f>REPLACE(INDEX(GroupVertices[Group],MATCH(Edges25[[#This Row],[Vertex 2]],GroupVertices[Vertex],0)),1,1,"")</f>
        <v>2</v>
      </c>
      <c r="BF309" s="45">
        <v>0</v>
      </c>
      <c r="BG309" s="46">
        <v>0</v>
      </c>
      <c r="BH309" s="45">
        <v>0</v>
      </c>
      <c r="BI309" s="46">
        <v>0</v>
      </c>
      <c r="BJ309" s="45">
        <v>0</v>
      </c>
      <c r="BK309" s="46">
        <v>0</v>
      </c>
      <c r="BL309" s="45">
        <v>16</v>
      </c>
      <c r="BM309" s="46">
        <v>100</v>
      </c>
      <c r="BN309" s="45">
        <v>16</v>
      </c>
    </row>
    <row r="310" spans="1:66" ht="15">
      <c r="A310" s="61" t="s">
        <v>423</v>
      </c>
      <c r="B310" s="61" t="s">
        <v>423</v>
      </c>
      <c r="C310" s="62"/>
      <c r="D310" s="63"/>
      <c r="E310" s="62"/>
      <c r="F310" s="65"/>
      <c r="G310" s="62"/>
      <c r="H310" s="66"/>
      <c r="I310" s="67"/>
      <c r="J310" s="67"/>
      <c r="K310" s="31" t="s">
        <v>65</v>
      </c>
      <c r="L310" s="68">
        <v>427</v>
      </c>
      <c r="M310" s="68"/>
      <c r="N310" s="69"/>
      <c r="O310" s="76" t="s">
        <v>219</v>
      </c>
      <c r="P310" s="78">
        <v>44817.959189814814</v>
      </c>
      <c r="Q310" s="76" t="s">
        <v>758</v>
      </c>
      <c r="R310" s="79" t="str">
        <f>HYPERLINK("https://ameblo.jp/historical-gay/entry-10222227037.html")</f>
        <v>https://ameblo.jp/historical-gay/entry-10222227037.html</v>
      </c>
      <c r="S310" s="76" t="s">
        <v>791</v>
      </c>
      <c r="T310" s="81" t="s">
        <v>877</v>
      </c>
      <c r="U310" s="76"/>
      <c r="V310" s="79" t="str">
        <f>HYPERLINK("https://abs.twimg.com/sticky/default_profile_images/default_profile_normal.png")</f>
        <v>https://abs.twimg.com/sticky/default_profile_images/default_profile_normal.png</v>
      </c>
      <c r="W310" s="78">
        <v>44817.959189814814</v>
      </c>
      <c r="X310" s="84">
        <v>44817</v>
      </c>
      <c r="Y310" s="81" t="s">
        <v>1177</v>
      </c>
      <c r="Z310" s="79" t="str">
        <f>HYPERLINK("https://twitter.com/reinbow05061512/status/1569823547521900545")</f>
        <v>https://twitter.com/reinbow05061512/status/1569823547521900545</v>
      </c>
      <c r="AA310" s="76"/>
      <c r="AB310" s="76"/>
      <c r="AC310" s="81" t="s">
        <v>1533</v>
      </c>
      <c r="AD310" s="76"/>
      <c r="AE310" s="76" t="b">
        <v>0</v>
      </c>
      <c r="AF310" s="76">
        <v>0</v>
      </c>
      <c r="AG310" s="81" t="s">
        <v>1674</v>
      </c>
      <c r="AH310" s="76" t="b">
        <v>0</v>
      </c>
      <c r="AI310" s="76" t="s">
        <v>1773</v>
      </c>
      <c r="AJ310" s="76"/>
      <c r="AK310" s="81" t="s">
        <v>1674</v>
      </c>
      <c r="AL310" s="76" t="b">
        <v>0</v>
      </c>
      <c r="AM310" s="76">
        <v>0</v>
      </c>
      <c r="AN310" s="81" t="s">
        <v>1674</v>
      </c>
      <c r="AO310" s="81" t="s">
        <v>1811</v>
      </c>
      <c r="AP310" s="76" t="b">
        <v>0</v>
      </c>
      <c r="AQ310" s="81" t="s">
        <v>1533</v>
      </c>
      <c r="AR310" s="76" t="s">
        <v>219</v>
      </c>
      <c r="AS310" s="76">
        <v>0</v>
      </c>
      <c r="AT310" s="76">
        <v>0</v>
      </c>
      <c r="AU310" s="76"/>
      <c r="AV310" s="76"/>
      <c r="AW310" s="76"/>
      <c r="AX310" s="76"/>
      <c r="AY310" s="76"/>
      <c r="AZ310" s="76"/>
      <c r="BA310" s="76"/>
      <c r="BB310" s="76"/>
      <c r="BC310">
        <v>43</v>
      </c>
      <c r="BD310" s="75" t="str">
        <f>REPLACE(INDEX(GroupVertices[Group],MATCH(Edges25[[#This Row],[Vertex 1]],GroupVertices[Vertex],0)),1,1,"")</f>
        <v>2</v>
      </c>
      <c r="BE310" s="75" t="str">
        <f>REPLACE(INDEX(GroupVertices[Group],MATCH(Edges25[[#This Row],[Vertex 2]],GroupVertices[Vertex],0)),1,1,"")</f>
        <v>2</v>
      </c>
      <c r="BF310" s="45">
        <v>0</v>
      </c>
      <c r="BG310" s="46">
        <v>0</v>
      </c>
      <c r="BH310" s="45">
        <v>0</v>
      </c>
      <c r="BI310" s="46">
        <v>0</v>
      </c>
      <c r="BJ310" s="45">
        <v>0</v>
      </c>
      <c r="BK310" s="46">
        <v>0</v>
      </c>
      <c r="BL310" s="45">
        <v>13</v>
      </c>
      <c r="BM310" s="46">
        <v>100</v>
      </c>
      <c r="BN310" s="45">
        <v>13</v>
      </c>
    </row>
    <row r="311" spans="1:66" ht="15">
      <c r="A311" s="61" t="s">
        <v>423</v>
      </c>
      <c r="B311" s="61" t="s">
        <v>423</v>
      </c>
      <c r="C311" s="62"/>
      <c r="D311" s="63"/>
      <c r="E311" s="62"/>
      <c r="F311" s="65"/>
      <c r="G311" s="62"/>
      <c r="H311" s="66"/>
      <c r="I311" s="67"/>
      <c r="J311" s="67"/>
      <c r="K311" s="31" t="s">
        <v>65</v>
      </c>
      <c r="L311" s="68">
        <v>428</v>
      </c>
      <c r="M311" s="68"/>
      <c r="N311" s="69"/>
      <c r="O311" s="76" t="s">
        <v>219</v>
      </c>
      <c r="P311" s="78">
        <v>44818.62552083333</v>
      </c>
      <c r="Q311" s="76" t="s">
        <v>755</v>
      </c>
      <c r="R311" s="79" t="str">
        <f>HYPERLINK("https://www.youtube.com/watch?v=V75pj41VFGk")</f>
        <v>https://www.youtube.com/watch?v=V75pj41VFGk</v>
      </c>
      <c r="S311" s="76" t="s">
        <v>790</v>
      </c>
      <c r="T311" s="81" t="s">
        <v>875</v>
      </c>
      <c r="U311" s="76"/>
      <c r="V311" s="79" t="str">
        <f>HYPERLINK("https://abs.twimg.com/sticky/default_profile_images/default_profile_normal.png")</f>
        <v>https://abs.twimg.com/sticky/default_profile_images/default_profile_normal.png</v>
      </c>
      <c r="W311" s="78">
        <v>44818.62552083333</v>
      </c>
      <c r="X311" s="84">
        <v>44818</v>
      </c>
      <c r="Y311" s="81" t="s">
        <v>1196</v>
      </c>
      <c r="Z311" s="79" t="str">
        <f>HYPERLINK("https://twitter.com/reinbow05061512/status/1570065019953364993")</f>
        <v>https://twitter.com/reinbow05061512/status/1570065019953364993</v>
      </c>
      <c r="AA311" s="76"/>
      <c r="AB311" s="76"/>
      <c r="AC311" s="81" t="s">
        <v>1534</v>
      </c>
      <c r="AD311" s="76"/>
      <c r="AE311" s="76" t="b">
        <v>0</v>
      </c>
      <c r="AF311" s="76">
        <v>0</v>
      </c>
      <c r="AG311" s="81" t="s">
        <v>1674</v>
      </c>
      <c r="AH311" s="76" t="b">
        <v>0</v>
      </c>
      <c r="AI311" s="76" t="s">
        <v>1772</v>
      </c>
      <c r="AJ311" s="76"/>
      <c r="AK311" s="81" t="s">
        <v>1674</v>
      </c>
      <c r="AL311" s="76" t="b">
        <v>0</v>
      </c>
      <c r="AM311" s="76">
        <v>0</v>
      </c>
      <c r="AN311" s="81" t="s">
        <v>1674</v>
      </c>
      <c r="AO311" s="81" t="s">
        <v>1811</v>
      </c>
      <c r="AP311" s="76" t="b">
        <v>0</v>
      </c>
      <c r="AQ311" s="81" t="s">
        <v>1534</v>
      </c>
      <c r="AR311" s="76" t="s">
        <v>219</v>
      </c>
      <c r="AS311" s="76">
        <v>0</v>
      </c>
      <c r="AT311" s="76">
        <v>0</v>
      </c>
      <c r="AU311" s="76"/>
      <c r="AV311" s="76"/>
      <c r="AW311" s="76"/>
      <c r="AX311" s="76"/>
      <c r="AY311" s="76"/>
      <c r="AZ311" s="76"/>
      <c r="BA311" s="76"/>
      <c r="BB311" s="76"/>
      <c r="BC311">
        <v>43</v>
      </c>
      <c r="BD311" s="75" t="str">
        <f>REPLACE(INDEX(GroupVertices[Group],MATCH(Edges25[[#This Row],[Vertex 1]],GroupVertices[Vertex],0)),1,1,"")</f>
        <v>2</v>
      </c>
      <c r="BE311" s="75" t="str">
        <f>REPLACE(INDEX(GroupVertices[Group],MATCH(Edges25[[#This Row],[Vertex 2]],GroupVertices[Vertex],0)),1,1,"")</f>
        <v>2</v>
      </c>
      <c r="BF311" s="45">
        <v>0</v>
      </c>
      <c r="BG311" s="46">
        <v>0</v>
      </c>
      <c r="BH311" s="45">
        <v>0</v>
      </c>
      <c r="BI311" s="46">
        <v>0</v>
      </c>
      <c r="BJ311" s="45">
        <v>0</v>
      </c>
      <c r="BK311" s="46">
        <v>0</v>
      </c>
      <c r="BL311" s="45">
        <v>19</v>
      </c>
      <c r="BM311" s="46">
        <v>100</v>
      </c>
      <c r="BN311" s="45">
        <v>19</v>
      </c>
    </row>
    <row r="312" spans="1:66" ht="15">
      <c r="A312" s="61" t="s">
        <v>423</v>
      </c>
      <c r="B312" s="61" t="s">
        <v>423</v>
      </c>
      <c r="C312" s="62"/>
      <c r="D312" s="63"/>
      <c r="E312" s="62"/>
      <c r="F312" s="65"/>
      <c r="G312" s="62"/>
      <c r="H312" s="66"/>
      <c r="I312" s="67"/>
      <c r="J312" s="67"/>
      <c r="K312" s="31" t="s">
        <v>65</v>
      </c>
      <c r="L312" s="68">
        <v>429</v>
      </c>
      <c r="M312" s="68"/>
      <c r="N312" s="69"/>
      <c r="O312" s="76" t="s">
        <v>219</v>
      </c>
      <c r="P312" s="78">
        <v>44818.62578703704</v>
      </c>
      <c r="Q312" s="76" t="s">
        <v>756</v>
      </c>
      <c r="R312" s="79" t="str">
        <f>HYPERLINK("https://www.youtube.com/watch?v=ejG32fwnsV4&amp;feature=youtu.be")</f>
        <v>https://www.youtube.com/watch?v=ejG32fwnsV4&amp;feature=youtu.be</v>
      </c>
      <c r="S312" s="76" t="s">
        <v>790</v>
      </c>
      <c r="T312" s="81" t="s">
        <v>875</v>
      </c>
      <c r="U312" s="76"/>
      <c r="V312" s="79" t="str">
        <f>HYPERLINK("https://abs.twimg.com/sticky/default_profile_images/default_profile_normal.png")</f>
        <v>https://abs.twimg.com/sticky/default_profile_images/default_profile_normal.png</v>
      </c>
      <c r="W312" s="78">
        <v>44818.62578703704</v>
      </c>
      <c r="X312" s="84">
        <v>44818</v>
      </c>
      <c r="Y312" s="81" t="s">
        <v>1197</v>
      </c>
      <c r="Z312" s="79" t="str">
        <f>HYPERLINK("https://twitter.com/reinbow05061512/status/1570065113054330883")</f>
        <v>https://twitter.com/reinbow05061512/status/1570065113054330883</v>
      </c>
      <c r="AA312" s="76"/>
      <c r="AB312" s="76"/>
      <c r="AC312" s="81" t="s">
        <v>1535</v>
      </c>
      <c r="AD312" s="76"/>
      <c r="AE312" s="76" t="b">
        <v>0</v>
      </c>
      <c r="AF312" s="76">
        <v>0</v>
      </c>
      <c r="AG312" s="81" t="s">
        <v>1674</v>
      </c>
      <c r="AH312" s="76" t="b">
        <v>0</v>
      </c>
      <c r="AI312" s="76" t="s">
        <v>1772</v>
      </c>
      <c r="AJ312" s="76"/>
      <c r="AK312" s="81" t="s">
        <v>1674</v>
      </c>
      <c r="AL312" s="76" t="b">
        <v>0</v>
      </c>
      <c r="AM312" s="76">
        <v>0</v>
      </c>
      <c r="AN312" s="81" t="s">
        <v>1674</v>
      </c>
      <c r="AO312" s="81" t="s">
        <v>1811</v>
      </c>
      <c r="AP312" s="76" t="b">
        <v>0</v>
      </c>
      <c r="AQ312" s="81" t="s">
        <v>1535</v>
      </c>
      <c r="AR312" s="76" t="s">
        <v>219</v>
      </c>
      <c r="AS312" s="76">
        <v>0</v>
      </c>
      <c r="AT312" s="76">
        <v>0</v>
      </c>
      <c r="AU312" s="76"/>
      <c r="AV312" s="76"/>
      <c r="AW312" s="76"/>
      <c r="AX312" s="76"/>
      <c r="AY312" s="76"/>
      <c r="AZ312" s="76"/>
      <c r="BA312" s="76"/>
      <c r="BB312" s="76"/>
      <c r="BC312">
        <v>43</v>
      </c>
      <c r="BD312" s="75" t="str">
        <f>REPLACE(INDEX(GroupVertices[Group],MATCH(Edges25[[#This Row],[Vertex 1]],GroupVertices[Vertex],0)),1,1,"")</f>
        <v>2</v>
      </c>
      <c r="BE312" s="75" t="str">
        <f>REPLACE(INDEX(GroupVertices[Group],MATCH(Edges25[[#This Row],[Vertex 2]],GroupVertices[Vertex],0)),1,1,"")</f>
        <v>2</v>
      </c>
      <c r="BF312" s="45">
        <v>1</v>
      </c>
      <c r="BG312" s="46">
        <v>7.142857142857143</v>
      </c>
      <c r="BH312" s="45">
        <v>0</v>
      </c>
      <c r="BI312" s="46">
        <v>0</v>
      </c>
      <c r="BJ312" s="45">
        <v>0</v>
      </c>
      <c r="BK312" s="46">
        <v>0</v>
      </c>
      <c r="BL312" s="45">
        <v>13</v>
      </c>
      <c r="BM312" s="46">
        <v>92.85714285714286</v>
      </c>
      <c r="BN312" s="45">
        <v>14</v>
      </c>
    </row>
    <row r="313" spans="1:66" ht="15">
      <c r="A313" s="61" t="s">
        <v>423</v>
      </c>
      <c r="B313" s="61" t="s">
        <v>423</v>
      </c>
      <c r="C313" s="62"/>
      <c r="D313" s="63"/>
      <c r="E313" s="62"/>
      <c r="F313" s="65"/>
      <c r="G313" s="62"/>
      <c r="H313" s="66"/>
      <c r="I313" s="67"/>
      <c r="J313" s="67"/>
      <c r="K313" s="31" t="s">
        <v>65</v>
      </c>
      <c r="L313" s="68">
        <v>430</v>
      </c>
      <c r="M313" s="68"/>
      <c r="N313" s="69"/>
      <c r="O313" s="76" t="s">
        <v>219</v>
      </c>
      <c r="P313" s="78">
        <v>44818.7712962963</v>
      </c>
      <c r="Q313" s="76" t="s">
        <v>761</v>
      </c>
      <c r="R313" s="79" t="str">
        <f>HYPERLINK("https://www.youtube.com/watch?v=PMOHqsUyk7Y&amp;feature=youtu.be")</f>
        <v>https://www.youtube.com/watch?v=PMOHqsUyk7Y&amp;feature=youtu.be</v>
      </c>
      <c r="S313" s="76" t="s">
        <v>790</v>
      </c>
      <c r="T313" s="81" t="s">
        <v>876</v>
      </c>
      <c r="U313" s="76"/>
      <c r="V313" s="79" t="str">
        <f>HYPERLINK("https://abs.twimg.com/sticky/default_profile_images/default_profile_normal.png")</f>
        <v>https://abs.twimg.com/sticky/default_profile_images/default_profile_normal.png</v>
      </c>
      <c r="W313" s="78">
        <v>44818.7712962963</v>
      </c>
      <c r="X313" s="84">
        <v>44818</v>
      </c>
      <c r="Y313" s="81" t="s">
        <v>1175</v>
      </c>
      <c r="Z313" s="79" t="str">
        <f>HYPERLINK("https://twitter.com/reinbow05061512/status/1570117847795531777")</f>
        <v>https://twitter.com/reinbow05061512/status/1570117847795531777</v>
      </c>
      <c r="AA313" s="76"/>
      <c r="AB313" s="76"/>
      <c r="AC313" s="81" t="s">
        <v>1536</v>
      </c>
      <c r="AD313" s="76"/>
      <c r="AE313" s="76" t="b">
        <v>0</v>
      </c>
      <c r="AF313" s="76">
        <v>0</v>
      </c>
      <c r="AG313" s="81" t="s">
        <v>1674</v>
      </c>
      <c r="AH313" s="76" t="b">
        <v>0</v>
      </c>
      <c r="AI313" s="76" t="s">
        <v>1773</v>
      </c>
      <c r="AJ313" s="76"/>
      <c r="AK313" s="81" t="s">
        <v>1674</v>
      </c>
      <c r="AL313" s="76" t="b">
        <v>0</v>
      </c>
      <c r="AM313" s="76">
        <v>0</v>
      </c>
      <c r="AN313" s="81" t="s">
        <v>1674</v>
      </c>
      <c r="AO313" s="81" t="s">
        <v>1811</v>
      </c>
      <c r="AP313" s="76" t="b">
        <v>0</v>
      </c>
      <c r="AQ313" s="81" t="s">
        <v>1536</v>
      </c>
      <c r="AR313" s="76" t="s">
        <v>219</v>
      </c>
      <c r="AS313" s="76">
        <v>0</v>
      </c>
      <c r="AT313" s="76">
        <v>0</v>
      </c>
      <c r="AU313" s="76"/>
      <c r="AV313" s="76"/>
      <c r="AW313" s="76"/>
      <c r="AX313" s="76"/>
      <c r="AY313" s="76"/>
      <c r="AZ313" s="76"/>
      <c r="BA313" s="76"/>
      <c r="BB313" s="76"/>
      <c r="BC313">
        <v>43</v>
      </c>
      <c r="BD313" s="75" t="str">
        <f>REPLACE(INDEX(GroupVertices[Group],MATCH(Edges25[[#This Row],[Vertex 1]],GroupVertices[Vertex],0)),1,1,"")</f>
        <v>2</v>
      </c>
      <c r="BE313" s="75" t="str">
        <f>REPLACE(INDEX(GroupVertices[Group],MATCH(Edges25[[#This Row],[Vertex 2]],GroupVertices[Vertex],0)),1,1,"")</f>
        <v>2</v>
      </c>
      <c r="BF313" s="45">
        <v>0</v>
      </c>
      <c r="BG313" s="46">
        <v>0</v>
      </c>
      <c r="BH313" s="45">
        <v>0</v>
      </c>
      <c r="BI313" s="46">
        <v>0</v>
      </c>
      <c r="BJ313" s="45">
        <v>0</v>
      </c>
      <c r="BK313" s="46">
        <v>0</v>
      </c>
      <c r="BL313" s="45">
        <v>13</v>
      </c>
      <c r="BM313" s="46">
        <v>100</v>
      </c>
      <c r="BN313" s="45">
        <v>13</v>
      </c>
    </row>
    <row r="314" spans="1:66" ht="15">
      <c r="A314" s="61" t="s">
        <v>423</v>
      </c>
      <c r="B314" s="61" t="s">
        <v>423</v>
      </c>
      <c r="C314" s="62"/>
      <c r="D314" s="63"/>
      <c r="E314" s="62"/>
      <c r="F314" s="65"/>
      <c r="G314" s="62"/>
      <c r="H314" s="66"/>
      <c r="I314" s="67"/>
      <c r="J314" s="67"/>
      <c r="K314" s="31" t="s">
        <v>65</v>
      </c>
      <c r="L314" s="68">
        <v>431</v>
      </c>
      <c r="M314" s="68"/>
      <c r="N314" s="69"/>
      <c r="O314" s="76" t="s">
        <v>219</v>
      </c>
      <c r="P314" s="78">
        <v>44818.95900462963</v>
      </c>
      <c r="Q314" s="76" t="s">
        <v>764</v>
      </c>
      <c r="R314" s="79" t="str">
        <f>HYPERLINK("https://www.youtube.com/watch?v=uHIVevq290k&amp;feature=youtu.be")</f>
        <v>https://www.youtube.com/watch?v=uHIVevq290k&amp;feature=youtu.be</v>
      </c>
      <c r="S314" s="76" t="s">
        <v>790</v>
      </c>
      <c r="T314" s="81" t="s">
        <v>878</v>
      </c>
      <c r="U314" s="76"/>
      <c r="V314" s="79" t="str">
        <f>HYPERLINK("https://abs.twimg.com/sticky/default_profile_images/default_profile_normal.png")</f>
        <v>https://abs.twimg.com/sticky/default_profile_images/default_profile_normal.png</v>
      </c>
      <c r="W314" s="78">
        <v>44818.95900462963</v>
      </c>
      <c r="X314" s="84">
        <v>44818</v>
      </c>
      <c r="Y314" s="81" t="s">
        <v>1198</v>
      </c>
      <c r="Z314" s="79" t="str">
        <f>HYPERLINK("https://twitter.com/reinbow05061512/status/1570185869952450563")</f>
        <v>https://twitter.com/reinbow05061512/status/1570185869952450563</v>
      </c>
      <c r="AA314" s="76"/>
      <c r="AB314" s="76"/>
      <c r="AC314" s="81" t="s">
        <v>1537</v>
      </c>
      <c r="AD314" s="76"/>
      <c r="AE314" s="76" t="b">
        <v>0</v>
      </c>
      <c r="AF314" s="76">
        <v>0</v>
      </c>
      <c r="AG314" s="81" t="s">
        <v>1674</v>
      </c>
      <c r="AH314" s="76" t="b">
        <v>0</v>
      </c>
      <c r="AI314" s="76" t="s">
        <v>1772</v>
      </c>
      <c r="AJ314" s="76"/>
      <c r="AK314" s="81" t="s">
        <v>1674</v>
      </c>
      <c r="AL314" s="76" t="b">
        <v>0</v>
      </c>
      <c r="AM314" s="76">
        <v>0</v>
      </c>
      <c r="AN314" s="81" t="s">
        <v>1674</v>
      </c>
      <c r="AO314" s="81" t="s">
        <v>1811</v>
      </c>
      <c r="AP314" s="76" t="b">
        <v>0</v>
      </c>
      <c r="AQ314" s="81" t="s">
        <v>1537</v>
      </c>
      <c r="AR314" s="76" t="s">
        <v>219</v>
      </c>
      <c r="AS314" s="76">
        <v>0</v>
      </c>
      <c r="AT314" s="76">
        <v>0</v>
      </c>
      <c r="AU314" s="76"/>
      <c r="AV314" s="76"/>
      <c r="AW314" s="76"/>
      <c r="AX314" s="76"/>
      <c r="AY314" s="76"/>
      <c r="AZ314" s="76"/>
      <c r="BA314" s="76"/>
      <c r="BB314" s="76"/>
      <c r="BC314">
        <v>43</v>
      </c>
      <c r="BD314" s="75" t="str">
        <f>REPLACE(INDEX(GroupVertices[Group],MATCH(Edges25[[#This Row],[Vertex 1]],GroupVertices[Vertex],0)),1,1,"")</f>
        <v>2</v>
      </c>
      <c r="BE314" s="75" t="str">
        <f>REPLACE(INDEX(GroupVertices[Group],MATCH(Edges25[[#This Row],[Vertex 2]],GroupVertices[Vertex],0)),1,1,"")</f>
        <v>2</v>
      </c>
      <c r="BF314" s="45">
        <v>0</v>
      </c>
      <c r="BG314" s="46">
        <v>0</v>
      </c>
      <c r="BH314" s="45">
        <v>0</v>
      </c>
      <c r="BI314" s="46">
        <v>0</v>
      </c>
      <c r="BJ314" s="45">
        <v>0</v>
      </c>
      <c r="BK314" s="46">
        <v>0</v>
      </c>
      <c r="BL314" s="45">
        <v>16</v>
      </c>
      <c r="BM314" s="46">
        <v>100</v>
      </c>
      <c r="BN314" s="45">
        <v>16</v>
      </c>
    </row>
    <row r="315" spans="1:66" ht="15">
      <c r="A315" s="61" t="s">
        <v>423</v>
      </c>
      <c r="B315" s="61" t="s">
        <v>423</v>
      </c>
      <c r="C315" s="62"/>
      <c r="D315" s="63"/>
      <c r="E315" s="62"/>
      <c r="F315" s="65"/>
      <c r="G315" s="62"/>
      <c r="H315" s="66"/>
      <c r="I315" s="67"/>
      <c r="J315" s="67"/>
      <c r="K315" s="31" t="s">
        <v>65</v>
      </c>
      <c r="L315" s="68">
        <v>432</v>
      </c>
      <c r="M315" s="68"/>
      <c r="N315" s="69"/>
      <c r="O315" s="76" t="s">
        <v>219</v>
      </c>
      <c r="P315" s="78">
        <v>44818.95915509259</v>
      </c>
      <c r="Q315" s="76" t="s">
        <v>758</v>
      </c>
      <c r="R315" s="79" t="str">
        <f>HYPERLINK("https://ameblo.jp/historical-gay/entry-10222227037.html")</f>
        <v>https://ameblo.jp/historical-gay/entry-10222227037.html</v>
      </c>
      <c r="S315" s="76" t="s">
        <v>791</v>
      </c>
      <c r="T315" s="81" t="s">
        <v>877</v>
      </c>
      <c r="U315" s="76"/>
      <c r="V315" s="79" t="str">
        <f>HYPERLINK("https://abs.twimg.com/sticky/default_profile_images/default_profile_normal.png")</f>
        <v>https://abs.twimg.com/sticky/default_profile_images/default_profile_normal.png</v>
      </c>
      <c r="W315" s="78">
        <v>44818.95915509259</v>
      </c>
      <c r="X315" s="84">
        <v>44818</v>
      </c>
      <c r="Y315" s="81" t="s">
        <v>1199</v>
      </c>
      <c r="Z315" s="79" t="str">
        <f>HYPERLINK("https://twitter.com/reinbow05061512/status/1570185922284494849")</f>
        <v>https://twitter.com/reinbow05061512/status/1570185922284494849</v>
      </c>
      <c r="AA315" s="76"/>
      <c r="AB315" s="76"/>
      <c r="AC315" s="81" t="s">
        <v>1538</v>
      </c>
      <c r="AD315" s="76"/>
      <c r="AE315" s="76" t="b">
        <v>0</v>
      </c>
      <c r="AF315" s="76">
        <v>0</v>
      </c>
      <c r="AG315" s="81" t="s">
        <v>1674</v>
      </c>
      <c r="AH315" s="76" t="b">
        <v>0</v>
      </c>
      <c r="AI315" s="76" t="s">
        <v>1773</v>
      </c>
      <c r="AJ315" s="76"/>
      <c r="AK315" s="81" t="s">
        <v>1674</v>
      </c>
      <c r="AL315" s="76" t="b">
        <v>0</v>
      </c>
      <c r="AM315" s="76">
        <v>0</v>
      </c>
      <c r="AN315" s="81" t="s">
        <v>1674</v>
      </c>
      <c r="AO315" s="81" t="s">
        <v>1811</v>
      </c>
      <c r="AP315" s="76" t="b">
        <v>0</v>
      </c>
      <c r="AQ315" s="81" t="s">
        <v>1538</v>
      </c>
      <c r="AR315" s="76" t="s">
        <v>219</v>
      </c>
      <c r="AS315" s="76">
        <v>0</v>
      </c>
      <c r="AT315" s="76">
        <v>0</v>
      </c>
      <c r="AU315" s="76"/>
      <c r="AV315" s="76"/>
      <c r="AW315" s="76"/>
      <c r="AX315" s="76"/>
      <c r="AY315" s="76"/>
      <c r="AZ315" s="76"/>
      <c r="BA315" s="76"/>
      <c r="BB315" s="76"/>
      <c r="BC315">
        <v>43</v>
      </c>
      <c r="BD315" s="75" t="str">
        <f>REPLACE(INDEX(GroupVertices[Group],MATCH(Edges25[[#This Row],[Vertex 1]],GroupVertices[Vertex],0)),1,1,"")</f>
        <v>2</v>
      </c>
      <c r="BE315" s="75" t="str">
        <f>REPLACE(INDEX(GroupVertices[Group],MATCH(Edges25[[#This Row],[Vertex 2]],GroupVertices[Vertex],0)),1,1,"")</f>
        <v>2</v>
      </c>
      <c r="BF315" s="45">
        <v>0</v>
      </c>
      <c r="BG315" s="46">
        <v>0</v>
      </c>
      <c r="BH315" s="45">
        <v>0</v>
      </c>
      <c r="BI315" s="46">
        <v>0</v>
      </c>
      <c r="BJ315" s="45">
        <v>0</v>
      </c>
      <c r="BK315" s="46">
        <v>0</v>
      </c>
      <c r="BL315" s="45">
        <v>13</v>
      </c>
      <c r="BM315" s="46">
        <v>100</v>
      </c>
      <c r="BN315" s="45">
        <v>13</v>
      </c>
    </row>
    <row r="316" spans="1:66" ht="15">
      <c r="A316" s="61" t="s">
        <v>423</v>
      </c>
      <c r="B316" s="61" t="s">
        <v>423</v>
      </c>
      <c r="C316" s="62"/>
      <c r="D316" s="63"/>
      <c r="E316" s="62"/>
      <c r="F316" s="65"/>
      <c r="G316" s="62"/>
      <c r="H316" s="66"/>
      <c r="I316" s="67"/>
      <c r="J316" s="67"/>
      <c r="K316" s="31" t="s">
        <v>65</v>
      </c>
      <c r="L316" s="68">
        <v>433</v>
      </c>
      <c r="M316" s="68"/>
      <c r="N316" s="69"/>
      <c r="O316" s="76" t="s">
        <v>219</v>
      </c>
      <c r="P316" s="78">
        <v>44819.62583333333</v>
      </c>
      <c r="Q316" s="76" t="s">
        <v>756</v>
      </c>
      <c r="R316" s="79" t="str">
        <f>HYPERLINK("https://www.youtube.com/watch?v=ejG32fwnsV4&amp;feature=youtu.be")</f>
        <v>https://www.youtube.com/watch?v=ejG32fwnsV4&amp;feature=youtu.be</v>
      </c>
      <c r="S316" s="76" t="s">
        <v>790</v>
      </c>
      <c r="T316" s="81" t="s">
        <v>875</v>
      </c>
      <c r="U316" s="76"/>
      <c r="V316" s="79" t="str">
        <f>HYPERLINK("https://abs.twimg.com/sticky/default_profile_images/default_profile_normal.png")</f>
        <v>https://abs.twimg.com/sticky/default_profile_images/default_profile_normal.png</v>
      </c>
      <c r="W316" s="78">
        <v>44819.62583333333</v>
      </c>
      <c r="X316" s="84">
        <v>44819</v>
      </c>
      <c r="Y316" s="81" t="s">
        <v>1200</v>
      </c>
      <c r="Z316" s="79" t="str">
        <f>HYPERLINK("https://twitter.com/reinbow05061512/status/1570427521077755904")</f>
        <v>https://twitter.com/reinbow05061512/status/1570427521077755904</v>
      </c>
      <c r="AA316" s="76"/>
      <c r="AB316" s="76"/>
      <c r="AC316" s="81" t="s">
        <v>1539</v>
      </c>
      <c r="AD316" s="76"/>
      <c r="AE316" s="76" t="b">
        <v>0</v>
      </c>
      <c r="AF316" s="76">
        <v>0</v>
      </c>
      <c r="AG316" s="81" t="s">
        <v>1674</v>
      </c>
      <c r="AH316" s="76" t="b">
        <v>0</v>
      </c>
      <c r="AI316" s="76" t="s">
        <v>1772</v>
      </c>
      <c r="AJ316" s="76"/>
      <c r="AK316" s="81" t="s">
        <v>1674</v>
      </c>
      <c r="AL316" s="76" t="b">
        <v>0</v>
      </c>
      <c r="AM316" s="76">
        <v>0</v>
      </c>
      <c r="AN316" s="81" t="s">
        <v>1674</v>
      </c>
      <c r="AO316" s="81" t="s">
        <v>1811</v>
      </c>
      <c r="AP316" s="76" t="b">
        <v>0</v>
      </c>
      <c r="AQ316" s="81" t="s">
        <v>1539</v>
      </c>
      <c r="AR316" s="76" t="s">
        <v>219</v>
      </c>
      <c r="AS316" s="76">
        <v>0</v>
      </c>
      <c r="AT316" s="76">
        <v>0</v>
      </c>
      <c r="AU316" s="76"/>
      <c r="AV316" s="76"/>
      <c r="AW316" s="76"/>
      <c r="AX316" s="76"/>
      <c r="AY316" s="76"/>
      <c r="AZ316" s="76"/>
      <c r="BA316" s="76"/>
      <c r="BB316" s="76"/>
      <c r="BC316">
        <v>43</v>
      </c>
      <c r="BD316" s="75" t="str">
        <f>REPLACE(INDEX(GroupVertices[Group],MATCH(Edges25[[#This Row],[Vertex 1]],GroupVertices[Vertex],0)),1,1,"")</f>
        <v>2</v>
      </c>
      <c r="BE316" s="75" t="str">
        <f>REPLACE(INDEX(GroupVertices[Group],MATCH(Edges25[[#This Row],[Vertex 2]],GroupVertices[Vertex],0)),1,1,"")</f>
        <v>2</v>
      </c>
      <c r="BF316" s="45">
        <v>1</v>
      </c>
      <c r="BG316" s="46">
        <v>7.142857142857143</v>
      </c>
      <c r="BH316" s="45">
        <v>0</v>
      </c>
      <c r="BI316" s="46">
        <v>0</v>
      </c>
      <c r="BJ316" s="45">
        <v>0</v>
      </c>
      <c r="BK316" s="46">
        <v>0</v>
      </c>
      <c r="BL316" s="45">
        <v>13</v>
      </c>
      <c r="BM316" s="46">
        <v>92.85714285714286</v>
      </c>
      <c r="BN316" s="45">
        <v>14</v>
      </c>
    </row>
    <row r="317" spans="1:66" ht="15">
      <c r="A317" s="61" t="s">
        <v>423</v>
      </c>
      <c r="B317" s="61" t="s">
        <v>423</v>
      </c>
      <c r="C317" s="62"/>
      <c r="D317" s="63"/>
      <c r="E317" s="62"/>
      <c r="F317" s="65"/>
      <c r="G317" s="62"/>
      <c r="H317" s="66"/>
      <c r="I317" s="67"/>
      <c r="J317" s="67"/>
      <c r="K317" s="31" t="s">
        <v>65</v>
      </c>
      <c r="L317" s="68">
        <v>434</v>
      </c>
      <c r="M317" s="68"/>
      <c r="N317" s="69"/>
      <c r="O317" s="76" t="s">
        <v>219</v>
      </c>
      <c r="P317" s="78">
        <v>44819.626064814816</v>
      </c>
      <c r="Q317" s="76" t="s">
        <v>760</v>
      </c>
      <c r="R317" s="79" t="str">
        <f>HYPERLINK("https://www.youtube.com/watch?v=V75pj41VFGk")</f>
        <v>https://www.youtube.com/watch?v=V75pj41VFGk</v>
      </c>
      <c r="S317" s="76" t="s">
        <v>790</v>
      </c>
      <c r="T317" s="81" t="s">
        <v>875</v>
      </c>
      <c r="U317" s="76"/>
      <c r="V317" s="79" t="str">
        <f>HYPERLINK("https://abs.twimg.com/sticky/default_profile_images/default_profile_normal.png")</f>
        <v>https://abs.twimg.com/sticky/default_profile_images/default_profile_normal.png</v>
      </c>
      <c r="W317" s="78">
        <v>44819.626064814816</v>
      </c>
      <c r="X317" s="84">
        <v>44819</v>
      </c>
      <c r="Y317" s="81" t="s">
        <v>1201</v>
      </c>
      <c r="Z317" s="79" t="str">
        <f>HYPERLINK("https://twitter.com/reinbow05061512/status/1570427605245112320")</f>
        <v>https://twitter.com/reinbow05061512/status/1570427605245112320</v>
      </c>
      <c r="AA317" s="76"/>
      <c r="AB317" s="76"/>
      <c r="AC317" s="81" t="s">
        <v>1540</v>
      </c>
      <c r="AD317" s="76"/>
      <c r="AE317" s="76" t="b">
        <v>0</v>
      </c>
      <c r="AF317" s="76">
        <v>0</v>
      </c>
      <c r="AG317" s="81" t="s">
        <v>1674</v>
      </c>
      <c r="AH317" s="76" t="b">
        <v>0</v>
      </c>
      <c r="AI317" s="76" t="s">
        <v>1772</v>
      </c>
      <c r="AJ317" s="76"/>
      <c r="AK317" s="81" t="s">
        <v>1674</v>
      </c>
      <c r="AL317" s="76" t="b">
        <v>0</v>
      </c>
      <c r="AM317" s="76">
        <v>0</v>
      </c>
      <c r="AN317" s="81" t="s">
        <v>1674</v>
      </c>
      <c r="AO317" s="81" t="s">
        <v>1811</v>
      </c>
      <c r="AP317" s="76" t="b">
        <v>0</v>
      </c>
      <c r="AQ317" s="81" t="s">
        <v>1540</v>
      </c>
      <c r="AR317" s="76" t="s">
        <v>219</v>
      </c>
      <c r="AS317" s="76">
        <v>0</v>
      </c>
      <c r="AT317" s="76">
        <v>0</v>
      </c>
      <c r="AU317" s="76"/>
      <c r="AV317" s="76"/>
      <c r="AW317" s="76"/>
      <c r="AX317" s="76"/>
      <c r="AY317" s="76"/>
      <c r="AZ317" s="76"/>
      <c r="BA317" s="76"/>
      <c r="BB317" s="76"/>
      <c r="BC317">
        <v>43</v>
      </c>
      <c r="BD317" s="75" t="str">
        <f>REPLACE(INDEX(GroupVertices[Group],MATCH(Edges25[[#This Row],[Vertex 1]],GroupVertices[Vertex],0)),1,1,"")</f>
        <v>2</v>
      </c>
      <c r="BE317" s="75" t="str">
        <f>REPLACE(INDEX(GroupVertices[Group],MATCH(Edges25[[#This Row],[Vertex 2]],GroupVertices[Vertex],0)),1,1,"")</f>
        <v>2</v>
      </c>
      <c r="BF317" s="45">
        <v>0</v>
      </c>
      <c r="BG317" s="46">
        <v>0</v>
      </c>
      <c r="BH317" s="45">
        <v>0</v>
      </c>
      <c r="BI317" s="46">
        <v>0</v>
      </c>
      <c r="BJ317" s="45">
        <v>0</v>
      </c>
      <c r="BK317" s="46">
        <v>0</v>
      </c>
      <c r="BL317" s="45">
        <v>19</v>
      </c>
      <c r="BM317" s="46">
        <v>100</v>
      </c>
      <c r="BN317" s="45">
        <v>19</v>
      </c>
    </row>
    <row r="318" spans="1:66" ht="15">
      <c r="A318" s="61" t="s">
        <v>423</v>
      </c>
      <c r="B318" s="61" t="s">
        <v>423</v>
      </c>
      <c r="C318" s="62"/>
      <c r="D318" s="63"/>
      <c r="E318" s="62"/>
      <c r="F318" s="65"/>
      <c r="G318" s="62"/>
      <c r="H318" s="66"/>
      <c r="I318" s="67"/>
      <c r="J318" s="67"/>
      <c r="K318" s="31" t="s">
        <v>65</v>
      </c>
      <c r="L318" s="68">
        <v>435</v>
      </c>
      <c r="M318" s="68"/>
      <c r="N318" s="69"/>
      <c r="O318" s="76" t="s">
        <v>219</v>
      </c>
      <c r="P318" s="78">
        <v>44819.77127314815</v>
      </c>
      <c r="Q318" s="76" t="s">
        <v>757</v>
      </c>
      <c r="R318" s="79" t="str">
        <f>HYPERLINK("https://www.youtube.com/watch?v=PMOHqsUyk7Y&amp;feature=youtu.be")</f>
        <v>https://www.youtube.com/watch?v=PMOHqsUyk7Y&amp;feature=youtu.be</v>
      </c>
      <c r="S318" s="76" t="s">
        <v>790</v>
      </c>
      <c r="T318" s="81" t="s">
        <v>876</v>
      </c>
      <c r="U318" s="76"/>
      <c r="V318" s="79" t="str">
        <f>HYPERLINK("https://abs.twimg.com/sticky/default_profile_images/default_profile_normal.png")</f>
        <v>https://abs.twimg.com/sticky/default_profile_images/default_profile_normal.png</v>
      </c>
      <c r="W318" s="78">
        <v>44819.77127314815</v>
      </c>
      <c r="X318" s="84">
        <v>44819</v>
      </c>
      <c r="Y318" s="81" t="s">
        <v>1202</v>
      </c>
      <c r="Z318" s="79" t="str">
        <f>HYPERLINK("https://twitter.com/reinbow05061512/status/1570480224789209091")</f>
        <v>https://twitter.com/reinbow05061512/status/1570480224789209091</v>
      </c>
      <c r="AA318" s="76"/>
      <c r="AB318" s="76"/>
      <c r="AC318" s="81" t="s">
        <v>1541</v>
      </c>
      <c r="AD318" s="76"/>
      <c r="AE318" s="76" t="b">
        <v>0</v>
      </c>
      <c r="AF318" s="76">
        <v>0</v>
      </c>
      <c r="AG318" s="81" t="s">
        <v>1674</v>
      </c>
      <c r="AH318" s="76" t="b">
        <v>0</v>
      </c>
      <c r="AI318" s="76" t="s">
        <v>1773</v>
      </c>
      <c r="AJ318" s="76"/>
      <c r="AK318" s="81" t="s">
        <v>1674</v>
      </c>
      <c r="AL318" s="76" t="b">
        <v>0</v>
      </c>
      <c r="AM318" s="76">
        <v>0</v>
      </c>
      <c r="AN318" s="81" t="s">
        <v>1674</v>
      </c>
      <c r="AO318" s="81" t="s">
        <v>1811</v>
      </c>
      <c r="AP318" s="76" t="b">
        <v>0</v>
      </c>
      <c r="AQ318" s="81" t="s">
        <v>1541</v>
      </c>
      <c r="AR318" s="76" t="s">
        <v>219</v>
      </c>
      <c r="AS318" s="76">
        <v>0</v>
      </c>
      <c r="AT318" s="76">
        <v>0</v>
      </c>
      <c r="AU318" s="76"/>
      <c r="AV318" s="76"/>
      <c r="AW318" s="76"/>
      <c r="AX318" s="76"/>
      <c r="AY318" s="76"/>
      <c r="AZ318" s="76"/>
      <c r="BA318" s="76"/>
      <c r="BB318" s="76"/>
      <c r="BC318">
        <v>43</v>
      </c>
      <c r="BD318" s="75" t="str">
        <f>REPLACE(INDEX(GroupVertices[Group],MATCH(Edges25[[#This Row],[Vertex 1]],GroupVertices[Vertex],0)),1,1,"")</f>
        <v>2</v>
      </c>
      <c r="BE318" s="75" t="str">
        <f>REPLACE(INDEX(GroupVertices[Group],MATCH(Edges25[[#This Row],[Vertex 2]],GroupVertices[Vertex],0)),1,1,"")</f>
        <v>2</v>
      </c>
      <c r="BF318" s="45">
        <v>0</v>
      </c>
      <c r="BG318" s="46">
        <v>0</v>
      </c>
      <c r="BH318" s="45">
        <v>0</v>
      </c>
      <c r="BI318" s="46">
        <v>0</v>
      </c>
      <c r="BJ318" s="45">
        <v>0</v>
      </c>
      <c r="BK318" s="46">
        <v>0</v>
      </c>
      <c r="BL318" s="45">
        <v>13</v>
      </c>
      <c r="BM318" s="46">
        <v>100</v>
      </c>
      <c r="BN318" s="45">
        <v>13</v>
      </c>
    </row>
    <row r="319" spans="1:66" ht="15">
      <c r="A319" s="61" t="s">
        <v>424</v>
      </c>
      <c r="B319" s="61" t="s">
        <v>426</v>
      </c>
      <c r="C319" s="62"/>
      <c r="D319" s="63"/>
      <c r="E319" s="62"/>
      <c r="F319" s="65"/>
      <c r="G319" s="62"/>
      <c r="H319" s="66"/>
      <c r="I319" s="67"/>
      <c r="J319" s="67"/>
      <c r="K319" s="31" t="s">
        <v>65</v>
      </c>
      <c r="L319" s="68">
        <v>436</v>
      </c>
      <c r="M319" s="68"/>
      <c r="N319" s="69"/>
      <c r="O319" s="76" t="s">
        <v>586</v>
      </c>
      <c r="P319" s="78">
        <v>44819.79618055555</v>
      </c>
      <c r="Q319" s="76" t="s">
        <v>724</v>
      </c>
      <c r="R319" s="76"/>
      <c r="S319" s="76"/>
      <c r="T319" s="81" t="s">
        <v>795</v>
      </c>
      <c r="U319" s="79" t="str">
        <f>HYPERLINK("https://pbs.twimg.com/media/FcsKLa1WAAAi_cQ.jpg")</f>
        <v>https://pbs.twimg.com/media/FcsKLa1WAAAi_cQ.jpg</v>
      </c>
      <c r="V319" s="79" t="str">
        <f>HYPERLINK("https://pbs.twimg.com/media/FcsKLa1WAAAi_cQ.jpg")</f>
        <v>https://pbs.twimg.com/media/FcsKLa1WAAAi_cQ.jpg</v>
      </c>
      <c r="W319" s="78">
        <v>44819.79618055555</v>
      </c>
      <c r="X319" s="84">
        <v>44819</v>
      </c>
      <c r="Y319" s="81" t="s">
        <v>1203</v>
      </c>
      <c r="Z319" s="79" t="str">
        <f>HYPERLINK("https://twitter.com/34berkut/status/1570489251934109696")</f>
        <v>https://twitter.com/34berkut/status/1570489251934109696</v>
      </c>
      <c r="AA319" s="76"/>
      <c r="AB319" s="76"/>
      <c r="AC319" s="81" t="s">
        <v>1542</v>
      </c>
      <c r="AD319" s="76"/>
      <c r="AE319" s="76" t="b">
        <v>0</v>
      </c>
      <c r="AF319" s="76">
        <v>0</v>
      </c>
      <c r="AG319" s="81" t="s">
        <v>1674</v>
      </c>
      <c r="AH319" s="76" t="b">
        <v>0</v>
      </c>
      <c r="AI319" s="76" t="s">
        <v>1775</v>
      </c>
      <c r="AJ319" s="76"/>
      <c r="AK319" s="81" t="s">
        <v>1674</v>
      </c>
      <c r="AL319" s="76" t="b">
        <v>0</v>
      </c>
      <c r="AM319" s="76">
        <v>3</v>
      </c>
      <c r="AN319" s="81" t="s">
        <v>1545</v>
      </c>
      <c r="AO319" s="81" t="s">
        <v>1808</v>
      </c>
      <c r="AP319" s="76" t="b">
        <v>0</v>
      </c>
      <c r="AQ319" s="81" t="s">
        <v>1545</v>
      </c>
      <c r="AR319" s="76" t="s">
        <v>219</v>
      </c>
      <c r="AS319" s="76">
        <v>0</v>
      </c>
      <c r="AT319" s="76">
        <v>0</v>
      </c>
      <c r="AU319" s="76"/>
      <c r="AV319" s="76"/>
      <c r="AW319" s="76"/>
      <c r="AX319" s="76"/>
      <c r="AY319" s="76"/>
      <c r="AZ319" s="76"/>
      <c r="BA319" s="76"/>
      <c r="BB319" s="76"/>
      <c r="BC319">
        <v>1</v>
      </c>
      <c r="BD319" s="75" t="str">
        <f>REPLACE(INDEX(GroupVertices[Group],MATCH(Edges25[[#This Row],[Vertex 1]],GroupVertices[Vertex],0)),1,1,"")</f>
        <v>20</v>
      </c>
      <c r="BE319" s="75" t="str">
        <f>REPLACE(INDEX(GroupVertices[Group],MATCH(Edges25[[#This Row],[Vertex 2]],GroupVertices[Vertex],0)),1,1,"")</f>
        <v>20</v>
      </c>
      <c r="BF319" s="45">
        <v>0</v>
      </c>
      <c r="BG319" s="46">
        <v>0</v>
      </c>
      <c r="BH319" s="45">
        <v>0</v>
      </c>
      <c r="BI319" s="46">
        <v>0</v>
      </c>
      <c r="BJ319" s="45">
        <v>0</v>
      </c>
      <c r="BK319" s="46">
        <v>0</v>
      </c>
      <c r="BL319" s="45">
        <v>13</v>
      </c>
      <c r="BM319" s="46">
        <v>100</v>
      </c>
      <c r="BN319" s="45">
        <v>13</v>
      </c>
    </row>
    <row r="320" spans="1:66" ht="15">
      <c r="A320" s="61" t="s">
        <v>425</v>
      </c>
      <c r="B320" s="61" t="s">
        <v>568</v>
      </c>
      <c r="C320" s="62"/>
      <c r="D320" s="63"/>
      <c r="E320" s="62"/>
      <c r="F320" s="65"/>
      <c r="G320" s="62"/>
      <c r="H320" s="66"/>
      <c r="I320" s="67"/>
      <c r="J320" s="67"/>
      <c r="K320" s="31" t="s">
        <v>65</v>
      </c>
      <c r="L320" s="68">
        <v>437</v>
      </c>
      <c r="M320" s="68"/>
      <c r="N320" s="69"/>
      <c r="O320" s="76" t="s">
        <v>587</v>
      </c>
      <c r="P320" s="78">
        <v>44811.71246527778</v>
      </c>
      <c r="Q320" s="76" t="s">
        <v>765</v>
      </c>
      <c r="R320" s="76"/>
      <c r="S320" s="76"/>
      <c r="T320" s="81" t="s">
        <v>879</v>
      </c>
      <c r="U320" s="76"/>
      <c r="V320" s="79" t="str">
        <f>HYPERLINK("https://pbs.twimg.com/profile_images/1470318334973554689/eMXqrQAK_normal.jpg")</f>
        <v>https://pbs.twimg.com/profile_images/1470318334973554689/eMXqrQAK_normal.jpg</v>
      </c>
      <c r="W320" s="78">
        <v>44811.71246527778</v>
      </c>
      <c r="X320" s="84">
        <v>44811</v>
      </c>
      <c r="Y320" s="81" t="s">
        <v>1204</v>
      </c>
      <c r="Z320" s="79" t="str">
        <f>HYPERLINK("https://twitter.com/valer2valerie/status/1567559813030182913")</f>
        <v>https://twitter.com/valer2valerie/status/1567559813030182913</v>
      </c>
      <c r="AA320" s="76"/>
      <c r="AB320" s="76"/>
      <c r="AC320" s="81" t="s">
        <v>1543</v>
      </c>
      <c r="AD320" s="81" t="s">
        <v>1658</v>
      </c>
      <c r="AE320" s="76" t="b">
        <v>0</v>
      </c>
      <c r="AF320" s="76">
        <v>1</v>
      </c>
      <c r="AG320" s="81" t="s">
        <v>1757</v>
      </c>
      <c r="AH320" s="76" t="b">
        <v>0</v>
      </c>
      <c r="AI320" s="76" t="s">
        <v>1770</v>
      </c>
      <c r="AJ320" s="76"/>
      <c r="AK320" s="81" t="s">
        <v>1674</v>
      </c>
      <c r="AL320" s="76" t="b">
        <v>0</v>
      </c>
      <c r="AM320" s="76">
        <v>0</v>
      </c>
      <c r="AN320" s="81" t="s">
        <v>1674</v>
      </c>
      <c r="AO320" s="81" t="s">
        <v>1809</v>
      </c>
      <c r="AP320" s="76" t="b">
        <v>0</v>
      </c>
      <c r="AQ320" s="81" t="s">
        <v>1658</v>
      </c>
      <c r="AR320" s="76" t="s">
        <v>219</v>
      </c>
      <c r="AS320" s="76">
        <v>0</v>
      </c>
      <c r="AT320" s="76">
        <v>0</v>
      </c>
      <c r="AU320" s="76"/>
      <c r="AV320" s="76"/>
      <c r="AW320" s="76"/>
      <c r="AX320" s="76"/>
      <c r="AY320" s="76"/>
      <c r="AZ320" s="76"/>
      <c r="BA320" s="76"/>
      <c r="BB320" s="76"/>
      <c r="BC320">
        <v>1</v>
      </c>
      <c r="BD320" s="75" t="str">
        <f>REPLACE(INDEX(GroupVertices[Group],MATCH(Edges25[[#This Row],[Vertex 1]],GroupVertices[Vertex],0)),1,1,"")</f>
        <v>21</v>
      </c>
      <c r="BE320" s="75" t="str">
        <f>REPLACE(INDEX(GroupVertices[Group],MATCH(Edges25[[#This Row],[Vertex 2]],GroupVertices[Vertex],0)),1,1,"")</f>
        <v>21</v>
      </c>
      <c r="BF320" s="45">
        <v>0</v>
      </c>
      <c r="BG320" s="46">
        <v>0</v>
      </c>
      <c r="BH320" s="45">
        <v>0</v>
      </c>
      <c r="BI320" s="46">
        <v>0</v>
      </c>
      <c r="BJ320" s="45">
        <v>0</v>
      </c>
      <c r="BK320" s="46">
        <v>0</v>
      </c>
      <c r="BL320" s="45">
        <v>35</v>
      </c>
      <c r="BM320" s="46">
        <v>100</v>
      </c>
      <c r="BN320" s="45">
        <v>35</v>
      </c>
    </row>
    <row r="321" spans="1:66" ht="15">
      <c r="A321" s="61" t="s">
        <v>425</v>
      </c>
      <c r="B321" s="61" t="s">
        <v>569</v>
      </c>
      <c r="C321" s="62"/>
      <c r="D321" s="63"/>
      <c r="E321" s="62"/>
      <c r="F321" s="65"/>
      <c r="G321" s="62"/>
      <c r="H321" s="66"/>
      <c r="I321" s="67"/>
      <c r="J321" s="67"/>
      <c r="K321" s="31" t="s">
        <v>65</v>
      </c>
      <c r="L321" s="68">
        <v>438</v>
      </c>
      <c r="M321" s="68"/>
      <c r="N321" s="69"/>
      <c r="O321" s="76" t="s">
        <v>588</v>
      </c>
      <c r="P321" s="78">
        <v>44819.804710648146</v>
      </c>
      <c r="Q321" s="76" t="s">
        <v>766</v>
      </c>
      <c r="R321" s="76"/>
      <c r="S321" s="76"/>
      <c r="T321" s="81" t="s">
        <v>880</v>
      </c>
      <c r="U321" s="76"/>
      <c r="V321" s="79" t="str">
        <f>HYPERLINK("https://pbs.twimg.com/profile_images/1470318334973554689/eMXqrQAK_normal.jpg")</f>
        <v>https://pbs.twimg.com/profile_images/1470318334973554689/eMXqrQAK_normal.jpg</v>
      </c>
      <c r="W321" s="78">
        <v>44819.804710648146</v>
      </c>
      <c r="X321" s="84">
        <v>44819</v>
      </c>
      <c r="Y321" s="81" t="s">
        <v>1205</v>
      </c>
      <c r="Z321" s="79" t="str">
        <f>HYPERLINK("https://twitter.com/valer2valerie/status/1570492341353607172")</f>
        <v>https://twitter.com/valer2valerie/status/1570492341353607172</v>
      </c>
      <c r="AA321" s="76"/>
      <c r="AB321" s="76"/>
      <c r="AC321" s="81" t="s">
        <v>1544</v>
      </c>
      <c r="AD321" s="81" t="s">
        <v>1659</v>
      </c>
      <c r="AE321" s="76" t="b">
        <v>0</v>
      </c>
      <c r="AF321" s="76">
        <v>0</v>
      </c>
      <c r="AG321" s="81" t="s">
        <v>1758</v>
      </c>
      <c r="AH321" s="76" t="b">
        <v>0</v>
      </c>
      <c r="AI321" s="76" t="s">
        <v>1770</v>
      </c>
      <c r="AJ321" s="76"/>
      <c r="AK321" s="81" t="s">
        <v>1674</v>
      </c>
      <c r="AL321" s="76" t="b">
        <v>0</v>
      </c>
      <c r="AM321" s="76">
        <v>0</v>
      </c>
      <c r="AN321" s="81" t="s">
        <v>1674</v>
      </c>
      <c r="AO321" s="81" t="s">
        <v>1809</v>
      </c>
      <c r="AP321" s="76" t="b">
        <v>0</v>
      </c>
      <c r="AQ321" s="81" t="s">
        <v>1659</v>
      </c>
      <c r="AR321" s="76" t="s">
        <v>219</v>
      </c>
      <c r="AS321" s="76">
        <v>0</v>
      </c>
      <c r="AT321" s="76">
        <v>0</v>
      </c>
      <c r="AU321" s="76"/>
      <c r="AV321" s="76"/>
      <c r="AW321" s="76"/>
      <c r="AX321" s="76"/>
      <c r="AY321" s="76"/>
      <c r="AZ321" s="76"/>
      <c r="BA321" s="76"/>
      <c r="BB321" s="76"/>
      <c r="BC321">
        <v>1</v>
      </c>
      <c r="BD321" s="75" t="str">
        <f>REPLACE(INDEX(GroupVertices[Group],MATCH(Edges25[[#This Row],[Vertex 1]],GroupVertices[Vertex],0)),1,1,"")</f>
        <v>21</v>
      </c>
      <c r="BE321" s="75" t="str">
        <f>REPLACE(INDEX(GroupVertices[Group],MATCH(Edges25[[#This Row],[Vertex 2]],GroupVertices[Vertex],0)),1,1,"")</f>
        <v>21</v>
      </c>
      <c r="BF321" s="45"/>
      <c r="BG321" s="46"/>
      <c r="BH321" s="45"/>
      <c r="BI321" s="46"/>
      <c r="BJ321" s="45"/>
      <c r="BK321" s="46"/>
      <c r="BL321" s="45"/>
      <c r="BM321" s="46"/>
      <c r="BN321" s="45"/>
    </row>
    <row r="322" spans="1:66" ht="15">
      <c r="A322" s="61" t="s">
        <v>426</v>
      </c>
      <c r="B322" s="61" t="s">
        <v>426</v>
      </c>
      <c r="C322" s="62"/>
      <c r="D322" s="63"/>
      <c r="E322" s="62"/>
      <c r="F322" s="65"/>
      <c r="G322" s="62"/>
      <c r="H322" s="66"/>
      <c r="I322" s="67"/>
      <c r="J322" s="67"/>
      <c r="K322" s="31" t="s">
        <v>65</v>
      </c>
      <c r="L322" s="68">
        <v>440</v>
      </c>
      <c r="M322" s="68"/>
      <c r="N322" s="69"/>
      <c r="O322" s="76" t="s">
        <v>219</v>
      </c>
      <c r="P322" s="78">
        <v>44819.43976851852</v>
      </c>
      <c r="Q322" s="76" t="s">
        <v>724</v>
      </c>
      <c r="R322" s="76"/>
      <c r="S322" s="76"/>
      <c r="T322" s="81" t="s">
        <v>795</v>
      </c>
      <c r="U322" s="79" t="str">
        <f>HYPERLINK("https://pbs.twimg.com/media/FcsKLa1WAAAi_cQ.jpg")</f>
        <v>https://pbs.twimg.com/media/FcsKLa1WAAAi_cQ.jpg</v>
      </c>
      <c r="V322" s="79" t="str">
        <f>HYPERLINK("https://pbs.twimg.com/media/FcsKLa1WAAAi_cQ.jpg")</f>
        <v>https://pbs.twimg.com/media/FcsKLa1WAAAi_cQ.jpg</v>
      </c>
      <c r="W322" s="78">
        <v>44819.43976851852</v>
      </c>
      <c r="X322" s="84">
        <v>44819</v>
      </c>
      <c r="Y322" s="81" t="s">
        <v>1206</v>
      </c>
      <c r="Z322" s="79" t="str">
        <f>HYPERLINK("https://twitter.com/mike_zoev/status/1570360092079566848")</f>
        <v>https://twitter.com/mike_zoev/status/1570360092079566848</v>
      </c>
      <c r="AA322" s="76"/>
      <c r="AB322" s="76"/>
      <c r="AC322" s="81" t="s">
        <v>1545</v>
      </c>
      <c r="AD322" s="76"/>
      <c r="AE322" s="76" t="b">
        <v>0</v>
      </c>
      <c r="AF322" s="76">
        <v>5</v>
      </c>
      <c r="AG322" s="81" t="s">
        <v>1674</v>
      </c>
      <c r="AH322" s="76" t="b">
        <v>0</v>
      </c>
      <c r="AI322" s="76" t="s">
        <v>1775</v>
      </c>
      <c r="AJ322" s="76"/>
      <c r="AK322" s="81" t="s">
        <v>1674</v>
      </c>
      <c r="AL322" s="76" t="b">
        <v>0</v>
      </c>
      <c r="AM322" s="76">
        <v>3</v>
      </c>
      <c r="AN322" s="81" t="s">
        <v>1674</v>
      </c>
      <c r="AO322" s="81" t="s">
        <v>1809</v>
      </c>
      <c r="AP322" s="76" t="b">
        <v>0</v>
      </c>
      <c r="AQ322" s="81" t="s">
        <v>1545</v>
      </c>
      <c r="AR322" s="76" t="s">
        <v>219</v>
      </c>
      <c r="AS322" s="76">
        <v>0</v>
      </c>
      <c r="AT322" s="76">
        <v>0</v>
      </c>
      <c r="AU322" s="76"/>
      <c r="AV322" s="76"/>
      <c r="AW322" s="76"/>
      <c r="AX322" s="76"/>
      <c r="AY322" s="76"/>
      <c r="AZ322" s="76"/>
      <c r="BA322" s="76"/>
      <c r="BB322" s="76"/>
      <c r="BC322">
        <v>1</v>
      </c>
      <c r="BD322" s="75" t="str">
        <f>REPLACE(INDEX(GroupVertices[Group],MATCH(Edges25[[#This Row],[Vertex 1]],GroupVertices[Vertex],0)),1,1,"")</f>
        <v>20</v>
      </c>
      <c r="BE322" s="75" t="str">
        <f>REPLACE(INDEX(GroupVertices[Group],MATCH(Edges25[[#This Row],[Vertex 2]],GroupVertices[Vertex],0)),1,1,"")</f>
        <v>20</v>
      </c>
      <c r="BF322" s="45">
        <v>0</v>
      </c>
      <c r="BG322" s="46">
        <v>0</v>
      </c>
      <c r="BH322" s="45">
        <v>0</v>
      </c>
      <c r="BI322" s="46">
        <v>0</v>
      </c>
      <c r="BJ322" s="45">
        <v>0</v>
      </c>
      <c r="BK322" s="46">
        <v>0</v>
      </c>
      <c r="BL322" s="45">
        <v>13</v>
      </c>
      <c r="BM322" s="46">
        <v>100</v>
      </c>
      <c r="BN322" s="45">
        <v>13</v>
      </c>
    </row>
    <row r="323" spans="1:66" ht="15">
      <c r="A323" s="61" t="s">
        <v>427</v>
      </c>
      <c r="B323" s="61" t="s">
        <v>426</v>
      </c>
      <c r="C323" s="62"/>
      <c r="D323" s="63"/>
      <c r="E323" s="62"/>
      <c r="F323" s="65"/>
      <c r="G323" s="62"/>
      <c r="H323" s="66"/>
      <c r="I323" s="67"/>
      <c r="J323" s="67"/>
      <c r="K323" s="31" t="s">
        <v>65</v>
      </c>
      <c r="L323" s="68">
        <v>441</v>
      </c>
      <c r="M323" s="68"/>
      <c r="N323" s="69"/>
      <c r="O323" s="76" t="s">
        <v>586</v>
      </c>
      <c r="P323" s="78">
        <v>44819.80596064815</v>
      </c>
      <c r="Q323" s="76" t="s">
        <v>724</v>
      </c>
      <c r="R323" s="76"/>
      <c r="S323" s="76"/>
      <c r="T323" s="81" t="s">
        <v>795</v>
      </c>
      <c r="U323" s="79" t="str">
        <f>HYPERLINK("https://pbs.twimg.com/media/FcsKLa1WAAAi_cQ.jpg")</f>
        <v>https://pbs.twimg.com/media/FcsKLa1WAAAi_cQ.jpg</v>
      </c>
      <c r="V323" s="79" t="str">
        <f>HYPERLINK("https://pbs.twimg.com/media/FcsKLa1WAAAi_cQ.jpg")</f>
        <v>https://pbs.twimg.com/media/FcsKLa1WAAAi_cQ.jpg</v>
      </c>
      <c r="W323" s="78">
        <v>44819.80596064815</v>
      </c>
      <c r="X323" s="84">
        <v>44819</v>
      </c>
      <c r="Y323" s="81" t="s">
        <v>1207</v>
      </c>
      <c r="Z323" s="79" t="str">
        <f>HYPERLINK("https://twitter.com/mnogomama4170/status/1570492795873533953")</f>
        <v>https://twitter.com/mnogomama4170/status/1570492795873533953</v>
      </c>
      <c r="AA323" s="76"/>
      <c r="AB323" s="76"/>
      <c r="AC323" s="81" t="s">
        <v>1546</v>
      </c>
      <c r="AD323" s="76"/>
      <c r="AE323" s="76" t="b">
        <v>0</v>
      </c>
      <c r="AF323" s="76">
        <v>0</v>
      </c>
      <c r="AG323" s="81" t="s">
        <v>1674</v>
      </c>
      <c r="AH323" s="76" t="b">
        <v>0</v>
      </c>
      <c r="AI323" s="76" t="s">
        <v>1775</v>
      </c>
      <c r="AJ323" s="76"/>
      <c r="AK323" s="81" t="s">
        <v>1674</v>
      </c>
      <c r="AL323" s="76" t="b">
        <v>0</v>
      </c>
      <c r="AM323" s="76">
        <v>3</v>
      </c>
      <c r="AN323" s="81" t="s">
        <v>1545</v>
      </c>
      <c r="AO323" s="81" t="s">
        <v>1807</v>
      </c>
      <c r="AP323" s="76" t="b">
        <v>0</v>
      </c>
      <c r="AQ323" s="81" t="s">
        <v>1545</v>
      </c>
      <c r="AR323" s="76" t="s">
        <v>219</v>
      </c>
      <c r="AS323" s="76">
        <v>0</v>
      </c>
      <c r="AT323" s="76">
        <v>0</v>
      </c>
      <c r="AU323" s="76"/>
      <c r="AV323" s="76"/>
      <c r="AW323" s="76"/>
      <c r="AX323" s="76"/>
      <c r="AY323" s="76"/>
      <c r="AZ323" s="76"/>
      <c r="BA323" s="76"/>
      <c r="BB323" s="76"/>
      <c r="BC323">
        <v>1</v>
      </c>
      <c r="BD323" s="75" t="str">
        <f>REPLACE(INDEX(GroupVertices[Group],MATCH(Edges25[[#This Row],[Vertex 1]],GroupVertices[Vertex],0)),1,1,"")</f>
        <v>20</v>
      </c>
      <c r="BE323" s="75" t="str">
        <f>REPLACE(INDEX(GroupVertices[Group],MATCH(Edges25[[#This Row],[Vertex 2]],GroupVertices[Vertex],0)),1,1,"")</f>
        <v>20</v>
      </c>
      <c r="BF323" s="45">
        <v>0</v>
      </c>
      <c r="BG323" s="46">
        <v>0</v>
      </c>
      <c r="BH323" s="45">
        <v>0</v>
      </c>
      <c r="BI323" s="46">
        <v>0</v>
      </c>
      <c r="BJ323" s="45">
        <v>0</v>
      </c>
      <c r="BK323" s="46">
        <v>0</v>
      </c>
      <c r="BL323" s="45">
        <v>13</v>
      </c>
      <c r="BM323" s="46">
        <v>100</v>
      </c>
      <c r="BN323" s="45">
        <v>13</v>
      </c>
    </row>
    <row r="324" spans="1:66" ht="15">
      <c r="A324" s="61" t="s">
        <v>428</v>
      </c>
      <c r="B324" s="61" t="s">
        <v>512</v>
      </c>
      <c r="C324" s="62"/>
      <c r="D324" s="63"/>
      <c r="E324" s="62"/>
      <c r="F324" s="65"/>
      <c r="G324" s="62"/>
      <c r="H324" s="66"/>
      <c r="I324" s="67"/>
      <c r="J324" s="67"/>
      <c r="K324" s="31" t="s">
        <v>65</v>
      </c>
      <c r="L324" s="68">
        <v>442</v>
      </c>
      <c r="M324" s="68"/>
      <c r="N324" s="69"/>
      <c r="O324" s="76" t="s">
        <v>587</v>
      </c>
      <c r="P324" s="78">
        <v>44815.416979166665</v>
      </c>
      <c r="Q324" s="76" t="s">
        <v>767</v>
      </c>
      <c r="R324" s="76"/>
      <c r="S324" s="76"/>
      <c r="T324" s="81" t="s">
        <v>881</v>
      </c>
      <c r="U324" s="76"/>
      <c r="V324" s="79" t="str">
        <f>HYPERLINK("https://pbs.twimg.com/profile_images/1522304931037913088/v16u8wKz_normal.jpg")</f>
        <v>https://pbs.twimg.com/profile_images/1522304931037913088/v16u8wKz_normal.jpg</v>
      </c>
      <c r="W324" s="78">
        <v>44815.416979166665</v>
      </c>
      <c r="X324" s="84">
        <v>44815</v>
      </c>
      <c r="Y324" s="81" t="s">
        <v>1208</v>
      </c>
      <c r="Z324" s="79" t="str">
        <f>HYPERLINK("https://twitter.com/saresistentzia/status/1568902281789046784")</f>
        <v>https://twitter.com/saresistentzia/status/1568902281789046784</v>
      </c>
      <c r="AA324" s="76"/>
      <c r="AB324" s="76"/>
      <c r="AC324" s="81" t="s">
        <v>1547</v>
      </c>
      <c r="AD324" s="81" t="s">
        <v>1606</v>
      </c>
      <c r="AE324" s="76" t="b">
        <v>0</v>
      </c>
      <c r="AF324" s="76">
        <v>0</v>
      </c>
      <c r="AG324" s="81" t="s">
        <v>1717</v>
      </c>
      <c r="AH324" s="76" t="b">
        <v>0</v>
      </c>
      <c r="AI324" s="76" t="s">
        <v>1772</v>
      </c>
      <c r="AJ324" s="76"/>
      <c r="AK324" s="81" t="s">
        <v>1674</v>
      </c>
      <c r="AL324" s="76" t="b">
        <v>0</v>
      </c>
      <c r="AM324" s="76">
        <v>0</v>
      </c>
      <c r="AN324" s="81" t="s">
        <v>1674</v>
      </c>
      <c r="AO324" s="81" t="s">
        <v>1809</v>
      </c>
      <c r="AP324" s="76" t="b">
        <v>0</v>
      </c>
      <c r="AQ324" s="81" t="s">
        <v>1606</v>
      </c>
      <c r="AR324" s="76" t="s">
        <v>219</v>
      </c>
      <c r="AS324" s="76">
        <v>0</v>
      </c>
      <c r="AT324" s="76">
        <v>0</v>
      </c>
      <c r="AU324" s="76"/>
      <c r="AV324" s="76"/>
      <c r="AW324" s="76"/>
      <c r="AX324" s="76"/>
      <c r="AY324" s="76"/>
      <c r="AZ324" s="76"/>
      <c r="BA324" s="76"/>
      <c r="BB324" s="76"/>
      <c r="BC324">
        <v>1</v>
      </c>
      <c r="BD324" s="75" t="str">
        <f>REPLACE(INDEX(GroupVertices[Group],MATCH(Edges25[[#This Row],[Vertex 1]],GroupVertices[Vertex],0)),1,1,"")</f>
        <v>1</v>
      </c>
      <c r="BE324" s="75" t="str">
        <f>REPLACE(INDEX(GroupVertices[Group],MATCH(Edges25[[#This Row],[Vertex 2]],GroupVertices[Vertex],0)),1,1,"")</f>
        <v>1</v>
      </c>
      <c r="BF324" s="45">
        <v>2</v>
      </c>
      <c r="BG324" s="46">
        <v>5.882352941176471</v>
      </c>
      <c r="BH324" s="45">
        <v>4</v>
      </c>
      <c r="BI324" s="46">
        <v>11.764705882352942</v>
      </c>
      <c r="BJ324" s="45">
        <v>0</v>
      </c>
      <c r="BK324" s="46">
        <v>0</v>
      </c>
      <c r="BL324" s="45">
        <v>28</v>
      </c>
      <c r="BM324" s="46">
        <v>82.3529411764706</v>
      </c>
      <c r="BN324" s="45">
        <v>34</v>
      </c>
    </row>
    <row r="325" spans="1:66" ht="15">
      <c r="A325" s="61" t="s">
        <v>428</v>
      </c>
      <c r="B325" s="61" t="s">
        <v>571</v>
      </c>
      <c r="C325" s="62"/>
      <c r="D325" s="63"/>
      <c r="E325" s="62"/>
      <c r="F325" s="65"/>
      <c r="G325" s="62"/>
      <c r="H325" s="66"/>
      <c r="I325" s="67"/>
      <c r="J325" s="67"/>
      <c r="K325" s="31" t="s">
        <v>65</v>
      </c>
      <c r="L325" s="68">
        <v>443</v>
      </c>
      <c r="M325" s="68"/>
      <c r="N325" s="69"/>
      <c r="O325" s="76" t="s">
        <v>587</v>
      </c>
      <c r="P325" s="78">
        <v>44815.65331018518</v>
      </c>
      <c r="Q325" s="76" t="s">
        <v>768</v>
      </c>
      <c r="R325" s="76"/>
      <c r="S325" s="76"/>
      <c r="T325" s="81" t="s">
        <v>795</v>
      </c>
      <c r="U325" s="76"/>
      <c r="V325" s="79" t="str">
        <f>HYPERLINK("https://pbs.twimg.com/profile_images/1522304931037913088/v16u8wKz_normal.jpg")</f>
        <v>https://pbs.twimg.com/profile_images/1522304931037913088/v16u8wKz_normal.jpg</v>
      </c>
      <c r="W325" s="78">
        <v>44815.65331018518</v>
      </c>
      <c r="X325" s="84">
        <v>44815</v>
      </c>
      <c r="Y325" s="81" t="s">
        <v>1209</v>
      </c>
      <c r="Z325" s="79" t="str">
        <f>HYPERLINK("https://twitter.com/saresistentzia/status/1568987926331117570")</f>
        <v>https://twitter.com/saresistentzia/status/1568987926331117570</v>
      </c>
      <c r="AA325" s="76"/>
      <c r="AB325" s="76"/>
      <c r="AC325" s="81" t="s">
        <v>1548</v>
      </c>
      <c r="AD325" s="81" t="s">
        <v>1660</v>
      </c>
      <c r="AE325" s="76" t="b">
        <v>0</v>
      </c>
      <c r="AF325" s="76">
        <v>1</v>
      </c>
      <c r="AG325" s="81" t="s">
        <v>1759</v>
      </c>
      <c r="AH325" s="76" t="b">
        <v>0</v>
      </c>
      <c r="AI325" s="76" t="s">
        <v>1774</v>
      </c>
      <c r="AJ325" s="76"/>
      <c r="AK325" s="81" t="s">
        <v>1674</v>
      </c>
      <c r="AL325" s="76" t="b">
        <v>0</v>
      </c>
      <c r="AM325" s="76">
        <v>0</v>
      </c>
      <c r="AN325" s="81" t="s">
        <v>1674</v>
      </c>
      <c r="AO325" s="81" t="s">
        <v>1809</v>
      </c>
      <c r="AP325" s="76" t="b">
        <v>0</v>
      </c>
      <c r="AQ325" s="81" t="s">
        <v>1660</v>
      </c>
      <c r="AR325" s="76" t="s">
        <v>219</v>
      </c>
      <c r="AS325" s="76">
        <v>0</v>
      </c>
      <c r="AT325" s="76">
        <v>0</v>
      </c>
      <c r="AU325" s="76"/>
      <c r="AV325" s="76"/>
      <c r="AW325" s="76"/>
      <c r="AX325" s="76"/>
      <c r="AY325" s="76"/>
      <c r="AZ325" s="76"/>
      <c r="BA325" s="76"/>
      <c r="BB325" s="76"/>
      <c r="BC325">
        <v>1</v>
      </c>
      <c r="BD325" s="75" t="str">
        <f>REPLACE(INDEX(GroupVertices[Group],MATCH(Edges25[[#This Row],[Vertex 1]],GroupVertices[Vertex],0)),1,1,"")</f>
        <v>1</v>
      </c>
      <c r="BE325" s="75" t="str">
        <f>REPLACE(INDEX(GroupVertices[Group],MATCH(Edges25[[#This Row],[Vertex 2]],GroupVertices[Vertex],0)),1,1,"")</f>
        <v>1</v>
      </c>
      <c r="BF325" s="45">
        <v>0</v>
      </c>
      <c r="BG325" s="46">
        <v>0</v>
      </c>
      <c r="BH325" s="45">
        <v>2</v>
      </c>
      <c r="BI325" s="46">
        <v>8.333333333333334</v>
      </c>
      <c r="BJ325" s="45">
        <v>0</v>
      </c>
      <c r="BK325" s="46">
        <v>0</v>
      </c>
      <c r="BL325" s="45">
        <v>22</v>
      </c>
      <c r="BM325" s="46">
        <v>91.66666666666667</v>
      </c>
      <c r="BN325" s="45">
        <v>24</v>
      </c>
    </row>
    <row r="326" spans="1:66" ht="15">
      <c r="A326" s="61" t="s">
        <v>428</v>
      </c>
      <c r="B326" s="61" t="s">
        <v>572</v>
      </c>
      <c r="C326" s="62"/>
      <c r="D326" s="63"/>
      <c r="E326" s="62"/>
      <c r="F326" s="65"/>
      <c r="G326" s="62"/>
      <c r="H326" s="66"/>
      <c r="I326" s="67"/>
      <c r="J326" s="67"/>
      <c r="K326" s="31" t="s">
        <v>65</v>
      </c>
      <c r="L326" s="68">
        <v>444</v>
      </c>
      <c r="M326" s="68"/>
      <c r="N326" s="69"/>
      <c r="O326" s="76" t="s">
        <v>587</v>
      </c>
      <c r="P326" s="78">
        <v>44816.42490740741</v>
      </c>
      <c r="Q326" s="76" t="s">
        <v>769</v>
      </c>
      <c r="R326" s="76"/>
      <c r="S326" s="76"/>
      <c r="T326" s="81" t="s">
        <v>882</v>
      </c>
      <c r="U326" s="76"/>
      <c r="V326" s="79" t="str">
        <f>HYPERLINK("https://pbs.twimg.com/profile_images/1522304931037913088/v16u8wKz_normal.jpg")</f>
        <v>https://pbs.twimg.com/profile_images/1522304931037913088/v16u8wKz_normal.jpg</v>
      </c>
      <c r="W326" s="78">
        <v>44816.42490740741</v>
      </c>
      <c r="X326" s="84">
        <v>44816</v>
      </c>
      <c r="Y326" s="81" t="s">
        <v>1210</v>
      </c>
      <c r="Z326" s="79" t="str">
        <f>HYPERLINK("https://twitter.com/saresistentzia/status/1569267541087772672")</f>
        <v>https://twitter.com/saresistentzia/status/1569267541087772672</v>
      </c>
      <c r="AA326" s="76"/>
      <c r="AB326" s="76"/>
      <c r="AC326" s="81" t="s">
        <v>1549</v>
      </c>
      <c r="AD326" s="81" t="s">
        <v>1661</v>
      </c>
      <c r="AE326" s="76" t="b">
        <v>0</v>
      </c>
      <c r="AF326" s="76">
        <v>0</v>
      </c>
      <c r="AG326" s="81" t="s">
        <v>1760</v>
      </c>
      <c r="AH326" s="76" t="b">
        <v>0</v>
      </c>
      <c r="AI326" s="76" t="s">
        <v>1772</v>
      </c>
      <c r="AJ326" s="76"/>
      <c r="AK326" s="81" t="s">
        <v>1674</v>
      </c>
      <c r="AL326" s="76" t="b">
        <v>0</v>
      </c>
      <c r="AM326" s="76">
        <v>0</v>
      </c>
      <c r="AN326" s="81" t="s">
        <v>1674</v>
      </c>
      <c r="AO326" s="81" t="s">
        <v>1809</v>
      </c>
      <c r="AP326" s="76" t="b">
        <v>0</v>
      </c>
      <c r="AQ326" s="81" t="s">
        <v>1661</v>
      </c>
      <c r="AR326" s="76" t="s">
        <v>219</v>
      </c>
      <c r="AS326" s="76">
        <v>0</v>
      </c>
      <c r="AT326" s="76">
        <v>0</v>
      </c>
      <c r="AU326" s="76"/>
      <c r="AV326" s="76"/>
      <c r="AW326" s="76"/>
      <c r="AX326" s="76"/>
      <c r="AY326" s="76"/>
      <c r="AZ326" s="76"/>
      <c r="BA326" s="76"/>
      <c r="BB326" s="76"/>
      <c r="BC326">
        <v>1</v>
      </c>
      <c r="BD326" s="75" t="str">
        <f>REPLACE(INDEX(GroupVertices[Group],MATCH(Edges25[[#This Row],[Vertex 1]],GroupVertices[Vertex],0)),1,1,"")</f>
        <v>1</v>
      </c>
      <c r="BE326" s="75" t="str">
        <f>REPLACE(INDEX(GroupVertices[Group],MATCH(Edges25[[#This Row],[Vertex 2]],GroupVertices[Vertex],0)),1,1,"")</f>
        <v>1</v>
      </c>
      <c r="BF326" s="45">
        <v>1</v>
      </c>
      <c r="BG326" s="46">
        <v>3.125</v>
      </c>
      <c r="BH326" s="45">
        <v>2</v>
      </c>
      <c r="BI326" s="46">
        <v>6.25</v>
      </c>
      <c r="BJ326" s="45">
        <v>0</v>
      </c>
      <c r="BK326" s="46">
        <v>0</v>
      </c>
      <c r="BL326" s="45">
        <v>29</v>
      </c>
      <c r="BM326" s="46">
        <v>90.625</v>
      </c>
      <c r="BN326" s="45">
        <v>32</v>
      </c>
    </row>
    <row r="327" spans="1:66" ht="15">
      <c r="A327" s="61" t="s">
        <v>428</v>
      </c>
      <c r="B327" s="61" t="s">
        <v>573</v>
      </c>
      <c r="C327" s="62"/>
      <c r="D327" s="63"/>
      <c r="E327" s="62"/>
      <c r="F327" s="65"/>
      <c r="G327" s="62"/>
      <c r="H327" s="66"/>
      <c r="I327" s="67"/>
      <c r="J327" s="67"/>
      <c r="K327" s="31" t="s">
        <v>65</v>
      </c>
      <c r="L327" s="68">
        <v>445</v>
      </c>
      <c r="M327" s="68"/>
      <c r="N327" s="69"/>
      <c r="O327" s="76" t="s">
        <v>588</v>
      </c>
      <c r="P327" s="78">
        <v>44817.835439814815</v>
      </c>
      <c r="Q327" s="76" t="s">
        <v>770</v>
      </c>
      <c r="R327" s="76"/>
      <c r="S327" s="76"/>
      <c r="T327" s="81" t="s">
        <v>883</v>
      </c>
      <c r="U327" s="76"/>
      <c r="V327" s="79" t="str">
        <f>HYPERLINK("https://pbs.twimg.com/profile_images/1522304931037913088/v16u8wKz_normal.jpg")</f>
        <v>https://pbs.twimg.com/profile_images/1522304931037913088/v16u8wKz_normal.jpg</v>
      </c>
      <c r="W327" s="78">
        <v>44817.835439814815</v>
      </c>
      <c r="X327" s="84">
        <v>44817</v>
      </c>
      <c r="Y327" s="81" t="s">
        <v>1211</v>
      </c>
      <c r="Z327" s="79" t="str">
        <f>HYPERLINK("https://twitter.com/saresistentzia/status/1569778703055339530")</f>
        <v>https://twitter.com/saresistentzia/status/1569778703055339530</v>
      </c>
      <c r="AA327" s="76"/>
      <c r="AB327" s="76"/>
      <c r="AC327" s="81" t="s">
        <v>1550</v>
      </c>
      <c r="AD327" s="81" t="s">
        <v>1662</v>
      </c>
      <c r="AE327" s="76" t="b">
        <v>0</v>
      </c>
      <c r="AF327" s="76">
        <v>0</v>
      </c>
      <c r="AG327" s="81" t="s">
        <v>1761</v>
      </c>
      <c r="AH327" s="76" t="b">
        <v>0</v>
      </c>
      <c r="AI327" s="76" t="s">
        <v>1774</v>
      </c>
      <c r="AJ327" s="76"/>
      <c r="AK327" s="81" t="s">
        <v>1674</v>
      </c>
      <c r="AL327" s="76" t="b">
        <v>0</v>
      </c>
      <c r="AM327" s="76">
        <v>0</v>
      </c>
      <c r="AN327" s="81" t="s">
        <v>1674</v>
      </c>
      <c r="AO327" s="81" t="s">
        <v>1809</v>
      </c>
      <c r="AP327" s="76" t="b">
        <v>0</v>
      </c>
      <c r="AQ327" s="81" t="s">
        <v>1662</v>
      </c>
      <c r="AR327" s="76" t="s">
        <v>219</v>
      </c>
      <c r="AS327" s="76">
        <v>0</v>
      </c>
      <c r="AT327" s="76">
        <v>0</v>
      </c>
      <c r="AU327" s="76"/>
      <c r="AV327" s="76"/>
      <c r="AW327" s="76"/>
      <c r="AX327" s="76"/>
      <c r="AY327" s="76"/>
      <c r="AZ327" s="76"/>
      <c r="BA327" s="76"/>
      <c r="BB327" s="76"/>
      <c r="BC327">
        <v>1</v>
      </c>
      <c r="BD327" s="75" t="str">
        <f>REPLACE(INDEX(GroupVertices[Group],MATCH(Edges25[[#This Row],[Vertex 1]],GroupVertices[Vertex],0)),1,1,"")</f>
        <v>1</v>
      </c>
      <c r="BE327" s="75" t="str">
        <f>REPLACE(INDEX(GroupVertices[Group],MATCH(Edges25[[#This Row],[Vertex 2]],GroupVertices[Vertex],0)),1,1,"")</f>
        <v>1</v>
      </c>
      <c r="BF327" s="45"/>
      <c r="BG327" s="46"/>
      <c r="BH327" s="45"/>
      <c r="BI327" s="46"/>
      <c r="BJ327" s="45"/>
      <c r="BK327" s="46"/>
      <c r="BL327" s="45"/>
      <c r="BM327" s="46"/>
      <c r="BN327" s="45"/>
    </row>
    <row r="328" spans="1:66" ht="15">
      <c r="A328" s="61" t="s">
        <v>428</v>
      </c>
      <c r="B328" s="61" t="s">
        <v>577</v>
      </c>
      <c r="C328" s="62"/>
      <c r="D328" s="63"/>
      <c r="E328" s="62"/>
      <c r="F328" s="65"/>
      <c r="G328" s="62"/>
      <c r="H328" s="66"/>
      <c r="I328" s="67"/>
      <c r="J328" s="67"/>
      <c r="K328" s="31" t="s">
        <v>65</v>
      </c>
      <c r="L328" s="68">
        <v>449</v>
      </c>
      <c r="M328" s="68"/>
      <c r="N328" s="69"/>
      <c r="O328" s="76" t="s">
        <v>587</v>
      </c>
      <c r="P328" s="78">
        <v>44818.24024305555</v>
      </c>
      <c r="Q328" s="76" t="s">
        <v>771</v>
      </c>
      <c r="R328" s="76"/>
      <c r="S328" s="76"/>
      <c r="T328" s="81" t="s">
        <v>884</v>
      </c>
      <c r="U328" s="76"/>
      <c r="V328" s="79" t="str">
        <f>HYPERLINK("https://pbs.twimg.com/profile_images/1522304931037913088/v16u8wKz_normal.jpg")</f>
        <v>https://pbs.twimg.com/profile_images/1522304931037913088/v16u8wKz_normal.jpg</v>
      </c>
      <c r="W328" s="78">
        <v>44818.24024305555</v>
      </c>
      <c r="X328" s="84">
        <v>44818</v>
      </c>
      <c r="Y328" s="81" t="s">
        <v>1212</v>
      </c>
      <c r="Z328" s="79" t="str">
        <f>HYPERLINK("https://twitter.com/saresistentzia/status/1569925396845436929")</f>
        <v>https://twitter.com/saresistentzia/status/1569925396845436929</v>
      </c>
      <c r="AA328" s="76"/>
      <c r="AB328" s="76"/>
      <c r="AC328" s="81" t="s">
        <v>1551</v>
      </c>
      <c r="AD328" s="81" t="s">
        <v>1663</v>
      </c>
      <c r="AE328" s="76" t="b">
        <v>0</v>
      </c>
      <c r="AF328" s="76">
        <v>0</v>
      </c>
      <c r="AG328" s="81" t="s">
        <v>1762</v>
      </c>
      <c r="AH328" s="76" t="b">
        <v>0</v>
      </c>
      <c r="AI328" s="76" t="s">
        <v>1774</v>
      </c>
      <c r="AJ328" s="76"/>
      <c r="AK328" s="81" t="s">
        <v>1674</v>
      </c>
      <c r="AL328" s="76" t="b">
        <v>0</v>
      </c>
      <c r="AM328" s="76">
        <v>0</v>
      </c>
      <c r="AN328" s="81" t="s">
        <v>1674</v>
      </c>
      <c r="AO328" s="81" t="s">
        <v>1809</v>
      </c>
      <c r="AP328" s="76" t="b">
        <v>0</v>
      </c>
      <c r="AQ328" s="81" t="s">
        <v>1663</v>
      </c>
      <c r="AR328" s="76" t="s">
        <v>219</v>
      </c>
      <c r="AS328" s="76">
        <v>0</v>
      </c>
      <c r="AT328" s="76">
        <v>0</v>
      </c>
      <c r="AU328" s="76"/>
      <c r="AV328" s="76"/>
      <c r="AW328" s="76"/>
      <c r="AX328" s="76"/>
      <c r="AY328" s="76"/>
      <c r="AZ328" s="76"/>
      <c r="BA328" s="76"/>
      <c r="BB328" s="76"/>
      <c r="BC328">
        <v>1</v>
      </c>
      <c r="BD328" s="75" t="str">
        <f>REPLACE(INDEX(GroupVertices[Group],MATCH(Edges25[[#This Row],[Vertex 1]],GroupVertices[Vertex],0)),1,1,"")</f>
        <v>1</v>
      </c>
      <c r="BE328" s="75" t="str">
        <f>REPLACE(INDEX(GroupVertices[Group],MATCH(Edges25[[#This Row],[Vertex 2]],GroupVertices[Vertex],0)),1,1,"")</f>
        <v>1</v>
      </c>
      <c r="BF328" s="45">
        <v>0</v>
      </c>
      <c r="BG328" s="46">
        <v>0</v>
      </c>
      <c r="BH328" s="45">
        <v>0</v>
      </c>
      <c r="BI328" s="46">
        <v>0</v>
      </c>
      <c r="BJ328" s="45">
        <v>0</v>
      </c>
      <c r="BK328" s="46">
        <v>0</v>
      </c>
      <c r="BL328" s="45">
        <v>8</v>
      </c>
      <c r="BM328" s="46">
        <v>100</v>
      </c>
      <c r="BN328" s="45">
        <v>8</v>
      </c>
    </row>
    <row r="329" spans="1:66" ht="15">
      <c r="A329" s="61" t="s">
        <v>428</v>
      </c>
      <c r="B329" s="61" t="s">
        <v>578</v>
      </c>
      <c r="C329" s="62"/>
      <c r="D329" s="63"/>
      <c r="E329" s="62"/>
      <c r="F329" s="65"/>
      <c r="G329" s="62"/>
      <c r="H329" s="66"/>
      <c r="I329" s="67"/>
      <c r="J329" s="67"/>
      <c r="K329" s="31" t="s">
        <v>65</v>
      </c>
      <c r="L329" s="68">
        <v>450</v>
      </c>
      <c r="M329" s="68"/>
      <c r="N329" s="69"/>
      <c r="O329" s="76" t="s">
        <v>587</v>
      </c>
      <c r="P329" s="78">
        <v>44818.26756944445</v>
      </c>
      <c r="Q329" s="76" t="s">
        <v>772</v>
      </c>
      <c r="R329" s="76"/>
      <c r="S329" s="76"/>
      <c r="T329" s="81" t="s">
        <v>885</v>
      </c>
      <c r="U329" s="76"/>
      <c r="V329" s="79" t="str">
        <f>HYPERLINK("https://pbs.twimg.com/profile_images/1522304931037913088/v16u8wKz_normal.jpg")</f>
        <v>https://pbs.twimg.com/profile_images/1522304931037913088/v16u8wKz_normal.jpg</v>
      </c>
      <c r="W329" s="78">
        <v>44818.26756944445</v>
      </c>
      <c r="X329" s="84">
        <v>44818</v>
      </c>
      <c r="Y329" s="81" t="s">
        <v>1213</v>
      </c>
      <c r="Z329" s="79" t="str">
        <f>HYPERLINK("https://twitter.com/saresistentzia/status/1569935300507336704")</f>
        <v>https://twitter.com/saresistentzia/status/1569935300507336704</v>
      </c>
      <c r="AA329" s="76"/>
      <c r="AB329" s="76"/>
      <c r="AC329" s="81" t="s">
        <v>1552</v>
      </c>
      <c r="AD329" s="81" t="s">
        <v>1664</v>
      </c>
      <c r="AE329" s="76" t="b">
        <v>0</v>
      </c>
      <c r="AF329" s="76">
        <v>0</v>
      </c>
      <c r="AG329" s="81" t="s">
        <v>1763</v>
      </c>
      <c r="AH329" s="76" t="b">
        <v>0</v>
      </c>
      <c r="AI329" s="76" t="s">
        <v>1774</v>
      </c>
      <c r="AJ329" s="76"/>
      <c r="AK329" s="81" t="s">
        <v>1674</v>
      </c>
      <c r="AL329" s="76" t="b">
        <v>0</v>
      </c>
      <c r="AM329" s="76">
        <v>0</v>
      </c>
      <c r="AN329" s="81" t="s">
        <v>1674</v>
      </c>
      <c r="AO329" s="81" t="s">
        <v>1809</v>
      </c>
      <c r="AP329" s="76" t="b">
        <v>0</v>
      </c>
      <c r="AQ329" s="81" t="s">
        <v>1664</v>
      </c>
      <c r="AR329" s="76" t="s">
        <v>219</v>
      </c>
      <c r="AS329" s="76">
        <v>0</v>
      </c>
      <c r="AT329" s="76">
        <v>0</v>
      </c>
      <c r="AU329" s="76"/>
      <c r="AV329" s="76"/>
      <c r="AW329" s="76"/>
      <c r="AX329" s="76"/>
      <c r="AY329" s="76"/>
      <c r="AZ329" s="76"/>
      <c r="BA329" s="76"/>
      <c r="BB329" s="76"/>
      <c r="BC329">
        <v>1</v>
      </c>
      <c r="BD329" s="75" t="str">
        <f>REPLACE(INDEX(GroupVertices[Group],MATCH(Edges25[[#This Row],[Vertex 1]],GroupVertices[Vertex],0)),1,1,"")</f>
        <v>1</v>
      </c>
      <c r="BE329" s="75" t="str">
        <f>REPLACE(INDEX(GroupVertices[Group],MATCH(Edges25[[#This Row],[Vertex 2]],GroupVertices[Vertex],0)),1,1,"")</f>
        <v>1</v>
      </c>
      <c r="BF329" s="45">
        <v>0</v>
      </c>
      <c r="BG329" s="46">
        <v>0</v>
      </c>
      <c r="BH329" s="45">
        <v>3</v>
      </c>
      <c r="BI329" s="46">
        <v>8.333333333333334</v>
      </c>
      <c r="BJ329" s="45">
        <v>0</v>
      </c>
      <c r="BK329" s="46">
        <v>0</v>
      </c>
      <c r="BL329" s="45">
        <v>33</v>
      </c>
      <c r="BM329" s="46">
        <v>91.66666666666667</v>
      </c>
      <c r="BN329" s="45">
        <v>36</v>
      </c>
    </row>
    <row r="330" spans="1:66" ht="15">
      <c r="A330" s="61" t="s">
        <v>428</v>
      </c>
      <c r="B330" s="61" t="s">
        <v>579</v>
      </c>
      <c r="C330" s="62"/>
      <c r="D330" s="63"/>
      <c r="E330" s="62"/>
      <c r="F330" s="65"/>
      <c r="G330" s="62"/>
      <c r="H330" s="66"/>
      <c r="I330" s="67"/>
      <c r="J330" s="67"/>
      <c r="K330" s="31" t="s">
        <v>65</v>
      </c>
      <c r="L330" s="68">
        <v>451</v>
      </c>
      <c r="M330" s="68"/>
      <c r="N330" s="69"/>
      <c r="O330" s="76" t="s">
        <v>587</v>
      </c>
      <c r="P330" s="78">
        <v>44818.386099537034</v>
      </c>
      <c r="Q330" s="76" t="s">
        <v>773</v>
      </c>
      <c r="R330" s="76"/>
      <c r="S330" s="76"/>
      <c r="T330" s="81" t="s">
        <v>886</v>
      </c>
      <c r="U330" s="76"/>
      <c r="V330" s="79" t="str">
        <f>HYPERLINK("https://pbs.twimg.com/profile_images/1522304931037913088/v16u8wKz_normal.jpg")</f>
        <v>https://pbs.twimg.com/profile_images/1522304931037913088/v16u8wKz_normal.jpg</v>
      </c>
      <c r="W330" s="78">
        <v>44818.386099537034</v>
      </c>
      <c r="X330" s="84">
        <v>44818</v>
      </c>
      <c r="Y330" s="81" t="s">
        <v>1214</v>
      </c>
      <c r="Z330" s="79" t="str">
        <f>HYPERLINK("https://twitter.com/saresistentzia/status/1569978253468745730")</f>
        <v>https://twitter.com/saresistentzia/status/1569978253468745730</v>
      </c>
      <c r="AA330" s="76"/>
      <c r="AB330" s="76"/>
      <c r="AC330" s="81" t="s">
        <v>1553</v>
      </c>
      <c r="AD330" s="81" t="s">
        <v>1665</v>
      </c>
      <c r="AE330" s="76" t="b">
        <v>0</v>
      </c>
      <c r="AF330" s="76">
        <v>3</v>
      </c>
      <c r="AG330" s="81" t="s">
        <v>1764</v>
      </c>
      <c r="AH330" s="76" t="b">
        <v>0</v>
      </c>
      <c r="AI330" s="76" t="s">
        <v>1774</v>
      </c>
      <c r="AJ330" s="76"/>
      <c r="AK330" s="81" t="s">
        <v>1674</v>
      </c>
      <c r="AL330" s="76" t="b">
        <v>0</v>
      </c>
      <c r="AM330" s="76">
        <v>0</v>
      </c>
      <c r="AN330" s="81" t="s">
        <v>1674</v>
      </c>
      <c r="AO330" s="81" t="s">
        <v>1809</v>
      </c>
      <c r="AP330" s="76" t="b">
        <v>0</v>
      </c>
      <c r="AQ330" s="81" t="s">
        <v>1665</v>
      </c>
      <c r="AR330" s="76" t="s">
        <v>219</v>
      </c>
      <c r="AS330" s="76">
        <v>0</v>
      </c>
      <c r="AT330" s="76">
        <v>0</v>
      </c>
      <c r="AU330" s="76"/>
      <c r="AV330" s="76"/>
      <c r="AW330" s="76"/>
      <c r="AX330" s="76"/>
      <c r="AY330" s="76"/>
      <c r="AZ330" s="76"/>
      <c r="BA330" s="76"/>
      <c r="BB330" s="76"/>
      <c r="BC330">
        <v>1</v>
      </c>
      <c r="BD330" s="75" t="str">
        <f>REPLACE(INDEX(GroupVertices[Group],MATCH(Edges25[[#This Row],[Vertex 1]],GroupVertices[Vertex],0)),1,1,"")</f>
        <v>1</v>
      </c>
      <c r="BE330" s="75" t="str">
        <f>REPLACE(INDEX(GroupVertices[Group],MATCH(Edges25[[#This Row],[Vertex 2]],GroupVertices[Vertex],0)),1,1,"")</f>
        <v>1</v>
      </c>
      <c r="BF330" s="45">
        <v>0</v>
      </c>
      <c r="BG330" s="46">
        <v>0</v>
      </c>
      <c r="BH330" s="45">
        <v>0</v>
      </c>
      <c r="BI330" s="46">
        <v>0</v>
      </c>
      <c r="BJ330" s="45">
        <v>0</v>
      </c>
      <c r="BK330" s="46">
        <v>0</v>
      </c>
      <c r="BL330" s="45">
        <v>27</v>
      </c>
      <c r="BM330" s="46">
        <v>100</v>
      </c>
      <c r="BN330" s="45">
        <v>27</v>
      </c>
    </row>
    <row r="331" spans="1:66" ht="15">
      <c r="A331" s="61" t="s">
        <v>428</v>
      </c>
      <c r="B331" s="61" t="s">
        <v>580</v>
      </c>
      <c r="C331" s="62"/>
      <c r="D331" s="63"/>
      <c r="E331" s="62"/>
      <c r="F331" s="65"/>
      <c r="G331" s="62"/>
      <c r="H331" s="66"/>
      <c r="I331" s="67"/>
      <c r="J331" s="67"/>
      <c r="K331" s="31" t="s">
        <v>65</v>
      </c>
      <c r="L331" s="68">
        <v>452</v>
      </c>
      <c r="M331" s="68"/>
      <c r="N331" s="69"/>
      <c r="O331" s="76" t="s">
        <v>587</v>
      </c>
      <c r="P331" s="78">
        <v>44818.6875</v>
      </c>
      <c r="Q331" s="76" t="s">
        <v>774</v>
      </c>
      <c r="R331" s="76"/>
      <c r="S331" s="76"/>
      <c r="T331" s="81" t="s">
        <v>887</v>
      </c>
      <c r="U331" s="76"/>
      <c r="V331" s="79" t="str">
        <f>HYPERLINK("https://pbs.twimg.com/profile_images/1522304931037913088/v16u8wKz_normal.jpg")</f>
        <v>https://pbs.twimg.com/profile_images/1522304931037913088/v16u8wKz_normal.jpg</v>
      </c>
      <c r="W331" s="78">
        <v>44818.6875</v>
      </c>
      <c r="X331" s="84">
        <v>44818</v>
      </c>
      <c r="Y331" s="81" t="s">
        <v>1215</v>
      </c>
      <c r="Z331" s="79" t="str">
        <f>HYPERLINK("https://twitter.com/saresistentzia/status/1570087477381152768")</f>
        <v>https://twitter.com/saresistentzia/status/1570087477381152768</v>
      </c>
      <c r="AA331" s="76"/>
      <c r="AB331" s="76"/>
      <c r="AC331" s="81" t="s">
        <v>1554</v>
      </c>
      <c r="AD331" s="81" t="s">
        <v>1666</v>
      </c>
      <c r="AE331" s="76" t="b">
        <v>0</v>
      </c>
      <c r="AF331" s="76">
        <v>4</v>
      </c>
      <c r="AG331" s="81" t="s">
        <v>1765</v>
      </c>
      <c r="AH331" s="76" t="b">
        <v>0</v>
      </c>
      <c r="AI331" s="76" t="s">
        <v>1774</v>
      </c>
      <c r="AJ331" s="76"/>
      <c r="AK331" s="81" t="s">
        <v>1674</v>
      </c>
      <c r="AL331" s="76" t="b">
        <v>0</v>
      </c>
      <c r="AM331" s="76">
        <v>0</v>
      </c>
      <c r="AN331" s="81" t="s">
        <v>1674</v>
      </c>
      <c r="AO331" s="81" t="s">
        <v>1809</v>
      </c>
      <c r="AP331" s="76" t="b">
        <v>0</v>
      </c>
      <c r="AQ331" s="81" t="s">
        <v>1666</v>
      </c>
      <c r="AR331" s="76" t="s">
        <v>219</v>
      </c>
      <c r="AS331" s="76">
        <v>0</v>
      </c>
      <c r="AT331" s="76">
        <v>0</v>
      </c>
      <c r="AU331" s="76"/>
      <c r="AV331" s="76"/>
      <c r="AW331" s="76"/>
      <c r="AX331" s="76"/>
      <c r="AY331" s="76"/>
      <c r="AZ331" s="76"/>
      <c r="BA331" s="76"/>
      <c r="BB331" s="76"/>
      <c r="BC331">
        <v>1</v>
      </c>
      <c r="BD331" s="75" t="str">
        <f>REPLACE(INDEX(GroupVertices[Group],MATCH(Edges25[[#This Row],[Vertex 1]],GroupVertices[Vertex],0)),1,1,"")</f>
        <v>1</v>
      </c>
      <c r="BE331" s="75" t="str">
        <f>REPLACE(INDEX(GroupVertices[Group],MATCH(Edges25[[#This Row],[Vertex 2]],GroupVertices[Vertex],0)),1,1,"")</f>
        <v>1</v>
      </c>
      <c r="BF331" s="45">
        <v>0</v>
      </c>
      <c r="BG331" s="46">
        <v>0</v>
      </c>
      <c r="BH331" s="45">
        <v>1</v>
      </c>
      <c r="BI331" s="46">
        <v>4.166666666666667</v>
      </c>
      <c r="BJ331" s="45">
        <v>0</v>
      </c>
      <c r="BK331" s="46">
        <v>0</v>
      </c>
      <c r="BL331" s="45">
        <v>23</v>
      </c>
      <c r="BM331" s="46">
        <v>95.83333333333333</v>
      </c>
      <c r="BN331" s="45">
        <v>24</v>
      </c>
    </row>
    <row r="332" spans="1:66" ht="15">
      <c r="A332" s="61" t="s">
        <v>428</v>
      </c>
      <c r="B332" s="61" t="s">
        <v>533</v>
      </c>
      <c r="C332" s="62"/>
      <c r="D332" s="63"/>
      <c r="E332" s="62"/>
      <c r="F332" s="65"/>
      <c r="G332" s="62"/>
      <c r="H332" s="66"/>
      <c r="I332" s="67"/>
      <c r="J332" s="67"/>
      <c r="K332" s="31" t="s">
        <v>65</v>
      </c>
      <c r="L332" s="68">
        <v>453</v>
      </c>
      <c r="M332" s="68"/>
      <c r="N332" s="69"/>
      <c r="O332" s="76" t="s">
        <v>588</v>
      </c>
      <c r="P332" s="78">
        <v>44818.72476851852</v>
      </c>
      <c r="Q332" s="76" t="s">
        <v>775</v>
      </c>
      <c r="R332" s="76"/>
      <c r="S332" s="76"/>
      <c r="T332" s="81" t="s">
        <v>888</v>
      </c>
      <c r="U332" s="76"/>
      <c r="V332" s="79" t="str">
        <f>HYPERLINK("https://pbs.twimg.com/profile_images/1522304931037913088/v16u8wKz_normal.jpg")</f>
        <v>https://pbs.twimg.com/profile_images/1522304931037913088/v16u8wKz_normal.jpg</v>
      </c>
      <c r="W332" s="78">
        <v>44818.72476851852</v>
      </c>
      <c r="X332" s="84">
        <v>44818</v>
      </c>
      <c r="Y332" s="81" t="s">
        <v>1216</v>
      </c>
      <c r="Z332" s="79" t="str">
        <f>HYPERLINK("https://twitter.com/saresistentzia/status/1570100983266426882")</f>
        <v>https://twitter.com/saresistentzia/status/1570100983266426882</v>
      </c>
      <c r="AA332" s="76"/>
      <c r="AB332" s="76"/>
      <c r="AC332" s="81" t="s">
        <v>1555</v>
      </c>
      <c r="AD332" s="81" t="s">
        <v>1618</v>
      </c>
      <c r="AE332" s="76" t="b">
        <v>0</v>
      </c>
      <c r="AF332" s="76">
        <v>0</v>
      </c>
      <c r="AG332" s="81" t="s">
        <v>1702</v>
      </c>
      <c r="AH332" s="76" t="b">
        <v>0</v>
      </c>
      <c r="AI332" s="76" t="s">
        <v>1772</v>
      </c>
      <c r="AJ332" s="76"/>
      <c r="AK332" s="81" t="s">
        <v>1674</v>
      </c>
      <c r="AL332" s="76" t="b">
        <v>0</v>
      </c>
      <c r="AM332" s="76">
        <v>0</v>
      </c>
      <c r="AN332" s="81" t="s">
        <v>1674</v>
      </c>
      <c r="AO332" s="81" t="s">
        <v>1809</v>
      </c>
      <c r="AP332" s="76" t="b">
        <v>0</v>
      </c>
      <c r="AQ332" s="81" t="s">
        <v>1618</v>
      </c>
      <c r="AR332" s="76" t="s">
        <v>219</v>
      </c>
      <c r="AS332" s="76">
        <v>0</v>
      </c>
      <c r="AT332" s="76">
        <v>0</v>
      </c>
      <c r="AU332" s="76"/>
      <c r="AV332" s="76"/>
      <c r="AW332" s="76"/>
      <c r="AX332" s="76"/>
      <c r="AY332" s="76"/>
      <c r="AZ332" s="76"/>
      <c r="BA332" s="76"/>
      <c r="BB332" s="76"/>
      <c r="BC332">
        <v>1</v>
      </c>
      <c r="BD332" s="75" t="str">
        <f>REPLACE(INDEX(GroupVertices[Group],MATCH(Edges25[[#This Row],[Vertex 1]],GroupVertices[Vertex],0)),1,1,"")</f>
        <v>1</v>
      </c>
      <c r="BE332" s="75" t="str">
        <f>REPLACE(INDEX(GroupVertices[Group],MATCH(Edges25[[#This Row],[Vertex 2]],GroupVertices[Vertex],0)),1,1,"")</f>
        <v>1</v>
      </c>
      <c r="BF332" s="45"/>
      <c r="BG332" s="46"/>
      <c r="BH332" s="45"/>
      <c r="BI332" s="46"/>
      <c r="BJ332" s="45"/>
      <c r="BK332" s="46"/>
      <c r="BL332" s="45"/>
      <c r="BM332" s="46"/>
      <c r="BN332" s="45"/>
    </row>
    <row r="333" spans="1:66" ht="15">
      <c r="A333" s="61" t="s">
        <v>428</v>
      </c>
      <c r="B333" s="61" t="s">
        <v>581</v>
      </c>
      <c r="C333" s="62"/>
      <c r="D333" s="63"/>
      <c r="E333" s="62"/>
      <c r="F333" s="65"/>
      <c r="G333" s="62"/>
      <c r="H333" s="66"/>
      <c r="I333" s="67"/>
      <c r="J333" s="67"/>
      <c r="K333" s="31" t="s">
        <v>65</v>
      </c>
      <c r="L333" s="68">
        <v>454</v>
      </c>
      <c r="M333" s="68"/>
      <c r="N333" s="69"/>
      <c r="O333" s="76" t="s">
        <v>587</v>
      </c>
      <c r="P333" s="78">
        <v>44819.23981481481</v>
      </c>
      <c r="Q333" s="76" t="s">
        <v>776</v>
      </c>
      <c r="R333" s="76"/>
      <c r="S333" s="76"/>
      <c r="T333" s="81" t="s">
        <v>889</v>
      </c>
      <c r="U333" s="76"/>
      <c r="V333" s="79" t="str">
        <f>HYPERLINK("https://pbs.twimg.com/profile_images/1522304931037913088/v16u8wKz_normal.jpg")</f>
        <v>https://pbs.twimg.com/profile_images/1522304931037913088/v16u8wKz_normal.jpg</v>
      </c>
      <c r="W333" s="78">
        <v>44819.23981481481</v>
      </c>
      <c r="X333" s="84">
        <v>44819</v>
      </c>
      <c r="Y333" s="81" t="s">
        <v>1217</v>
      </c>
      <c r="Z333" s="79" t="str">
        <f>HYPERLINK("https://twitter.com/saresistentzia/status/1570287633003347975")</f>
        <v>https://twitter.com/saresistentzia/status/1570287633003347975</v>
      </c>
      <c r="AA333" s="76"/>
      <c r="AB333" s="76"/>
      <c r="AC333" s="81" t="s">
        <v>1556</v>
      </c>
      <c r="AD333" s="81" t="s">
        <v>1667</v>
      </c>
      <c r="AE333" s="76" t="b">
        <v>0</v>
      </c>
      <c r="AF333" s="76">
        <v>1</v>
      </c>
      <c r="AG333" s="81" t="s">
        <v>1766</v>
      </c>
      <c r="AH333" s="76" t="b">
        <v>0</v>
      </c>
      <c r="AI333" s="76" t="s">
        <v>1774</v>
      </c>
      <c r="AJ333" s="76"/>
      <c r="AK333" s="81" t="s">
        <v>1674</v>
      </c>
      <c r="AL333" s="76" t="b">
        <v>0</v>
      </c>
      <c r="AM333" s="76">
        <v>0</v>
      </c>
      <c r="AN333" s="81" t="s">
        <v>1674</v>
      </c>
      <c r="AO333" s="81" t="s">
        <v>1809</v>
      </c>
      <c r="AP333" s="76" t="b">
        <v>0</v>
      </c>
      <c r="AQ333" s="81" t="s">
        <v>1667</v>
      </c>
      <c r="AR333" s="76" t="s">
        <v>219</v>
      </c>
      <c r="AS333" s="76">
        <v>0</v>
      </c>
      <c r="AT333" s="76">
        <v>0</v>
      </c>
      <c r="AU333" s="76"/>
      <c r="AV333" s="76"/>
      <c r="AW333" s="76"/>
      <c r="AX333" s="76"/>
      <c r="AY333" s="76"/>
      <c r="AZ333" s="76"/>
      <c r="BA333" s="76"/>
      <c r="BB333" s="76"/>
      <c r="BC333">
        <v>1</v>
      </c>
      <c r="BD333" s="75" t="str">
        <f>REPLACE(INDEX(GroupVertices[Group],MATCH(Edges25[[#This Row],[Vertex 1]],GroupVertices[Vertex],0)),1,1,"")</f>
        <v>1</v>
      </c>
      <c r="BE333" s="75" t="str">
        <f>REPLACE(INDEX(GroupVertices[Group],MATCH(Edges25[[#This Row],[Vertex 2]],GroupVertices[Vertex],0)),1,1,"")</f>
        <v>1</v>
      </c>
      <c r="BF333" s="45"/>
      <c r="BG333" s="46"/>
      <c r="BH333" s="45"/>
      <c r="BI333" s="46"/>
      <c r="BJ333" s="45"/>
      <c r="BK333" s="46"/>
      <c r="BL333" s="45"/>
      <c r="BM333" s="46"/>
      <c r="BN333" s="45"/>
    </row>
    <row r="334" spans="1:66" ht="15">
      <c r="A334" s="61" t="s">
        <v>428</v>
      </c>
      <c r="B334" s="61" t="s">
        <v>532</v>
      </c>
      <c r="C334" s="62"/>
      <c r="D334" s="63"/>
      <c r="E334" s="62"/>
      <c r="F334" s="65"/>
      <c r="G334" s="62"/>
      <c r="H334" s="66"/>
      <c r="I334" s="67"/>
      <c r="J334" s="67"/>
      <c r="K334" s="31" t="s">
        <v>65</v>
      </c>
      <c r="L334" s="68">
        <v>457</v>
      </c>
      <c r="M334" s="68"/>
      <c r="N334" s="69"/>
      <c r="O334" s="76" t="s">
        <v>588</v>
      </c>
      <c r="P334" s="78">
        <v>44819.25040509259</v>
      </c>
      <c r="Q334" s="76" t="s">
        <v>721</v>
      </c>
      <c r="R334" s="76"/>
      <c r="S334" s="76"/>
      <c r="T334" s="81" t="s">
        <v>859</v>
      </c>
      <c r="U334" s="76"/>
      <c r="V334" s="79" t="str">
        <f>HYPERLINK("https://pbs.twimg.com/profile_images/1522304931037913088/v16u8wKz_normal.jpg")</f>
        <v>https://pbs.twimg.com/profile_images/1522304931037913088/v16u8wKz_normal.jpg</v>
      </c>
      <c r="W334" s="78">
        <v>44819.25040509259</v>
      </c>
      <c r="X334" s="84">
        <v>44819</v>
      </c>
      <c r="Y334" s="81" t="s">
        <v>1218</v>
      </c>
      <c r="Z334" s="79" t="str">
        <f>HYPERLINK("https://twitter.com/saresistentzia/status/1570291470782824448")</f>
        <v>https://twitter.com/saresistentzia/status/1570291470782824448</v>
      </c>
      <c r="AA334" s="76"/>
      <c r="AB334" s="76"/>
      <c r="AC334" s="81" t="s">
        <v>1557</v>
      </c>
      <c r="AD334" s="81" t="s">
        <v>1668</v>
      </c>
      <c r="AE334" s="76" t="b">
        <v>0</v>
      </c>
      <c r="AF334" s="76">
        <v>2</v>
      </c>
      <c r="AG334" s="81" t="s">
        <v>1767</v>
      </c>
      <c r="AH334" s="76" t="b">
        <v>0</v>
      </c>
      <c r="AI334" s="76" t="s">
        <v>1774</v>
      </c>
      <c r="AJ334" s="76"/>
      <c r="AK334" s="81" t="s">
        <v>1674</v>
      </c>
      <c r="AL334" s="76" t="b">
        <v>0</v>
      </c>
      <c r="AM334" s="76">
        <v>1</v>
      </c>
      <c r="AN334" s="81" t="s">
        <v>1674</v>
      </c>
      <c r="AO334" s="81" t="s">
        <v>1809</v>
      </c>
      <c r="AP334" s="76" t="b">
        <v>0</v>
      </c>
      <c r="AQ334" s="81" t="s">
        <v>1668</v>
      </c>
      <c r="AR334" s="76" t="s">
        <v>219</v>
      </c>
      <c r="AS334" s="76">
        <v>0</v>
      </c>
      <c r="AT334" s="76">
        <v>0</v>
      </c>
      <c r="AU334" s="76"/>
      <c r="AV334" s="76"/>
      <c r="AW334" s="76"/>
      <c r="AX334" s="76"/>
      <c r="AY334" s="76"/>
      <c r="AZ334" s="76"/>
      <c r="BA334" s="76"/>
      <c r="BB334" s="76"/>
      <c r="BC334">
        <v>3</v>
      </c>
      <c r="BD334" s="75" t="str">
        <f>REPLACE(INDEX(GroupVertices[Group],MATCH(Edges25[[#This Row],[Vertex 1]],GroupVertices[Vertex],0)),1,1,"")</f>
        <v>1</v>
      </c>
      <c r="BE334" s="75" t="str">
        <f>REPLACE(INDEX(GroupVertices[Group],MATCH(Edges25[[#This Row],[Vertex 2]],GroupVertices[Vertex],0)),1,1,"")</f>
        <v>1</v>
      </c>
      <c r="BF334" s="45"/>
      <c r="BG334" s="46"/>
      <c r="BH334" s="45"/>
      <c r="BI334" s="46"/>
      <c r="BJ334" s="45"/>
      <c r="BK334" s="46"/>
      <c r="BL334" s="45"/>
      <c r="BM334" s="46"/>
      <c r="BN334" s="45"/>
    </row>
    <row r="335" spans="1:66" ht="15">
      <c r="A335" s="61" t="s">
        <v>428</v>
      </c>
      <c r="B335" s="61" t="s">
        <v>582</v>
      </c>
      <c r="C335" s="62"/>
      <c r="D335" s="63"/>
      <c r="E335" s="62"/>
      <c r="F335" s="65"/>
      <c r="G335" s="62"/>
      <c r="H335" s="66"/>
      <c r="I335" s="67"/>
      <c r="J335" s="67"/>
      <c r="K335" s="31" t="s">
        <v>65</v>
      </c>
      <c r="L335" s="68">
        <v>459</v>
      </c>
      <c r="M335" s="68"/>
      <c r="N335" s="69"/>
      <c r="O335" s="76" t="s">
        <v>588</v>
      </c>
      <c r="P335" s="78">
        <v>44819.672476851854</v>
      </c>
      <c r="Q335" s="76" t="s">
        <v>777</v>
      </c>
      <c r="R335" s="76"/>
      <c r="S335" s="76"/>
      <c r="T335" s="81" t="s">
        <v>890</v>
      </c>
      <c r="U335" s="76"/>
      <c r="V335" s="79" t="str">
        <f>HYPERLINK("https://pbs.twimg.com/profile_images/1522304931037913088/v16u8wKz_normal.jpg")</f>
        <v>https://pbs.twimg.com/profile_images/1522304931037913088/v16u8wKz_normal.jpg</v>
      </c>
      <c r="W335" s="78">
        <v>44819.672476851854</v>
      </c>
      <c r="X335" s="84">
        <v>44819</v>
      </c>
      <c r="Y335" s="81" t="s">
        <v>1219</v>
      </c>
      <c r="Z335" s="79" t="str">
        <f>HYPERLINK("https://twitter.com/saresistentzia/status/1570444422625599488")</f>
        <v>https://twitter.com/saresistentzia/status/1570444422625599488</v>
      </c>
      <c r="AA335" s="76"/>
      <c r="AB335" s="76"/>
      <c r="AC335" s="81" t="s">
        <v>1558</v>
      </c>
      <c r="AD335" s="81" t="s">
        <v>1669</v>
      </c>
      <c r="AE335" s="76" t="b">
        <v>0</v>
      </c>
      <c r="AF335" s="76">
        <v>0</v>
      </c>
      <c r="AG335" s="81" t="s">
        <v>1768</v>
      </c>
      <c r="AH335" s="76" t="b">
        <v>0</v>
      </c>
      <c r="AI335" s="76" t="s">
        <v>1772</v>
      </c>
      <c r="AJ335" s="76"/>
      <c r="AK335" s="81" t="s">
        <v>1674</v>
      </c>
      <c r="AL335" s="76" t="b">
        <v>0</v>
      </c>
      <c r="AM335" s="76">
        <v>0</v>
      </c>
      <c r="AN335" s="81" t="s">
        <v>1674</v>
      </c>
      <c r="AO335" s="81" t="s">
        <v>1809</v>
      </c>
      <c r="AP335" s="76" t="b">
        <v>0</v>
      </c>
      <c r="AQ335" s="81" t="s">
        <v>1669</v>
      </c>
      <c r="AR335" s="76" t="s">
        <v>219</v>
      </c>
      <c r="AS335" s="76">
        <v>0</v>
      </c>
      <c r="AT335" s="76">
        <v>0</v>
      </c>
      <c r="AU335" s="76"/>
      <c r="AV335" s="76"/>
      <c r="AW335" s="76"/>
      <c r="AX335" s="76"/>
      <c r="AY335" s="76"/>
      <c r="AZ335" s="76"/>
      <c r="BA335" s="76"/>
      <c r="BB335" s="76"/>
      <c r="BC335">
        <v>1</v>
      </c>
      <c r="BD335" s="75" t="str">
        <f>REPLACE(INDEX(GroupVertices[Group],MATCH(Edges25[[#This Row],[Vertex 1]],GroupVertices[Vertex],0)),1,1,"")</f>
        <v>1</v>
      </c>
      <c r="BE335" s="75" t="str">
        <f>REPLACE(INDEX(GroupVertices[Group],MATCH(Edges25[[#This Row],[Vertex 2]],GroupVertices[Vertex],0)),1,1,"")</f>
        <v>1</v>
      </c>
      <c r="BF335" s="45"/>
      <c r="BG335" s="46"/>
      <c r="BH335" s="45"/>
      <c r="BI335" s="46"/>
      <c r="BJ335" s="45"/>
      <c r="BK335" s="46"/>
      <c r="BL335" s="45"/>
      <c r="BM335" s="46"/>
      <c r="BN335" s="45"/>
    </row>
    <row r="336" spans="1:66" ht="15">
      <c r="A336" s="61" t="s">
        <v>428</v>
      </c>
      <c r="B336" s="61" t="s">
        <v>497</v>
      </c>
      <c r="C336" s="62"/>
      <c r="D336" s="63"/>
      <c r="E336" s="62"/>
      <c r="F336" s="65"/>
      <c r="G336" s="62"/>
      <c r="H336" s="66"/>
      <c r="I336" s="67"/>
      <c r="J336" s="67"/>
      <c r="K336" s="31" t="s">
        <v>65</v>
      </c>
      <c r="L336" s="68">
        <v>462</v>
      </c>
      <c r="M336" s="68"/>
      <c r="N336" s="69"/>
      <c r="O336" s="76" t="s">
        <v>588</v>
      </c>
      <c r="P336" s="78">
        <v>44819.724907407406</v>
      </c>
      <c r="Q336" s="76" t="s">
        <v>778</v>
      </c>
      <c r="R336" s="76"/>
      <c r="S336" s="76"/>
      <c r="T336" s="81" t="s">
        <v>891</v>
      </c>
      <c r="U336" s="76"/>
      <c r="V336" s="79" t="str">
        <f>HYPERLINK("https://pbs.twimg.com/profile_images/1522304931037913088/v16u8wKz_normal.jpg")</f>
        <v>https://pbs.twimg.com/profile_images/1522304931037913088/v16u8wKz_normal.jpg</v>
      </c>
      <c r="W336" s="78">
        <v>44819.724907407406</v>
      </c>
      <c r="X336" s="84">
        <v>44819</v>
      </c>
      <c r="Y336" s="81" t="s">
        <v>1220</v>
      </c>
      <c r="Z336" s="79" t="str">
        <f>HYPERLINK("https://twitter.com/saresistentzia/status/1570463421757358082")</f>
        <v>https://twitter.com/saresistentzia/status/1570463421757358082</v>
      </c>
      <c r="AA336" s="76"/>
      <c r="AB336" s="76"/>
      <c r="AC336" s="81" t="s">
        <v>1559</v>
      </c>
      <c r="AD336" s="81" t="s">
        <v>1670</v>
      </c>
      <c r="AE336" s="76" t="b">
        <v>0</v>
      </c>
      <c r="AF336" s="76">
        <v>0</v>
      </c>
      <c r="AG336" s="81" t="s">
        <v>1702</v>
      </c>
      <c r="AH336" s="76" t="b">
        <v>0</v>
      </c>
      <c r="AI336" s="76" t="s">
        <v>1774</v>
      </c>
      <c r="AJ336" s="76"/>
      <c r="AK336" s="81" t="s">
        <v>1674</v>
      </c>
      <c r="AL336" s="76" t="b">
        <v>0</v>
      </c>
      <c r="AM336" s="76">
        <v>0</v>
      </c>
      <c r="AN336" s="81" t="s">
        <v>1674</v>
      </c>
      <c r="AO336" s="81" t="s">
        <v>1809</v>
      </c>
      <c r="AP336" s="76" t="b">
        <v>0</v>
      </c>
      <c r="AQ336" s="81" t="s">
        <v>1670</v>
      </c>
      <c r="AR336" s="76" t="s">
        <v>219</v>
      </c>
      <c r="AS336" s="76">
        <v>0</v>
      </c>
      <c r="AT336" s="76">
        <v>0</v>
      </c>
      <c r="AU336" s="76"/>
      <c r="AV336" s="76"/>
      <c r="AW336" s="76"/>
      <c r="AX336" s="76"/>
      <c r="AY336" s="76"/>
      <c r="AZ336" s="76"/>
      <c r="BA336" s="76"/>
      <c r="BB336" s="76"/>
      <c r="BC336">
        <v>2</v>
      </c>
      <c r="BD336" s="75" t="str">
        <f>REPLACE(INDEX(GroupVertices[Group],MATCH(Edges25[[#This Row],[Vertex 1]],GroupVertices[Vertex],0)),1,1,"")</f>
        <v>1</v>
      </c>
      <c r="BE336" s="75" t="str">
        <f>REPLACE(INDEX(GroupVertices[Group],MATCH(Edges25[[#This Row],[Vertex 2]],GroupVertices[Vertex],0)),1,1,"")</f>
        <v>3</v>
      </c>
      <c r="BF336" s="45"/>
      <c r="BG336" s="46"/>
      <c r="BH336" s="45"/>
      <c r="BI336" s="46"/>
      <c r="BJ336" s="45"/>
      <c r="BK336" s="46"/>
      <c r="BL336" s="45"/>
      <c r="BM336" s="46"/>
      <c r="BN336" s="45"/>
    </row>
    <row r="337" spans="1:66" ht="15">
      <c r="A337" s="61" t="s">
        <v>428</v>
      </c>
      <c r="B337" s="61" t="s">
        <v>584</v>
      </c>
      <c r="C337" s="62"/>
      <c r="D337" s="63"/>
      <c r="E337" s="62"/>
      <c r="F337" s="65"/>
      <c r="G337" s="62"/>
      <c r="H337" s="66"/>
      <c r="I337" s="67"/>
      <c r="J337" s="67"/>
      <c r="K337" s="31" t="s">
        <v>65</v>
      </c>
      <c r="L337" s="68">
        <v>466</v>
      </c>
      <c r="M337" s="68"/>
      <c r="N337" s="69"/>
      <c r="O337" s="76" t="s">
        <v>587</v>
      </c>
      <c r="P337" s="78">
        <v>44817.26106481482</v>
      </c>
      <c r="Q337" s="76" t="s">
        <v>779</v>
      </c>
      <c r="R337" s="76"/>
      <c r="S337" s="76"/>
      <c r="T337" s="81" t="s">
        <v>883</v>
      </c>
      <c r="U337" s="76"/>
      <c r="V337" s="79" t="str">
        <f>HYPERLINK("https://pbs.twimg.com/profile_images/1522304931037913088/v16u8wKz_normal.jpg")</f>
        <v>https://pbs.twimg.com/profile_images/1522304931037913088/v16u8wKz_normal.jpg</v>
      </c>
      <c r="W337" s="78">
        <v>44817.26106481482</v>
      </c>
      <c r="X337" s="84">
        <v>44817</v>
      </c>
      <c r="Y337" s="81" t="s">
        <v>1221</v>
      </c>
      <c r="Z337" s="79" t="str">
        <f>HYPERLINK("https://twitter.com/saresistentzia/status/1569570558387388416")</f>
        <v>https://twitter.com/saresistentzia/status/1569570558387388416</v>
      </c>
      <c r="AA337" s="76"/>
      <c r="AB337" s="76"/>
      <c r="AC337" s="81" t="s">
        <v>1560</v>
      </c>
      <c r="AD337" s="81" t="s">
        <v>1671</v>
      </c>
      <c r="AE337" s="76" t="b">
        <v>0</v>
      </c>
      <c r="AF337" s="76">
        <v>0</v>
      </c>
      <c r="AG337" s="81" t="s">
        <v>1769</v>
      </c>
      <c r="AH337" s="76" t="b">
        <v>0</v>
      </c>
      <c r="AI337" s="76" t="s">
        <v>1774</v>
      </c>
      <c r="AJ337" s="76"/>
      <c r="AK337" s="81" t="s">
        <v>1674</v>
      </c>
      <c r="AL337" s="76" t="b">
        <v>0</v>
      </c>
      <c r="AM337" s="76">
        <v>0</v>
      </c>
      <c r="AN337" s="81" t="s">
        <v>1674</v>
      </c>
      <c r="AO337" s="81" t="s">
        <v>1809</v>
      </c>
      <c r="AP337" s="76" t="b">
        <v>0</v>
      </c>
      <c r="AQ337" s="81" t="s">
        <v>1671</v>
      </c>
      <c r="AR337" s="76" t="s">
        <v>219</v>
      </c>
      <c r="AS337" s="76">
        <v>0</v>
      </c>
      <c r="AT337" s="76">
        <v>0</v>
      </c>
      <c r="AU337" s="76"/>
      <c r="AV337" s="76"/>
      <c r="AW337" s="76"/>
      <c r="AX337" s="76"/>
      <c r="AY337" s="76"/>
      <c r="AZ337" s="76"/>
      <c r="BA337" s="76"/>
      <c r="BB337" s="76"/>
      <c r="BC337">
        <v>4</v>
      </c>
      <c r="BD337" s="75" t="str">
        <f>REPLACE(INDEX(GroupVertices[Group],MATCH(Edges25[[#This Row],[Vertex 1]],GroupVertices[Vertex],0)),1,1,"")</f>
        <v>1</v>
      </c>
      <c r="BE337" s="75" t="str">
        <f>REPLACE(INDEX(GroupVertices[Group],MATCH(Edges25[[#This Row],[Vertex 2]],GroupVertices[Vertex],0)),1,1,"")</f>
        <v>1</v>
      </c>
      <c r="BF337" s="45">
        <v>0</v>
      </c>
      <c r="BG337" s="46">
        <v>0</v>
      </c>
      <c r="BH337" s="45">
        <v>0</v>
      </c>
      <c r="BI337" s="46">
        <v>0</v>
      </c>
      <c r="BJ337" s="45">
        <v>0</v>
      </c>
      <c r="BK337" s="46">
        <v>0</v>
      </c>
      <c r="BL337" s="45">
        <v>11</v>
      </c>
      <c r="BM337" s="46">
        <v>100</v>
      </c>
      <c r="BN337" s="45">
        <v>11</v>
      </c>
    </row>
    <row r="338" spans="1:66" ht="15">
      <c r="A338" s="61" t="s">
        <v>428</v>
      </c>
      <c r="B338" s="61" t="s">
        <v>584</v>
      </c>
      <c r="C338" s="62"/>
      <c r="D338" s="63"/>
      <c r="E338" s="62"/>
      <c r="F338" s="65"/>
      <c r="G338" s="62"/>
      <c r="H338" s="66"/>
      <c r="I338" s="67"/>
      <c r="J338" s="67"/>
      <c r="K338" s="31" t="s">
        <v>65</v>
      </c>
      <c r="L338" s="68">
        <v>467</v>
      </c>
      <c r="M338" s="68"/>
      <c r="N338" s="69"/>
      <c r="O338" s="76" t="s">
        <v>587</v>
      </c>
      <c r="P338" s="78">
        <v>44818.67755787037</v>
      </c>
      <c r="Q338" s="76" t="s">
        <v>780</v>
      </c>
      <c r="R338" s="76"/>
      <c r="S338" s="76"/>
      <c r="T338" s="81" t="s">
        <v>892</v>
      </c>
      <c r="U338" s="76"/>
      <c r="V338" s="79" t="str">
        <f>HYPERLINK("https://pbs.twimg.com/profile_images/1522304931037913088/v16u8wKz_normal.jpg")</f>
        <v>https://pbs.twimg.com/profile_images/1522304931037913088/v16u8wKz_normal.jpg</v>
      </c>
      <c r="W338" s="78">
        <v>44818.67755787037</v>
      </c>
      <c r="X338" s="84">
        <v>44818</v>
      </c>
      <c r="Y338" s="81" t="s">
        <v>1222</v>
      </c>
      <c r="Z338" s="79" t="str">
        <f>HYPERLINK("https://twitter.com/saresistentzia/status/1570083874553712640")</f>
        <v>https://twitter.com/saresistentzia/status/1570083874553712640</v>
      </c>
      <c r="AA338" s="76"/>
      <c r="AB338" s="76"/>
      <c r="AC338" s="81" t="s">
        <v>1561</v>
      </c>
      <c r="AD338" s="81" t="s">
        <v>1672</v>
      </c>
      <c r="AE338" s="76" t="b">
        <v>0</v>
      </c>
      <c r="AF338" s="76">
        <v>6</v>
      </c>
      <c r="AG338" s="81" t="s">
        <v>1769</v>
      </c>
      <c r="AH338" s="76" t="b">
        <v>0</v>
      </c>
      <c r="AI338" s="76" t="s">
        <v>1774</v>
      </c>
      <c r="AJ338" s="76"/>
      <c r="AK338" s="81" t="s">
        <v>1674</v>
      </c>
      <c r="AL338" s="76" t="b">
        <v>0</v>
      </c>
      <c r="AM338" s="76">
        <v>0</v>
      </c>
      <c r="AN338" s="81" t="s">
        <v>1674</v>
      </c>
      <c r="AO338" s="81" t="s">
        <v>1809</v>
      </c>
      <c r="AP338" s="76" t="b">
        <v>0</v>
      </c>
      <c r="AQ338" s="81" t="s">
        <v>1672</v>
      </c>
      <c r="AR338" s="76" t="s">
        <v>219</v>
      </c>
      <c r="AS338" s="76">
        <v>0</v>
      </c>
      <c r="AT338" s="76">
        <v>0</v>
      </c>
      <c r="AU338" s="76"/>
      <c r="AV338" s="76"/>
      <c r="AW338" s="76"/>
      <c r="AX338" s="76"/>
      <c r="AY338" s="76"/>
      <c r="AZ338" s="76"/>
      <c r="BA338" s="76"/>
      <c r="BB338" s="76"/>
      <c r="BC338">
        <v>4</v>
      </c>
      <c r="BD338" s="75" t="str">
        <f>REPLACE(INDEX(GroupVertices[Group],MATCH(Edges25[[#This Row],[Vertex 1]],GroupVertices[Vertex],0)),1,1,"")</f>
        <v>1</v>
      </c>
      <c r="BE338" s="75" t="str">
        <f>REPLACE(INDEX(GroupVertices[Group],MATCH(Edges25[[#This Row],[Vertex 2]],GroupVertices[Vertex],0)),1,1,"")</f>
        <v>1</v>
      </c>
      <c r="BF338" s="45">
        <v>0</v>
      </c>
      <c r="BG338" s="46">
        <v>0</v>
      </c>
      <c r="BH338" s="45">
        <v>0</v>
      </c>
      <c r="BI338" s="46">
        <v>0</v>
      </c>
      <c r="BJ338" s="45">
        <v>0</v>
      </c>
      <c r="BK338" s="46">
        <v>0</v>
      </c>
      <c r="BL338" s="45">
        <v>30</v>
      </c>
      <c r="BM338" s="46">
        <v>100</v>
      </c>
      <c r="BN338" s="45">
        <v>30</v>
      </c>
    </row>
    <row r="339" spans="1:66" ht="15">
      <c r="A339" s="61" t="s">
        <v>428</v>
      </c>
      <c r="B339" s="61" t="s">
        <v>584</v>
      </c>
      <c r="C339" s="62"/>
      <c r="D339" s="63"/>
      <c r="E339" s="62"/>
      <c r="F339" s="65"/>
      <c r="G339" s="62"/>
      <c r="H339" s="66"/>
      <c r="I339" s="67"/>
      <c r="J339" s="67"/>
      <c r="K339" s="31" t="s">
        <v>65</v>
      </c>
      <c r="L339" s="68">
        <v>469</v>
      </c>
      <c r="M339" s="68"/>
      <c r="N339" s="69"/>
      <c r="O339" s="76" t="s">
        <v>587</v>
      </c>
      <c r="P339" s="78">
        <v>44819.80777777778</v>
      </c>
      <c r="Q339" s="76" t="s">
        <v>781</v>
      </c>
      <c r="R339" s="76"/>
      <c r="S339" s="76"/>
      <c r="T339" s="81" t="s">
        <v>893</v>
      </c>
      <c r="U339" s="76"/>
      <c r="V339" s="79" t="str">
        <f>HYPERLINK("https://pbs.twimg.com/profile_images/1522304931037913088/v16u8wKz_normal.jpg")</f>
        <v>https://pbs.twimg.com/profile_images/1522304931037913088/v16u8wKz_normal.jpg</v>
      </c>
      <c r="W339" s="78">
        <v>44819.80777777778</v>
      </c>
      <c r="X339" s="84">
        <v>44819</v>
      </c>
      <c r="Y339" s="81" t="s">
        <v>1223</v>
      </c>
      <c r="Z339" s="79" t="str">
        <f>HYPERLINK("https://twitter.com/saresistentzia/status/1570493452902895616")</f>
        <v>https://twitter.com/saresistentzia/status/1570493452902895616</v>
      </c>
      <c r="AA339" s="76"/>
      <c r="AB339" s="76"/>
      <c r="AC339" s="81" t="s">
        <v>1562</v>
      </c>
      <c r="AD339" s="81" t="s">
        <v>1673</v>
      </c>
      <c r="AE339" s="76" t="b">
        <v>0</v>
      </c>
      <c r="AF339" s="76">
        <v>1</v>
      </c>
      <c r="AG339" s="81" t="s">
        <v>1769</v>
      </c>
      <c r="AH339" s="76" t="b">
        <v>0</v>
      </c>
      <c r="AI339" s="76" t="s">
        <v>1774</v>
      </c>
      <c r="AJ339" s="76"/>
      <c r="AK339" s="81" t="s">
        <v>1674</v>
      </c>
      <c r="AL339" s="76" t="b">
        <v>0</v>
      </c>
      <c r="AM339" s="76">
        <v>0</v>
      </c>
      <c r="AN339" s="81" t="s">
        <v>1674</v>
      </c>
      <c r="AO339" s="81" t="s">
        <v>1809</v>
      </c>
      <c r="AP339" s="76" t="b">
        <v>0</v>
      </c>
      <c r="AQ339" s="81" t="s">
        <v>1673</v>
      </c>
      <c r="AR339" s="76" t="s">
        <v>219</v>
      </c>
      <c r="AS339" s="76">
        <v>0</v>
      </c>
      <c r="AT339" s="76">
        <v>0</v>
      </c>
      <c r="AU339" s="76"/>
      <c r="AV339" s="76"/>
      <c r="AW339" s="76"/>
      <c r="AX339" s="76"/>
      <c r="AY339" s="76"/>
      <c r="AZ339" s="76"/>
      <c r="BA339" s="76"/>
      <c r="BB339" s="76"/>
      <c r="BC339">
        <v>4</v>
      </c>
      <c r="BD339" s="75" t="str">
        <f>REPLACE(INDEX(GroupVertices[Group],MATCH(Edges25[[#This Row],[Vertex 1]],GroupVertices[Vertex],0)),1,1,"")</f>
        <v>1</v>
      </c>
      <c r="BE339" s="75" t="str">
        <f>REPLACE(INDEX(GroupVertices[Group],MATCH(Edges25[[#This Row],[Vertex 2]],GroupVertices[Vertex],0)),1,1,"")</f>
        <v>1</v>
      </c>
      <c r="BF339" s="45">
        <v>0</v>
      </c>
      <c r="BG339" s="46">
        <v>0</v>
      </c>
      <c r="BH339" s="45">
        <v>0</v>
      </c>
      <c r="BI339" s="46">
        <v>0</v>
      </c>
      <c r="BJ339" s="45">
        <v>0</v>
      </c>
      <c r="BK339" s="46">
        <v>0</v>
      </c>
      <c r="BL339" s="45">
        <v>35</v>
      </c>
      <c r="BM339" s="46">
        <v>100</v>
      </c>
      <c r="BN339" s="45">
        <v>35</v>
      </c>
    </row>
    <row r="340" spans="1:66" ht="15">
      <c r="A340" s="61" t="s">
        <v>428</v>
      </c>
      <c r="B340" s="61" t="s">
        <v>428</v>
      </c>
      <c r="C340" s="62"/>
      <c r="D340" s="63"/>
      <c r="E340" s="62"/>
      <c r="F340" s="65"/>
      <c r="G340" s="62"/>
      <c r="H340" s="66"/>
      <c r="I340" s="67"/>
      <c r="J340" s="67"/>
      <c r="K340" s="31" t="s">
        <v>65</v>
      </c>
      <c r="L340" s="68">
        <v>470</v>
      </c>
      <c r="M340" s="68"/>
      <c r="N340" s="69"/>
      <c r="O340" s="76" t="s">
        <v>219</v>
      </c>
      <c r="P340" s="78">
        <v>44818.54063657407</v>
      </c>
      <c r="Q340" s="76" t="s">
        <v>700</v>
      </c>
      <c r="R340" s="76"/>
      <c r="S340" s="76"/>
      <c r="T340" s="81" t="s">
        <v>849</v>
      </c>
      <c r="U340" s="79" t="str">
        <f>HYPERLINK("https://pbs.twimg.com/ext_tw_video_thumb/1569990463913852929/pu/img/jtvBzzGtZsaI9lVF.jpg")</f>
        <v>https://pbs.twimg.com/ext_tw_video_thumb/1569990463913852929/pu/img/jtvBzzGtZsaI9lVF.jpg</v>
      </c>
      <c r="V340" s="79" t="str">
        <f>HYPERLINK("https://pbs.twimg.com/ext_tw_video_thumb/1569990463913852929/pu/img/jtvBzzGtZsaI9lVF.jpg")</f>
        <v>https://pbs.twimg.com/ext_tw_video_thumb/1569990463913852929/pu/img/jtvBzzGtZsaI9lVF.jpg</v>
      </c>
      <c r="W340" s="78">
        <v>44818.54063657407</v>
      </c>
      <c r="X340" s="84">
        <v>44818</v>
      </c>
      <c r="Y340" s="81" t="s">
        <v>1224</v>
      </c>
      <c r="Z340" s="79" t="str">
        <f>HYPERLINK("https://twitter.com/saresistentzia/status/1570034256658984966")</f>
        <v>https://twitter.com/saresistentzia/status/1570034256658984966</v>
      </c>
      <c r="AA340" s="76"/>
      <c r="AB340" s="76"/>
      <c r="AC340" s="81" t="s">
        <v>1563</v>
      </c>
      <c r="AD340" s="76"/>
      <c r="AE340" s="76" t="b">
        <v>0</v>
      </c>
      <c r="AF340" s="76">
        <v>1</v>
      </c>
      <c r="AG340" s="81" t="s">
        <v>1674</v>
      </c>
      <c r="AH340" s="76" t="b">
        <v>0</v>
      </c>
      <c r="AI340" s="76" t="s">
        <v>1772</v>
      </c>
      <c r="AJ340" s="76"/>
      <c r="AK340" s="81" t="s">
        <v>1674</v>
      </c>
      <c r="AL340" s="76" t="b">
        <v>0</v>
      </c>
      <c r="AM340" s="76">
        <v>1</v>
      </c>
      <c r="AN340" s="81" t="s">
        <v>1674</v>
      </c>
      <c r="AO340" s="81" t="s">
        <v>1809</v>
      </c>
      <c r="AP340" s="76" t="b">
        <v>0</v>
      </c>
      <c r="AQ340" s="81" t="s">
        <v>1563</v>
      </c>
      <c r="AR340" s="76" t="s">
        <v>219</v>
      </c>
      <c r="AS340" s="76">
        <v>0</v>
      </c>
      <c r="AT340" s="76">
        <v>0</v>
      </c>
      <c r="AU340" s="76"/>
      <c r="AV340" s="76"/>
      <c r="AW340" s="76"/>
      <c r="AX340" s="76"/>
      <c r="AY340" s="76"/>
      <c r="AZ340" s="76"/>
      <c r="BA340" s="76"/>
      <c r="BB340" s="76"/>
      <c r="BC340">
        <v>1</v>
      </c>
      <c r="BD340" s="75" t="str">
        <f>REPLACE(INDEX(GroupVertices[Group],MATCH(Edges25[[#This Row],[Vertex 1]],GroupVertices[Vertex],0)),1,1,"")</f>
        <v>1</v>
      </c>
      <c r="BE340" s="75" t="str">
        <f>REPLACE(INDEX(GroupVertices[Group],MATCH(Edges25[[#This Row],[Vertex 2]],GroupVertices[Vertex],0)),1,1,"")</f>
        <v>1</v>
      </c>
      <c r="BF340" s="45">
        <v>0</v>
      </c>
      <c r="BG340" s="46">
        <v>0</v>
      </c>
      <c r="BH340" s="45">
        <v>0</v>
      </c>
      <c r="BI340" s="46">
        <v>0</v>
      </c>
      <c r="BJ340" s="45">
        <v>0</v>
      </c>
      <c r="BK340" s="46">
        <v>0</v>
      </c>
      <c r="BL340" s="45">
        <v>18</v>
      </c>
      <c r="BM340" s="46">
        <v>100</v>
      </c>
      <c r="BN340" s="45">
        <v>18</v>
      </c>
    </row>
    <row r="341" spans="1:66" ht="15">
      <c r="A341" s="61" t="s">
        <v>429</v>
      </c>
      <c r="B341" s="61" t="s">
        <v>429</v>
      </c>
      <c r="C341" s="62"/>
      <c r="D341" s="63"/>
      <c r="E341" s="62"/>
      <c r="F341" s="65"/>
      <c r="G341" s="62"/>
      <c r="H341" s="66"/>
      <c r="I341" s="67"/>
      <c r="J341" s="67"/>
      <c r="K341" s="31" t="s">
        <v>65</v>
      </c>
      <c r="L341" s="68">
        <v>471</v>
      </c>
      <c r="M341" s="68"/>
      <c r="N341" s="69"/>
      <c r="O341" s="76" t="s">
        <v>219</v>
      </c>
      <c r="P341" s="78">
        <v>44819.815300925926</v>
      </c>
      <c r="Q341" s="76" t="s">
        <v>782</v>
      </c>
      <c r="R341" s="76"/>
      <c r="S341" s="76"/>
      <c r="T341" s="81" t="s">
        <v>894</v>
      </c>
      <c r="U341" s="79" t="str">
        <f>HYPERLINK("https://pbs.twimg.com/media/FcuF81lWQAAbFzL.jpg")</f>
        <v>https://pbs.twimg.com/media/FcuF81lWQAAbFzL.jpg</v>
      </c>
      <c r="V341" s="79" t="str">
        <f>HYPERLINK("https://pbs.twimg.com/media/FcuF81lWQAAbFzL.jpg")</f>
        <v>https://pbs.twimg.com/media/FcuF81lWQAAbFzL.jpg</v>
      </c>
      <c r="W341" s="78">
        <v>44819.815300925926</v>
      </c>
      <c r="X341" s="84">
        <v>44819</v>
      </c>
      <c r="Y341" s="81" t="s">
        <v>1225</v>
      </c>
      <c r="Z341" s="79" t="str">
        <f>HYPERLINK("https://twitter.com/seekingreader/status/1570496179234033666")</f>
        <v>https://twitter.com/seekingreader/status/1570496179234033666</v>
      </c>
      <c r="AA341" s="76"/>
      <c r="AB341" s="76"/>
      <c r="AC341" s="81" t="s">
        <v>1564</v>
      </c>
      <c r="AD341" s="76"/>
      <c r="AE341" s="76" t="b">
        <v>0</v>
      </c>
      <c r="AF341" s="76">
        <v>0</v>
      </c>
      <c r="AG341" s="81" t="s">
        <v>1674</v>
      </c>
      <c r="AH341" s="76" t="b">
        <v>0</v>
      </c>
      <c r="AI341" s="76" t="s">
        <v>1774</v>
      </c>
      <c r="AJ341" s="76"/>
      <c r="AK341" s="81" t="s">
        <v>1674</v>
      </c>
      <c r="AL341" s="76" t="b">
        <v>0</v>
      </c>
      <c r="AM341" s="76">
        <v>0</v>
      </c>
      <c r="AN341" s="81" t="s">
        <v>1674</v>
      </c>
      <c r="AO341" s="81" t="s">
        <v>1809</v>
      </c>
      <c r="AP341" s="76" t="b">
        <v>0</v>
      </c>
      <c r="AQ341" s="81" t="s">
        <v>1564</v>
      </c>
      <c r="AR341" s="76" t="s">
        <v>219</v>
      </c>
      <c r="AS341" s="76">
        <v>0</v>
      </c>
      <c r="AT341" s="76">
        <v>0</v>
      </c>
      <c r="AU341" s="76"/>
      <c r="AV341" s="76"/>
      <c r="AW341" s="76"/>
      <c r="AX341" s="76"/>
      <c r="AY341" s="76"/>
      <c r="AZ341" s="76"/>
      <c r="BA341" s="76"/>
      <c r="BB341" s="76"/>
      <c r="BC341">
        <v>1</v>
      </c>
      <c r="BD341" s="75" t="str">
        <f>REPLACE(INDEX(GroupVertices[Group],MATCH(Edges25[[#This Row],[Vertex 1]],GroupVertices[Vertex],0)),1,1,"")</f>
        <v>2</v>
      </c>
      <c r="BE341" s="75" t="str">
        <f>REPLACE(INDEX(GroupVertices[Group],MATCH(Edges25[[#This Row],[Vertex 2]],GroupVertices[Vertex],0)),1,1,"")</f>
        <v>2</v>
      </c>
      <c r="BF341" s="45">
        <v>0</v>
      </c>
      <c r="BG341" s="46">
        <v>0</v>
      </c>
      <c r="BH341" s="45">
        <v>0</v>
      </c>
      <c r="BI341" s="46">
        <v>0</v>
      </c>
      <c r="BJ341" s="45">
        <v>0</v>
      </c>
      <c r="BK341" s="46">
        <v>0</v>
      </c>
      <c r="BL341" s="45">
        <v>32</v>
      </c>
      <c r="BM341" s="46">
        <v>100</v>
      </c>
      <c r="BN341" s="45">
        <v>32</v>
      </c>
    </row>
    <row r="342" spans="1:8" ht="15">
      <c r="A342"/>
      <c r="B342"/>
      <c r="D342"/>
      <c r="E342"/>
      <c r="F342"/>
      <c r="H342"/>
    </row>
    <row r="343" spans="1:8" ht="15">
      <c r="A343"/>
      <c r="B343"/>
      <c r="D343"/>
      <c r="E343"/>
      <c r="F343"/>
      <c r="H343"/>
    </row>
    <row r="344" spans="1:8" ht="15">
      <c r="A344"/>
      <c r="B344"/>
      <c r="D344"/>
      <c r="E344"/>
      <c r="F344"/>
      <c r="H344"/>
    </row>
    <row r="345" spans="1:8" ht="15">
      <c r="A345"/>
      <c r="B345"/>
      <c r="D345"/>
      <c r="E345"/>
      <c r="F345"/>
      <c r="H345"/>
    </row>
    <row r="346" spans="1:8" ht="15">
      <c r="A346"/>
      <c r="B346"/>
      <c r="D346"/>
      <c r="E346"/>
      <c r="F346"/>
      <c r="H346"/>
    </row>
    <row r="347" spans="1:8" ht="15">
      <c r="A347"/>
      <c r="B347"/>
      <c r="D347"/>
      <c r="E347"/>
      <c r="F347"/>
      <c r="H347"/>
    </row>
    <row r="348" spans="1:8" ht="15">
      <c r="A348"/>
      <c r="B348"/>
      <c r="D348"/>
      <c r="E348"/>
      <c r="F348"/>
      <c r="H348"/>
    </row>
    <row r="349" spans="1:8" ht="15">
      <c r="A349"/>
      <c r="B349"/>
      <c r="D349"/>
      <c r="E349"/>
      <c r="F349"/>
      <c r="H349"/>
    </row>
    <row r="350" spans="1:8" ht="15">
      <c r="A350"/>
      <c r="B350"/>
      <c r="D350"/>
      <c r="E350"/>
      <c r="F350"/>
      <c r="H350"/>
    </row>
    <row r="351" spans="1:8" ht="15">
      <c r="A351"/>
      <c r="B351"/>
      <c r="D351"/>
      <c r="E351"/>
      <c r="F351"/>
      <c r="H351"/>
    </row>
    <row r="352" spans="1:8" ht="15">
      <c r="A352"/>
      <c r="B352"/>
      <c r="D352"/>
      <c r="E352"/>
      <c r="F352"/>
      <c r="H352"/>
    </row>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1"/>
    <dataValidation allowBlank="1" showInputMessage="1" showErrorMessage="1" promptTitle="Vertex 2 Name" prompt="Enter the name of the edge's second vertex." sqref="B3:B341"/>
    <dataValidation allowBlank="1" showInputMessage="1" showErrorMessage="1" promptTitle="Vertex 1 Name" prompt="Enter the name of the edge's first vertex." sqref="A3:A3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1"/>
    <dataValidation allowBlank="1" showInputMessage="1" promptTitle="Edge Width" prompt="Enter an optional edge width between 1 and 10." errorTitle="Invalid Edge Width" error="The optional edge width must be a whole number between 1 and 10." sqref="D3:D341"/>
    <dataValidation allowBlank="1" showInputMessage="1" promptTitle="Edge Color" prompt="To select an optional edge color, right-click and select Select Color on the right-click menu." sqref="C3:C3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1"/>
    <dataValidation allowBlank="1" showErrorMessage="1" sqref="N2:N3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1"/>
  </dataValidations>
  <printOptions/>
  <pageMargins left="0.7" right="0.7" top="0.75" bottom="0.75" header="0.3" footer="0.3"/>
  <pageSetup horizontalDpi="600" verticalDpi="600" orientation="portrait" r:id="rId4"/>
  <legacyDrawing r:id="rId2"/>
  <tableParts>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E2E85-A4EB-46B0-B232-413788DAC4CA}">
  <dimension ref="A1:V101"/>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3955</v>
      </c>
      <c r="B1" s="7" t="s">
        <v>3966</v>
      </c>
      <c r="C1" s="7" t="s">
        <v>3967</v>
      </c>
      <c r="D1" s="7" t="s">
        <v>3972</v>
      </c>
      <c r="E1" s="7" t="s">
        <v>3971</v>
      </c>
      <c r="F1" s="7" t="s">
        <v>3978</v>
      </c>
      <c r="G1" s="75" t="s">
        <v>3977</v>
      </c>
      <c r="H1" s="75" t="s">
        <v>3980</v>
      </c>
      <c r="I1" s="7" t="s">
        <v>3979</v>
      </c>
      <c r="J1" s="7" t="s">
        <v>3984</v>
      </c>
      <c r="K1" s="75" t="s">
        <v>3983</v>
      </c>
      <c r="L1" s="75" t="s">
        <v>3986</v>
      </c>
      <c r="M1" s="75" t="s">
        <v>3985</v>
      </c>
      <c r="N1" s="75" t="s">
        <v>3988</v>
      </c>
      <c r="O1" s="7" t="s">
        <v>3987</v>
      </c>
      <c r="P1" s="7" t="s">
        <v>3991</v>
      </c>
      <c r="Q1" s="75" t="s">
        <v>3990</v>
      </c>
      <c r="R1" s="75" t="s">
        <v>3993</v>
      </c>
      <c r="S1" s="75" t="s">
        <v>3992</v>
      </c>
      <c r="T1" s="75" t="s">
        <v>3995</v>
      </c>
      <c r="U1" s="75" t="s">
        <v>3994</v>
      </c>
      <c r="V1" s="75" t="s">
        <v>3996</v>
      </c>
    </row>
    <row r="2" spans="1:22" ht="15">
      <c r="A2" s="82" t="s">
        <v>3956</v>
      </c>
      <c r="B2" s="75">
        <v>11</v>
      </c>
      <c r="C2" s="82" t="s">
        <v>3968</v>
      </c>
      <c r="D2" s="75">
        <v>1</v>
      </c>
      <c r="E2" s="82" t="s">
        <v>3960</v>
      </c>
      <c r="F2" s="75">
        <v>9</v>
      </c>
      <c r="G2" s="75"/>
      <c r="H2" s="75"/>
      <c r="I2" s="82" t="s">
        <v>3981</v>
      </c>
      <c r="J2" s="75">
        <v>1</v>
      </c>
      <c r="K2" s="75"/>
      <c r="L2" s="75"/>
      <c r="M2" s="75"/>
      <c r="N2" s="75"/>
      <c r="O2" s="82" t="s">
        <v>3956</v>
      </c>
      <c r="P2" s="75">
        <v>11</v>
      </c>
      <c r="Q2" s="75"/>
      <c r="R2" s="75"/>
      <c r="S2" s="75"/>
      <c r="T2" s="75"/>
      <c r="U2" s="75"/>
      <c r="V2" s="75"/>
    </row>
    <row r="3" spans="1:22" ht="15">
      <c r="A3" s="79" t="s">
        <v>3957</v>
      </c>
      <c r="B3" s="75">
        <v>9</v>
      </c>
      <c r="C3" s="82" t="s">
        <v>3969</v>
      </c>
      <c r="D3" s="75">
        <v>1</v>
      </c>
      <c r="E3" s="82" t="s">
        <v>3957</v>
      </c>
      <c r="F3" s="75">
        <v>9</v>
      </c>
      <c r="G3" s="75"/>
      <c r="H3" s="75"/>
      <c r="I3" s="82" t="s">
        <v>3982</v>
      </c>
      <c r="J3" s="75">
        <v>1</v>
      </c>
      <c r="K3" s="75"/>
      <c r="L3" s="75"/>
      <c r="M3" s="75"/>
      <c r="N3" s="75"/>
      <c r="O3" s="82" t="s">
        <v>3989</v>
      </c>
      <c r="P3" s="75">
        <v>1</v>
      </c>
      <c r="Q3" s="75"/>
      <c r="R3" s="75"/>
      <c r="S3" s="75"/>
      <c r="T3" s="75"/>
      <c r="U3" s="75"/>
      <c r="V3" s="75"/>
    </row>
    <row r="4" spans="1:22" ht="15">
      <c r="A4" s="79" t="s">
        <v>3958</v>
      </c>
      <c r="B4" s="75">
        <v>9</v>
      </c>
      <c r="C4" s="82" t="s">
        <v>3970</v>
      </c>
      <c r="D4" s="75">
        <v>1</v>
      </c>
      <c r="E4" s="82" t="s">
        <v>3958</v>
      </c>
      <c r="F4" s="75">
        <v>9</v>
      </c>
      <c r="G4" s="75"/>
      <c r="H4" s="75"/>
      <c r="I4" s="75"/>
      <c r="J4" s="75"/>
      <c r="K4" s="75"/>
      <c r="L4" s="75"/>
      <c r="M4" s="75"/>
      <c r="N4" s="75"/>
      <c r="O4" s="75"/>
      <c r="P4" s="75"/>
      <c r="Q4" s="75"/>
      <c r="R4" s="75"/>
      <c r="S4" s="75"/>
      <c r="T4" s="75"/>
      <c r="U4" s="75"/>
      <c r="V4" s="75"/>
    </row>
    <row r="5" spans="1:22" ht="15">
      <c r="A5" s="79" t="s">
        <v>3959</v>
      </c>
      <c r="B5" s="75">
        <v>9</v>
      </c>
      <c r="C5" s="75"/>
      <c r="D5" s="75"/>
      <c r="E5" s="82" t="s">
        <v>3959</v>
      </c>
      <c r="F5" s="75">
        <v>9</v>
      </c>
      <c r="G5" s="75"/>
      <c r="H5" s="75"/>
      <c r="I5" s="75"/>
      <c r="J5" s="75"/>
      <c r="K5" s="75"/>
      <c r="L5" s="75"/>
      <c r="M5" s="75"/>
      <c r="N5" s="75"/>
      <c r="O5" s="75"/>
      <c r="P5" s="75"/>
      <c r="Q5" s="75"/>
      <c r="R5" s="75"/>
      <c r="S5" s="75"/>
      <c r="T5" s="75"/>
      <c r="U5" s="75"/>
      <c r="V5" s="75"/>
    </row>
    <row r="6" spans="1:22" ht="15">
      <c r="A6" s="79" t="s">
        <v>3960</v>
      </c>
      <c r="B6" s="75">
        <v>9</v>
      </c>
      <c r="C6" s="75"/>
      <c r="D6" s="75"/>
      <c r="E6" s="82" t="s">
        <v>3961</v>
      </c>
      <c r="F6" s="75">
        <v>8</v>
      </c>
      <c r="G6" s="75"/>
      <c r="H6" s="75"/>
      <c r="I6" s="75"/>
      <c r="J6" s="75"/>
      <c r="K6" s="75"/>
      <c r="L6" s="75"/>
      <c r="M6" s="75"/>
      <c r="N6" s="75"/>
      <c r="O6" s="75"/>
      <c r="P6" s="75"/>
      <c r="Q6" s="75"/>
      <c r="R6" s="75"/>
      <c r="S6" s="75"/>
      <c r="T6" s="75"/>
      <c r="U6" s="75"/>
      <c r="V6" s="75"/>
    </row>
    <row r="7" spans="1:22" ht="15">
      <c r="A7" s="79" t="s">
        <v>3961</v>
      </c>
      <c r="B7" s="75">
        <v>8</v>
      </c>
      <c r="C7" s="75"/>
      <c r="D7" s="75"/>
      <c r="E7" s="82" t="s">
        <v>3962</v>
      </c>
      <c r="F7" s="75">
        <v>8</v>
      </c>
      <c r="G7" s="75"/>
      <c r="H7" s="75"/>
      <c r="I7" s="75"/>
      <c r="J7" s="75"/>
      <c r="K7" s="75"/>
      <c r="L7" s="75"/>
      <c r="M7" s="75"/>
      <c r="N7" s="75"/>
      <c r="O7" s="75"/>
      <c r="P7" s="75"/>
      <c r="Q7" s="75"/>
      <c r="R7" s="75"/>
      <c r="S7" s="75"/>
      <c r="T7" s="75"/>
      <c r="U7" s="75"/>
      <c r="V7" s="75"/>
    </row>
    <row r="8" spans="1:22" ht="15">
      <c r="A8" s="79" t="s">
        <v>3962</v>
      </c>
      <c r="B8" s="75">
        <v>8</v>
      </c>
      <c r="C8" s="75"/>
      <c r="D8" s="75"/>
      <c r="E8" s="82" t="s">
        <v>3973</v>
      </c>
      <c r="F8" s="75">
        <v>2</v>
      </c>
      <c r="G8" s="75"/>
      <c r="H8" s="75"/>
      <c r="I8" s="75"/>
      <c r="J8" s="75"/>
      <c r="K8" s="75"/>
      <c r="L8" s="75"/>
      <c r="M8" s="75"/>
      <c r="N8" s="75"/>
      <c r="O8" s="75"/>
      <c r="P8" s="75"/>
      <c r="Q8" s="75"/>
      <c r="R8" s="75"/>
      <c r="S8" s="75"/>
      <c r="T8" s="75"/>
      <c r="U8" s="75"/>
      <c r="V8" s="75"/>
    </row>
    <row r="9" spans="1:22" ht="15">
      <c r="A9" s="79" t="s">
        <v>3963</v>
      </c>
      <c r="B9" s="75">
        <v>4</v>
      </c>
      <c r="C9" s="75"/>
      <c r="D9" s="75"/>
      <c r="E9" s="82" t="s">
        <v>3974</v>
      </c>
      <c r="F9" s="75">
        <v>1</v>
      </c>
      <c r="G9" s="75"/>
      <c r="H9" s="75"/>
      <c r="I9" s="75"/>
      <c r="J9" s="75"/>
      <c r="K9" s="75"/>
      <c r="L9" s="75"/>
      <c r="M9" s="75"/>
      <c r="N9" s="75"/>
      <c r="O9" s="75"/>
      <c r="P9" s="75"/>
      <c r="Q9" s="75"/>
      <c r="R9" s="75"/>
      <c r="S9" s="75"/>
      <c r="T9" s="75"/>
      <c r="U9" s="75"/>
      <c r="V9" s="75"/>
    </row>
    <row r="10" spans="1:22" ht="15">
      <c r="A10" s="79" t="s">
        <v>3964</v>
      </c>
      <c r="B10" s="75">
        <v>4</v>
      </c>
      <c r="C10" s="75"/>
      <c r="D10" s="75"/>
      <c r="E10" s="82" t="s">
        <v>3975</v>
      </c>
      <c r="F10" s="75">
        <v>1</v>
      </c>
      <c r="G10" s="75"/>
      <c r="H10" s="75"/>
      <c r="I10" s="75"/>
      <c r="J10" s="75"/>
      <c r="K10" s="75"/>
      <c r="L10" s="75"/>
      <c r="M10" s="75"/>
      <c r="N10" s="75"/>
      <c r="O10" s="75"/>
      <c r="P10" s="75"/>
      <c r="Q10" s="75"/>
      <c r="R10" s="75"/>
      <c r="S10" s="75"/>
      <c r="T10" s="75"/>
      <c r="U10" s="75"/>
      <c r="V10" s="75"/>
    </row>
    <row r="11" spans="1:22" ht="15">
      <c r="A11" s="79" t="s">
        <v>3965</v>
      </c>
      <c r="B11" s="75">
        <v>2</v>
      </c>
      <c r="C11" s="75"/>
      <c r="D11" s="75"/>
      <c r="E11" s="82" t="s">
        <v>3976</v>
      </c>
      <c r="F11" s="75">
        <v>1</v>
      </c>
      <c r="G11" s="75"/>
      <c r="H11" s="75"/>
      <c r="I11" s="75"/>
      <c r="J11" s="75"/>
      <c r="K11" s="75"/>
      <c r="L11" s="75"/>
      <c r="M11" s="75"/>
      <c r="N11" s="75"/>
      <c r="O11" s="75"/>
      <c r="P11" s="75"/>
      <c r="Q11" s="75"/>
      <c r="R11" s="75"/>
      <c r="S11" s="75"/>
      <c r="T11" s="75"/>
      <c r="U11" s="75"/>
      <c r="V11" s="75"/>
    </row>
    <row r="14" spans="1:22" ht="14.4" customHeight="1">
      <c r="A14" s="7" t="s">
        <v>4008</v>
      </c>
      <c r="B14" s="7" t="s">
        <v>3966</v>
      </c>
      <c r="C14" s="7" t="s">
        <v>4009</v>
      </c>
      <c r="D14" s="7" t="s">
        <v>3972</v>
      </c>
      <c r="E14" s="7" t="s">
        <v>4010</v>
      </c>
      <c r="F14" s="7" t="s">
        <v>3978</v>
      </c>
      <c r="G14" s="75" t="s">
        <v>4011</v>
      </c>
      <c r="H14" s="75" t="s">
        <v>3980</v>
      </c>
      <c r="I14" s="7" t="s">
        <v>4012</v>
      </c>
      <c r="J14" s="7" t="s">
        <v>3984</v>
      </c>
      <c r="K14" s="75" t="s">
        <v>4013</v>
      </c>
      <c r="L14" s="75" t="s">
        <v>3986</v>
      </c>
      <c r="M14" s="75" t="s">
        <v>4014</v>
      </c>
      <c r="N14" s="75" t="s">
        <v>3988</v>
      </c>
      <c r="O14" s="7" t="s">
        <v>4015</v>
      </c>
      <c r="P14" s="7" t="s">
        <v>3991</v>
      </c>
      <c r="Q14" s="75" t="s">
        <v>4016</v>
      </c>
      <c r="R14" s="75" t="s">
        <v>3993</v>
      </c>
      <c r="S14" s="75" t="s">
        <v>4017</v>
      </c>
      <c r="T14" s="75" t="s">
        <v>3995</v>
      </c>
      <c r="U14" s="75" t="s">
        <v>4018</v>
      </c>
      <c r="V14" s="75" t="s">
        <v>3996</v>
      </c>
    </row>
    <row r="15" spans="1:22" ht="15">
      <c r="A15" s="75" t="s">
        <v>790</v>
      </c>
      <c r="B15" s="75">
        <v>35</v>
      </c>
      <c r="C15" s="75" t="s">
        <v>787</v>
      </c>
      <c r="D15" s="75">
        <v>1</v>
      </c>
      <c r="E15" s="75" t="s">
        <v>790</v>
      </c>
      <c r="F15" s="75">
        <v>35</v>
      </c>
      <c r="G15" s="75"/>
      <c r="H15" s="75"/>
      <c r="I15" s="75" t="s">
        <v>783</v>
      </c>
      <c r="J15" s="75">
        <v>2</v>
      </c>
      <c r="K15" s="75"/>
      <c r="L15" s="75"/>
      <c r="M15" s="75"/>
      <c r="N15" s="75"/>
      <c r="O15" s="75" t="s">
        <v>785</v>
      </c>
      <c r="P15" s="75">
        <v>11</v>
      </c>
      <c r="Q15" s="75"/>
      <c r="R15" s="75"/>
      <c r="S15" s="75"/>
      <c r="T15" s="75"/>
      <c r="U15" s="75"/>
      <c r="V15" s="75"/>
    </row>
    <row r="16" spans="1:22" ht="15">
      <c r="A16" s="76" t="s">
        <v>783</v>
      </c>
      <c r="B16" s="75">
        <v>30</v>
      </c>
      <c r="C16" s="75" t="s">
        <v>788</v>
      </c>
      <c r="D16" s="75">
        <v>1</v>
      </c>
      <c r="E16" s="75" t="s">
        <v>789</v>
      </c>
      <c r="F16" s="75">
        <v>9</v>
      </c>
      <c r="G16" s="75"/>
      <c r="H16" s="75"/>
      <c r="I16" s="75"/>
      <c r="J16" s="75"/>
      <c r="K16" s="75"/>
      <c r="L16" s="75"/>
      <c r="M16" s="75"/>
      <c r="N16" s="75"/>
      <c r="O16" s="75" t="s">
        <v>783</v>
      </c>
      <c r="P16" s="75">
        <v>1</v>
      </c>
      <c r="Q16" s="75"/>
      <c r="R16" s="75"/>
      <c r="S16" s="75"/>
      <c r="T16" s="75"/>
      <c r="U16" s="75"/>
      <c r="V16" s="75"/>
    </row>
    <row r="17" spans="1:22" ht="15">
      <c r="A17" s="76" t="s">
        <v>785</v>
      </c>
      <c r="B17" s="75">
        <v>11</v>
      </c>
      <c r="C17" s="75" t="s">
        <v>783</v>
      </c>
      <c r="D17" s="75">
        <v>1</v>
      </c>
      <c r="E17" s="75" t="s">
        <v>783</v>
      </c>
      <c r="F17" s="75">
        <v>8</v>
      </c>
      <c r="G17" s="75"/>
      <c r="H17" s="75"/>
      <c r="I17" s="75"/>
      <c r="J17" s="75"/>
      <c r="K17" s="75"/>
      <c r="L17" s="75"/>
      <c r="M17" s="75"/>
      <c r="N17" s="75"/>
      <c r="O17" s="75"/>
      <c r="P17" s="75"/>
      <c r="Q17" s="75"/>
      <c r="R17" s="75"/>
      <c r="S17" s="75"/>
      <c r="T17" s="75"/>
      <c r="U17" s="75"/>
      <c r="V17" s="75"/>
    </row>
    <row r="18" spans="1:22" ht="15">
      <c r="A18" s="76" t="s">
        <v>789</v>
      </c>
      <c r="B18" s="75">
        <v>9</v>
      </c>
      <c r="C18" s="75"/>
      <c r="D18" s="75"/>
      <c r="E18" s="75" t="s">
        <v>791</v>
      </c>
      <c r="F18" s="75">
        <v>8</v>
      </c>
      <c r="G18" s="75"/>
      <c r="H18" s="75"/>
      <c r="I18" s="75"/>
      <c r="J18" s="75"/>
      <c r="K18" s="75"/>
      <c r="L18" s="75"/>
      <c r="M18" s="75"/>
      <c r="N18" s="75"/>
      <c r="O18" s="75"/>
      <c r="P18" s="75"/>
      <c r="Q18" s="75"/>
      <c r="R18" s="75"/>
      <c r="S18" s="75"/>
      <c r="T18" s="75"/>
      <c r="U18" s="75"/>
      <c r="V18" s="75"/>
    </row>
    <row r="19" spans="1:22" ht="15">
      <c r="A19" s="76" t="s">
        <v>791</v>
      </c>
      <c r="B19" s="75">
        <v>8</v>
      </c>
      <c r="C19" s="75"/>
      <c r="D19" s="75"/>
      <c r="E19" s="75" t="s">
        <v>786</v>
      </c>
      <c r="F19" s="75">
        <v>1</v>
      </c>
      <c r="G19" s="75"/>
      <c r="H19" s="75"/>
      <c r="I19" s="75"/>
      <c r="J19" s="75"/>
      <c r="K19" s="75"/>
      <c r="L19" s="75"/>
      <c r="M19" s="75"/>
      <c r="N19" s="75"/>
      <c r="O19" s="75"/>
      <c r="P19" s="75"/>
      <c r="Q19" s="75"/>
      <c r="R19" s="75"/>
      <c r="S19" s="75"/>
      <c r="T19" s="75"/>
      <c r="U19" s="75"/>
      <c r="V19" s="75"/>
    </row>
    <row r="20" spans="1:22" ht="15">
      <c r="A20" s="76" t="s">
        <v>784</v>
      </c>
      <c r="B20" s="75">
        <v>4</v>
      </c>
      <c r="C20" s="75"/>
      <c r="D20" s="75"/>
      <c r="E20" s="75"/>
      <c r="F20" s="75"/>
      <c r="G20" s="75"/>
      <c r="H20" s="75"/>
      <c r="I20" s="75"/>
      <c r="J20" s="75"/>
      <c r="K20" s="75"/>
      <c r="L20" s="75"/>
      <c r="M20" s="75"/>
      <c r="N20" s="75"/>
      <c r="O20" s="75"/>
      <c r="P20" s="75"/>
      <c r="Q20" s="75"/>
      <c r="R20" s="75"/>
      <c r="S20" s="75"/>
      <c r="T20" s="75"/>
      <c r="U20" s="75"/>
      <c r="V20" s="75"/>
    </row>
    <row r="21" spans="1:22" ht="15">
      <c r="A21" s="76" t="s">
        <v>788</v>
      </c>
      <c r="B21" s="75">
        <v>1</v>
      </c>
      <c r="C21" s="75"/>
      <c r="D21" s="75"/>
      <c r="E21" s="75"/>
      <c r="F21" s="75"/>
      <c r="G21" s="75"/>
      <c r="H21" s="75"/>
      <c r="I21" s="75"/>
      <c r="J21" s="75"/>
      <c r="K21" s="75"/>
      <c r="L21" s="75"/>
      <c r="M21" s="75"/>
      <c r="N21" s="75"/>
      <c r="O21" s="75"/>
      <c r="P21" s="75"/>
      <c r="Q21" s="75"/>
      <c r="R21" s="75"/>
      <c r="S21" s="75"/>
      <c r="T21" s="75"/>
      <c r="U21" s="75"/>
      <c r="V21" s="75"/>
    </row>
    <row r="22" spans="1:22" ht="15">
      <c r="A22" s="76" t="s">
        <v>787</v>
      </c>
      <c r="B22" s="75">
        <v>1</v>
      </c>
      <c r="C22" s="75"/>
      <c r="D22" s="75"/>
      <c r="E22" s="75"/>
      <c r="F22" s="75"/>
      <c r="G22" s="75"/>
      <c r="H22" s="75"/>
      <c r="I22" s="75"/>
      <c r="J22" s="75"/>
      <c r="K22" s="75"/>
      <c r="L22" s="75"/>
      <c r="M22" s="75"/>
      <c r="N22" s="75"/>
      <c r="O22" s="75"/>
      <c r="P22" s="75"/>
      <c r="Q22" s="75"/>
      <c r="R22" s="75"/>
      <c r="S22" s="75"/>
      <c r="T22" s="75"/>
      <c r="U22" s="75"/>
      <c r="V22" s="75"/>
    </row>
    <row r="23" spans="1:22" ht="15">
      <c r="A23" s="76" t="s">
        <v>786</v>
      </c>
      <c r="B23" s="75">
        <v>1</v>
      </c>
      <c r="C23" s="75"/>
      <c r="D23" s="75"/>
      <c r="E23" s="75"/>
      <c r="F23" s="75"/>
      <c r="G23" s="75"/>
      <c r="H23" s="75"/>
      <c r="I23" s="75"/>
      <c r="J23" s="75"/>
      <c r="K23" s="75"/>
      <c r="L23" s="75"/>
      <c r="M23" s="75"/>
      <c r="N23" s="75"/>
      <c r="O23" s="75"/>
      <c r="P23" s="75"/>
      <c r="Q23" s="75"/>
      <c r="R23" s="75"/>
      <c r="S23" s="75"/>
      <c r="T23" s="75"/>
      <c r="U23" s="75"/>
      <c r="V23" s="75"/>
    </row>
    <row r="26" spans="1:22" ht="14.4" customHeight="1">
      <c r="A26" s="7" t="s">
        <v>4023</v>
      </c>
      <c r="B26" s="7" t="s">
        <v>3966</v>
      </c>
      <c r="C26" s="7" t="s">
        <v>4032</v>
      </c>
      <c r="D26" s="7" t="s">
        <v>3972</v>
      </c>
      <c r="E26" s="7" t="s">
        <v>4040</v>
      </c>
      <c r="F26" s="7" t="s">
        <v>3978</v>
      </c>
      <c r="G26" s="7" t="s">
        <v>4043</v>
      </c>
      <c r="H26" s="7" t="s">
        <v>3980</v>
      </c>
      <c r="I26" s="7" t="s">
        <v>4046</v>
      </c>
      <c r="J26" s="7" t="s">
        <v>3984</v>
      </c>
      <c r="K26" s="7" t="s">
        <v>4054</v>
      </c>
      <c r="L26" s="7" t="s">
        <v>3986</v>
      </c>
      <c r="M26" s="7" t="s">
        <v>4056</v>
      </c>
      <c r="N26" s="7" t="s">
        <v>3988</v>
      </c>
      <c r="O26" s="7" t="s">
        <v>4057</v>
      </c>
      <c r="P26" s="7" t="s">
        <v>3991</v>
      </c>
      <c r="Q26" s="7" t="s">
        <v>4062</v>
      </c>
      <c r="R26" s="7" t="s">
        <v>3993</v>
      </c>
      <c r="S26" s="7" t="s">
        <v>4069</v>
      </c>
      <c r="T26" s="7" t="s">
        <v>3995</v>
      </c>
      <c r="U26" s="7" t="s">
        <v>4070</v>
      </c>
      <c r="V26" s="7" t="s">
        <v>3996</v>
      </c>
    </row>
    <row r="27" spans="1:22" ht="15">
      <c r="A27" s="75" t="s">
        <v>795</v>
      </c>
      <c r="B27" s="75">
        <v>332</v>
      </c>
      <c r="C27" s="75" t="s">
        <v>795</v>
      </c>
      <c r="D27" s="75">
        <v>29</v>
      </c>
      <c r="E27" s="75" t="s">
        <v>795</v>
      </c>
      <c r="F27" s="75">
        <v>73</v>
      </c>
      <c r="G27" s="75" t="s">
        <v>795</v>
      </c>
      <c r="H27" s="75">
        <v>47</v>
      </c>
      <c r="I27" s="75" t="s">
        <v>795</v>
      </c>
      <c r="J27" s="75">
        <v>26</v>
      </c>
      <c r="K27" s="75" t="s">
        <v>4055</v>
      </c>
      <c r="L27" s="75">
        <v>17</v>
      </c>
      <c r="M27" s="75" t="s">
        <v>795</v>
      </c>
      <c r="N27" s="75">
        <v>1</v>
      </c>
      <c r="O27" s="75" t="s">
        <v>795</v>
      </c>
      <c r="P27" s="75">
        <v>13</v>
      </c>
      <c r="Q27" s="75" t="s">
        <v>795</v>
      </c>
      <c r="R27" s="75">
        <v>5</v>
      </c>
      <c r="S27" s="75" t="s">
        <v>795</v>
      </c>
      <c r="T27" s="75">
        <v>6</v>
      </c>
      <c r="U27" s="75" t="s">
        <v>4071</v>
      </c>
      <c r="V27" s="75">
        <v>5</v>
      </c>
    </row>
    <row r="28" spans="1:22" ht="15">
      <c r="A28" s="76" t="s">
        <v>500</v>
      </c>
      <c r="B28" s="75">
        <v>79</v>
      </c>
      <c r="C28" s="75" t="s">
        <v>4033</v>
      </c>
      <c r="D28" s="75">
        <v>17</v>
      </c>
      <c r="E28" s="75" t="s">
        <v>4024</v>
      </c>
      <c r="F28" s="75">
        <v>43</v>
      </c>
      <c r="G28" s="75" t="s">
        <v>500</v>
      </c>
      <c r="H28" s="75">
        <v>41</v>
      </c>
      <c r="I28" s="75" t="s">
        <v>4027</v>
      </c>
      <c r="J28" s="75">
        <v>16</v>
      </c>
      <c r="K28" s="75" t="s">
        <v>795</v>
      </c>
      <c r="L28" s="75">
        <v>17</v>
      </c>
      <c r="M28" s="75"/>
      <c r="N28" s="75"/>
      <c r="O28" s="75" t="s">
        <v>3304</v>
      </c>
      <c r="P28" s="75">
        <v>11</v>
      </c>
      <c r="Q28" s="75" t="s">
        <v>4063</v>
      </c>
      <c r="R28" s="75">
        <v>3</v>
      </c>
      <c r="S28" s="75"/>
      <c r="T28" s="75"/>
      <c r="U28" s="75" t="s">
        <v>3316</v>
      </c>
      <c r="V28" s="75">
        <v>5</v>
      </c>
    </row>
    <row r="29" spans="1:22" ht="15">
      <c r="A29" s="76" t="s">
        <v>4024</v>
      </c>
      <c r="B29" s="75">
        <v>43</v>
      </c>
      <c r="C29" s="75" t="s">
        <v>4027</v>
      </c>
      <c r="D29" s="75">
        <v>15</v>
      </c>
      <c r="E29" s="75" t="s">
        <v>4025</v>
      </c>
      <c r="F29" s="75">
        <v>43</v>
      </c>
      <c r="G29" s="75" t="s">
        <v>4028</v>
      </c>
      <c r="H29" s="75">
        <v>26</v>
      </c>
      <c r="I29" s="75" t="s">
        <v>4047</v>
      </c>
      <c r="J29" s="75">
        <v>12</v>
      </c>
      <c r="K29" s="75"/>
      <c r="L29" s="75"/>
      <c r="M29" s="75"/>
      <c r="N29" s="75"/>
      <c r="O29" s="75" t="s">
        <v>3316</v>
      </c>
      <c r="P29" s="75">
        <v>11</v>
      </c>
      <c r="Q29" s="75" t="s">
        <v>4027</v>
      </c>
      <c r="R29" s="75">
        <v>3</v>
      </c>
      <c r="S29" s="75"/>
      <c r="T29" s="75"/>
      <c r="U29" s="75" t="s">
        <v>4072</v>
      </c>
      <c r="V29" s="75">
        <v>5</v>
      </c>
    </row>
    <row r="30" spans="1:22" ht="15">
      <c r="A30" s="76" t="s">
        <v>4025</v>
      </c>
      <c r="B30" s="75">
        <v>43</v>
      </c>
      <c r="C30" s="75" t="s">
        <v>4034</v>
      </c>
      <c r="D30" s="75">
        <v>8</v>
      </c>
      <c r="E30" s="75" t="s">
        <v>4026</v>
      </c>
      <c r="F30" s="75">
        <v>43</v>
      </c>
      <c r="G30" s="75" t="s">
        <v>3279</v>
      </c>
      <c r="H30" s="75">
        <v>6</v>
      </c>
      <c r="I30" s="75" t="s">
        <v>4048</v>
      </c>
      <c r="J30" s="75">
        <v>10</v>
      </c>
      <c r="K30" s="75"/>
      <c r="L30" s="75"/>
      <c r="M30" s="75"/>
      <c r="N30" s="75"/>
      <c r="O30" s="75" t="s">
        <v>3322</v>
      </c>
      <c r="P30" s="75">
        <v>2</v>
      </c>
      <c r="Q30" s="75" t="s">
        <v>4064</v>
      </c>
      <c r="R30" s="75">
        <v>3</v>
      </c>
      <c r="S30" s="75"/>
      <c r="T30" s="75"/>
      <c r="U30" s="75" t="s">
        <v>795</v>
      </c>
      <c r="V30" s="75">
        <v>5</v>
      </c>
    </row>
    <row r="31" spans="1:22" ht="15">
      <c r="A31" s="76" t="s">
        <v>4026</v>
      </c>
      <c r="B31" s="75">
        <v>43</v>
      </c>
      <c r="C31" s="75" t="s">
        <v>4035</v>
      </c>
      <c r="D31" s="75">
        <v>4</v>
      </c>
      <c r="E31" s="75" t="s">
        <v>500</v>
      </c>
      <c r="F31" s="75">
        <v>31</v>
      </c>
      <c r="G31" s="75" t="s">
        <v>4044</v>
      </c>
      <c r="H31" s="75">
        <v>4</v>
      </c>
      <c r="I31" s="75" t="s">
        <v>4049</v>
      </c>
      <c r="J31" s="75">
        <v>10</v>
      </c>
      <c r="K31" s="75"/>
      <c r="L31" s="75"/>
      <c r="M31" s="75"/>
      <c r="N31" s="75"/>
      <c r="O31" s="75" t="s">
        <v>4058</v>
      </c>
      <c r="P31" s="75">
        <v>2</v>
      </c>
      <c r="Q31" s="75" t="s">
        <v>4065</v>
      </c>
      <c r="R31" s="75">
        <v>3</v>
      </c>
      <c r="S31" s="75"/>
      <c r="T31" s="75"/>
      <c r="U31" s="75" t="s">
        <v>3322</v>
      </c>
      <c r="V31" s="75">
        <v>5</v>
      </c>
    </row>
    <row r="32" spans="1:22" ht="15">
      <c r="A32" s="76" t="s">
        <v>4027</v>
      </c>
      <c r="B32" s="75">
        <v>37</v>
      </c>
      <c r="C32" s="75" t="s">
        <v>4036</v>
      </c>
      <c r="D32" s="75">
        <v>3</v>
      </c>
      <c r="E32" s="75" t="s">
        <v>4029</v>
      </c>
      <c r="F32" s="75">
        <v>25</v>
      </c>
      <c r="G32" s="75" t="s">
        <v>3624</v>
      </c>
      <c r="H32" s="75">
        <v>3</v>
      </c>
      <c r="I32" s="75" t="s">
        <v>4050</v>
      </c>
      <c r="J32" s="75">
        <v>7</v>
      </c>
      <c r="K32" s="75"/>
      <c r="L32" s="75"/>
      <c r="M32" s="75"/>
      <c r="N32" s="75"/>
      <c r="O32" s="75" t="s">
        <v>4059</v>
      </c>
      <c r="P32" s="75">
        <v>2</v>
      </c>
      <c r="Q32" s="75" t="s">
        <v>4066</v>
      </c>
      <c r="R32" s="75">
        <v>2</v>
      </c>
      <c r="S32" s="75"/>
      <c r="T32" s="75"/>
      <c r="U32" s="75"/>
      <c r="V32" s="75"/>
    </row>
    <row r="33" spans="1:22" ht="15">
      <c r="A33" s="76" t="s">
        <v>4028</v>
      </c>
      <c r="B33" s="75">
        <v>27</v>
      </c>
      <c r="C33" s="75" t="s">
        <v>3323</v>
      </c>
      <c r="D33" s="75">
        <v>3</v>
      </c>
      <c r="E33" s="75" t="s">
        <v>4030</v>
      </c>
      <c r="F33" s="75">
        <v>25</v>
      </c>
      <c r="G33" s="75" t="s">
        <v>4045</v>
      </c>
      <c r="H33" s="75">
        <v>1</v>
      </c>
      <c r="I33" s="75" t="s">
        <v>3322</v>
      </c>
      <c r="J33" s="75">
        <v>3</v>
      </c>
      <c r="K33" s="75"/>
      <c r="L33" s="75"/>
      <c r="M33" s="75"/>
      <c r="N33" s="75"/>
      <c r="O33" s="75" t="s">
        <v>4060</v>
      </c>
      <c r="P33" s="75">
        <v>2</v>
      </c>
      <c r="Q33" s="75" t="s">
        <v>3474</v>
      </c>
      <c r="R33" s="75">
        <v>2</v>
      </c>
      <c r="S33" s="75"/>
      <c r="T33" s="75"/>
      <c r="U33" s="75"/>
      <c r="V33" s="75"/>
    </row>
    <row r="34" spans="1:22" ht="15">
      <c r="A34" s="76" t="s">
        <v>4029</v>
      </c>
      <c r="B34" s="75">
        <v>25</v>
      </c>
      <c r="C34" s="75" t="s">
        <v>4037</v>
      </c>
      <c r="D34" s="75">
        <v>2</v>
      </c>
      <c r="E34" s="75" t="s">
        <v>4031</v>
      </c>
      <c r="F34" s="75">
        <v>25</v>
      </c>
      <c r="G34" s="75"/>
      <c r="H34" s="75"/>
      <c r="I34" s="75" t="s">
        <v>4051</v>
      </c>
      <c r="J34" s="75">
        <v>2</v>
      </c>
      <c r="K34" s="75"/>
      <c r="L34" s="75"/>
      <c r="M34" s="75"/>
      <c r="N34" s="75"/>
      <c r="O34" s="75" t="s">
        <v>4061</v>
      </c>
      <c r="P34" s="75">
        <v>2</v>
      </c>
      <c r="Q34" s="75" t="s">
        <v>4067</v>
      </c>
      <c r="R34" s="75">
        <v>2</v>
      </c>
      <c r="S34" s="75"/>
      <c r="T34" s="75"/>
      <c r="U34" s="75"/>
      <c r="V34" s="75"/>
    </row>
    <row r="35" spans="1:22" ht="15">
      <c r="A35" s="76" t="s">
        <v>4030</v>
      </c>
      <c r="B35" s="75">
        <v>25</v>
      </c>
      <c r="C35" s="75" t="s">
        <v>4038</v>
      </c>
      <c r="D35" s="75">
        <v>2</v>
      </c>
      <c r="E35" s="75" t="s">
        <v>4041</v>
      </c>
      <c r="F35" s="75">
        <v>25</v>
      </c>
      <c r="G35" s="75"/>
      <c r="H35" s="75"/>
      <c r="I35" s="75" t="s">
        <v>4052</v>
      </c>
      <c r="J35" s="75">
        <v>2</v>
      </c>
      <c r="K35" s="75"/>
      <c r="L35" s="75"/>
      <c r="M35" s="75"/>
      <c r="N35" s="75"/>
      <c r="O35" s="75"/>
      <c r="P35" s="75"/>
      <c r="Q35" s="75" t="s">
        <v>4068</v>
      </c>
      <c r="R35" s="75">
        <v>1</v>
      </c>
      <c r="S35" s="75"/>
      <c r="T35" s="75"/>
      <c r="U35" s="75"/>
      <c r="V35" s="75"/>
    </row>
    <row r="36" spans="1:22" ht="15">
      <c r="A36" s="76" t="s">
        <v>4031</v>
      </c>
      <c r="B36" s="75">
        <v>25</v>
      </c>
      <c r="C36" s="75" t="s">
        <v>4039</v>
      </c>
      <c r="D36" s="75">
        <v>1</v>
      </c>
      <c r="E36" s="75" t="s">
        <v>4042</v>
      </c>
      <c r="F36" s="75">
        <v>25</v>
      </c>
      <c r="G36" s="75"/>
      <c r="H36" s="75"/>
      <c r="I36" s="75" t="s">
        <v>4053</v>
      </c>
      <c r="J36" s="75">
        <v>2</v>
      </c>
      <c r="K36" s="75"/>
      <c r="L36" s="75"/>
      <c r="M36" s="75"/>
      <c r="N36" s="75"/>
      <c r="O36" s="75"/>
      <c r="P36" s="75"/>
      <c r="Q36" s="75" t="s">
        <v>3357</v>
      </c>
      <c r="R36" s="75">
        <v>1</v>
      </c>
      <c r="S36" s="75"/>
      <c r="T36" s="75"/>
      <c r="U36" s="75"/>
      <c r="V36" s="75"/>
    </row>
    <row r="39" spans="1:22" ht="14.4" customHeight="1">
      <c r="A39" s="7" t="s">
        <v>4090</v>
      </c>
      <c r="B39" s="7" t="s">
        <v>3966</v>
      </c>
      <c r="C39" s="7" t="s">
        <v>4091</v>
      </c>
      <c r="D39" s="7" t="s">
        <v>3972</v>
      </c>
      <c r="E39" s="7" t="s">
        <v>4092</v>
      </c>
      <c r="F39" s="7" t="s">
        <v>3978</v>
      </c>
      <c r="G39" s="7" t="s">
        <v>4093</v>
      </c>
      <c r="H39" s="7" t="s">
        <v>3980</v>
      </c>
      <c r="I39" s="7" t="s">
        <v>4094</v>
      </c>
      <c r="J39" s="7" t="s">
        <v>3984</v>
      </c>
      <c r="K39" s="7" t="s">
        <v>4095</v>
      </c>
      <c r="L39" s="7" t="s">
        <v>3986</v>
      </c>
      <c r="M39" s="75" t="s">
        <v>4096</v>
      </c>
      <c r="N39" s="75" t="s">
        <v>3988</v>
      </c>
      <c r="O39" s="7" t="s">
        <v>4097</v>
      </c>
      <c r="P39" s="7" t="s">
        <v>3991</v>
      </c>
      <c r="Q39" s="7" t="s">
        <v>4098</v>
      </c>
      <c r="R39" s="7" t="s">
        <v>3993</v>
      </c>
      <c r="S39" s="7" t="s">
        <v>4099</v>
      </c>
      <c r="T39" s="7" t="s">
        <v>3995</v>
      </c>
      <c r="U39" s="7" t="s">
        <v>4100</v>
      </c>
      <c r="V39" s="7" t="s">
        <v>3996</v>
      </c>
    </row>
    <row r="40" spans="1:22" ht="15">
      <c r="A40" s="80" t="s">
        <v>3260</v>
      </c>
      <c r="B40" s="80">
        <v>332</v>
      </c>
      <c r="C40" s="80" t="s">
        <v>3260</v>
      </c>
      <c r="D40" s="80">
        <v>29</v>
      </c>
      <c r="E40" s="80" t="s">
        <v>3260</v>
      </c>
      <c r="F40" s="80">
        <v>73</v>
      </c>
      <c r="G40" s="80" t="s">
        <v>3260</v>
      </c>
      <c r="H40" s="80">
        <v>47</v>
      </c>
      <c r="I40" s="80" t="s">
        <v>3260</v>
      </c>
      <c r="J40" s="80">
        <v>26</v>
      </c>
      <c r="K40" s="80" t="s">
        <v>3268</v>
      </c>
      <c r="L40" s="80">
        <v>34</v>
      </c>
      <c r="M40" s="80"/>
      <c r="N40" s="80"/>
      <c r="O40" s="80" t="s">
        <v>3260</v>
      </c>
      <c r="P40" s="80">
        <v>13</v>
      </c>
      <c r="Q40" s="80" t="s">
        <v>3260</v>
      </c>
      <c r="R40" s="80">
        <v>5</v>
      </c>
      <c r="S40" s="80" t="s">
        <v>3260</v>
      </c>
      <c r="T40" s="80">
        <v>6</v>
      </c>
      <c r="U40" s="80" t="s">
        <v>3413</v>
      </c>
      <c r="V40" s="80">
        <v>5</v>
      </c>
    </row>
    <row r="41" spans="1:22" ht="15">
      <c r="A41" s="81" t="s">
        <v>3261</v>
      </c>
      <c r="B41" s="80">
        <v>79</v>
      </c>
      <c r="C41" s="80" t="s">
        <v>3288</v>
      </c>
      <c r="D41" s="80">
        <v>17</v>
      </c>
      <c r="E41" s="80" t="s">
        <v>3263</v>
      </c>
      <c r="F41" s="80">
        <v>43</v>
      </c>
      <c r="G41" s="80" t="s">
        <v>3261</v>
      </c>
      <c r="H41" s="80">
        <v>41</v>
      </c>
      <c r="I41" s="80" t="s">
        <v>3266</v>
      </c>
      <c r="J41" s="80">
        <v>16</v>
      </c>
      <c r="K41" s="80" t="s">
        <v>3267</v>
      </c>
      <c r="L41" s="80">
        <v>34</v>
      </c>
      <c r="M41" s="80"/>
      <c r="N41" s="80"/>
      <c r="O41" s="80" t="s">
        <v>3324</v>
      </c>
      <c r="P41" s="80">
        <v>11</v>
      </c>
      <c r="Q41" s="80" t="s">
        <v>3373</v>
      </c>
      <c r="R41" s="80">
        <v>4</v>
      </c>
      <c r="S41" s="80" t="s">
        <v>3524</v>
      </c>
      <c r="T41" s="80">
        <v>4</v>
      </c>
      <c r="U41" s="80" t="s">
        <v>3414</v>
      </c>
      <c r="V41" s="80">
        <v>5</v>
      </c>
    </row>
    <row r="42" spans="1:22" ht="15">
      <c r="A42" s="81" t="s">
        <v>3262</v>
      </c>
      <c r="B42" s="80">
        <v>50</v>
      </c>
      <c r="C42" s="80" t="s">
        <v>3266</v>
      </c>
      <c r="D42" s="80">
        <v>15</v>
      </c>
      <c r="E42" s="80" t="s">
        <v>3264</v>
      </c>
      <c r="F42" s="80">
        <v>43</v>
      </c>
      <c r="G42" s="80" t="s">
        <v>3269</v>
      </c>
      <c r="H42" s="80">
        <v>26</v>
      </c>
      <c r="I42" s="80" t="s">
        <v>3314</v>
      </c>
      <c r="J42" s="80">
        <v>12</v>
      </c>
      <c r="K42" s="80" t="s">
        <v>3291</v>
      </c>
      <c r="L42" s="80">
        <v>17</v>
      </c>
      <c r="M42" s="80"/>
      <c r="N42" s="80"/>
      <c r="O42" s="80" t="s">
        <v>3325</v>
      </c>
      <c r="P42" s="80">
        <v>11</v>
      </c>
      <c r="Q42" s="80" t="s">
        <v>3534</v>
      </c>
      <c r="R42" s="80">
        <v>4</v>
      </c>
      <c r="S42" s="80" t="s">
        <v>490</v>
      </c>
      <c r="T42" s="80">
        <v>3</v>
      </c>
      <c r="U42" s="80" t="s">
        <v>3415</v>
      </c>
      <c r="V42" s="80">
        <v>5</v>
      </c>
    </row>
    <row r="43" spans="1:22" ht="15">
      <c r="A43" s="81" t="s">
        <v>3263</v>
      </c>
      <c r="B43" s="80">
        <v>43</v>
      </c>
      <c r="C43" s="80" t="s">
        <v>3310</v>
      </c>
      <c r="D43" s="80">
        <v>11</v>
      </c>
      <c r="E43" s="80" t="s">
        <v>3265</v>
      </c>
      <c r="F43" s="80">
        <v>43</v>
      </c>
      <c r="G43" s="80" t="s">
        <v>3285</v>
      </c>
      <c r="H43" s="80">
        <v>17</v>
      </c>
      <c r="I43" s="80" t="s">
        <v>3318</v>
      </c>
      <c r="J43" s="80">
        <v>10</v>
      </c>
      <c r="K43" s="80" t="s">
        <v>3279</v>
      </c>
      <c r="L43" s="80">
        <v>17</v>
      </c>
      <c r="M43" s="80"/>
      <c r="N43" s="80"/>
      <c r="O43" s="80" t="s">
        <v>3326</v>
      </c>
      <c r="P43" s="80">
        <v>11</v>
      </c>
      <c r="Q43" s="80" t="s">
        <v>3667</v>
      </c>
      <c r="R43" s="80">
        <v>3</v>
      </c>
      <c r="S43" s="80" t="s">
        <v>3832</v>
      </c>
      <c r="T43" s="80">
        <v>2</v>
      </c>
      <c r="U43" s="80" t="s">
        <v>3416</v>
      </c>
      <c r="V43" s="80">
        <v>5</v>
      </c>
    </row>
    <row r="44" spans="1:22" ht="15">
      <c r="A44" s="81" t="s">
        <v>3264</v>
      </c>
      <c r="B44" s="80">
        <v>43</v>
      </c>
      <c r="C44" s="80" t="s">
        <v>3311</v>
      </c>
      <c r="D44" s="80">
        <v>9</v>
      </c>
      <c r="E44" s="80" t="s">
        <v>3261</v>
      </c>
      <c r="F44" s="80">
        <v>31</v>
      </c>
      <c r="G44" s="80" t="s">
        <v>3307</v>
      </c>
      <c r="H44" s="80">
        <v>14</v>
      </c>
      <c r="I44" s="80" t="s">
        <v>3339</v>
      </c>
      <c r="J44" s="80">
        <v>10</v>
      </c>
      <c r="K44" s="80" t="s">
        <v>3278</v>
      </c>
      <c r="L44" s="80">
        <v>17</v>
      </c>
      <c r="M44" s="80"/>
      <c r="N44" s="80"/>
      <c r="O44" s="80" t="s">
        <v>3327</v>
      </c>
      <c r="P44" s="80">
        <v>11</v>
      </c>
      <c r="Q44" s="80" t="s">
        <v>3266</v>
      </c>
      <c r="R44" s="80">
        <v>3</v>
      </c>
      <c r="S44" s="80" t="s">
        <v>3627</v>
      </c>
      <c r="T44" s="80">
        <v>2</v>
      </c>
      <c r="U44" s="80" t="s">
        <v>3388</v>
      </c>
      <c r="V44" s="80">
        <v>5</v>
      </c>
    </row>
    <row r="45" spans="1:22" ht="15">
      <c r="A45" s="81" t="s">
        <v>3265</v>
      </c>
      <c r="B45" s="80">
        <v>43</v>
      </c>
      <c r="C45" s="80" t="s">
        <v>447</v>
      </c>
      <c r="D45" s="80">
        <v>8</v>
      </c>
      <c r="E45" s="80" t="s">
        <v>3270</v>
      </c>
      <c r="F45" s="80">
        <v>25</v>
      </c>
      <c r="G45" s="80" t="s">
        <v>3315</v>
      </c>
      <c r="H45" s="80">
        <v>13</v>
      </c>
      <c r="I45" s="80" t="s">
        <v>3367</v>
      </c>
      <c r="J45" s="80">
        <v>7</v>
      </c>
      <c r="K45" s="80" t="s">
        <v>3292</v>
      </c>
      <c r="L45" s="80">
        <v>17</v>
      </c>
      <c r="M45" s="80"/>
      <c r="N45" s="80"/>
      <c r="O45" s="80" t="s">
        <v>3328</v>
      </c>
      <c r="P45" s="80">
        <v>11</v>
      </c>
      <c r="Q45" s="80" t="s">
        <v>3670</v>
      </c>
      <c r="R45" s="80">
        <v>3</v>
      </c>
      <c r="S45" s="80" t="s">
        <v>3833</v>
      </c>
      <c r="T45" s="80">
        <v>2</v>
      </c>
      <c r="U45" s="80" t="s">
        <v>3302</v>
      </c>
      <c r="V45" s="80">
        <v>5</v>
      </c>
    </row>
    <row r="46" spans="1:22" ht="15">
      <c r="A46" s="81" t="s">
        <v>500</v>
      </c>
      <c r="B46" s="80">
        <v>42</v>
      </c>
      <c r="C46" s="80" t="s">
        <v>3349</v>
      </c>
      <c r="D46" s="80">
        <v>8</v>
      </c>
      <c r="E46" s="80" t="s">
        <v>3271</v>
      </c>
      <c r="F46" s="80">
        <v>25</v>
      </c>
      <c r="G46" s="80" t="s">
        <v>3348</v>
      </c>
      <c r="H46" s="80">
        <v>9</v>
      </c>
      <c r="I46" s="80" t="s">
        <v>3368</v>
      </c>
      <c r="J46" s="80">
        <v>7</v>
      </c>
      <c r="K46" s="80" t="s">
        <v>3293</v>
      </c>
      <c r="L46" s="80">
        <v>17</v>
      </c>
      <c r="M46" s="80"/>
      <c r="N46" s="80"/>
      <c r="O46" s="80" t="s">
        <v>3309</v>
      </c>
      <c r="P46" s="80">
        <v>11</v>
      </c>
      <c r="Q46" s="80" t="s">
        <v>3669</v>
      </c>
      <c r="R46" s="80">
        <v>3</v>
      </c>
      <c r="S46" s="80" t="s">
        <v>3834</v>
      </c>
      <c r="T46" s="80">
        <v>2</v>
      </c>
      <c r="U46" s="80" t="s">
        <v>3417</v>
      </c>
      <c r="V46" s="80">
        <v>5</v>
      </c>
    </row>
    <row r="47" spans="1:22" ht="15">
      <c r="A47" s="81" t="s">
        <v>3266</v>
      </c>
      <c r="B47" s="80">
        <v>37</v>
      </c>
      <c r="C47" s="80" t="s">
        <v>3289</v>
      </c>
      <c r="D47" s="80">
        <v>8</v>
      </c>
      <c r="E47" s="80" t="s">
        <v>3272</v>
      </c>
      <c r="F47" s="80">
        <v>25</v>
      </c>
      <c r="G47" s="80" t="s">
        <v>3352</v>
      </c>
      <c r="H47" s="80">
        <v>8</v>
      </c>
      <c r="I47" s="80" t="s">
        <v>3369</v>
      </c>
      <c r="J47" s="80">
        <v>7</v>
      </c>
      <c r="K47" s="80" t="s">
        <v>3286</v>
      </c>
      <c r="L47" s="80">
        <v>17</v>
      </c>
      <c r="M47" s="80"/>
      <c r="N47" s="80"/>
      <c r="O47" s="80" t="s">
        <v>3316</v>
      </c>
      <c r="P47" s="80">
        <v>11</v>
      </c>
      <c r="Q47" s="80" t="s">
        <v>3865</v>
      </c>
      <c r="R47" s="80">
        <v>2</v>
      </c>
      <c r="S47" s="80" t="s">
        <v>3434</v>
      </c>
      <c r="T47" s="80">
        <v>2</v>
      </c>
      <c r="U47" s="80" t="s">
        <v>3418</v>
      </c>
      <c r="V47" s="80">
        <v>5</v>
      </c>
    </row>
    <row r="48" spans="1:22" ht="15">
      <c r="A48" s="81" t="s">
        <v>3267</v>
      </c>
      <c r="B48" s="80">
        <v>35</v>
      </c>
      <c r="C48" s="80" t="s">
        <v>532</v>
      </c>
      <c r="D48" s="80">
        <v>7</v>
      </c>
      <c r="E48" s="80" t="s">
        <v>3273</v>
      </c>
      <c r="F48" s="80">
        <v>25</v>
      </c>
      <c r="G48" s="80" t="s">
        <v>3353</v>
      </c>
      <c r="H48" s="80">
        <v>8</v>
      </c>
      <c r="I48" s="80" t="s">
        <v>542</v>
      </c>
      <c r="J48" s="80">
        <v>7</v>
      </c>
      <c r="K48" s="80" t="s">
        <v>3287</v>
      </c>
      <c r="L48" s="80">
        <v>17</v>
      </c>
      <c r="M48" s="80"/>
      <c r="N48" s="80"/>
      <c r="O48" s="80" t="s">
        <v>3329</v>
      </c>
      <c r="P48" s="80">
        <v>11</v>
      </c>
      <c r="Q48" s="80" t="s">
        <v>3671</v>
      </c>
      <c r="R48" s="80">
        <v>2</v>
      </c>
      <c r="S48" s="80" t="s">
        <v>542</v>
      </c>
      <c r="T48" s="80">
        <v>2</v>
      </c>
      <c r="U48" s="80" t="s">
        <v>3419</v>
      </c>
      <c r="V48" s="80">
        <v>5</v>
      </c>
    </row>
    <row r="49" spans="1:22" ht="15">
      <c r="A49" s="81" t="s">
        <v>3268</v>
      </c>
      <c r="B49" s="80">
        <v>34</v>
      </c>
      <c r="C49" s="80" t="s">
        <v>2768</v>
      </c>
      <c r="D49" s="80">
        <v>6</v>
      </c>
      <c r="E49" s="80" t="s">
        <v>3274</v>
      </c>
      <c r="F49" s="80">
        <v>25</v>
      </c>
      <c r="G49" s="80" t="s">
        <v>3354</v>
      </c>
      <c r="H49" s="80">
        <v>8</v>
      </c>
      <c r="I49" s="80" t="s">
        <v>3370</v>
      </c>
      <c r="J49" s="80">
        <v>7</v>
      </c>
      <c r="K49" s="80" t="s">
        <v>3294</v>
      </c>
      <c r="L49" s="80">
        <v>17</v>
      </c>
      <c r="M49" s="80"/>
      <c r="N49" s="80"/>
      <c r="O49" s="80" t="s">
        <v>3330</v>
      </c>
      <c r="P49" s="80">
        <v>11</v>
      </c>
      <c r="Q49" s="80" t="s">
        <v>3878</v>
      </c>
      <c r="R49" s="80">
        <v>2</v>
      </c>
      <c r="S49" s="80" t="s">
        <v>492</v>
      </c>
      <c r="T49" s="80">
        <v>2</v>
      </c>
      <c r="U49" s="80" t="s">
        <v>3420</v>
      </c>
      <c r="V49" s="80">
        <v>5</v>
      </c>
    </row>
    <row r="52" spans="1:22" ht="14.4" customHeight="1">
      <c r="A52" s="7" t="s">
        <v>4139</v>
      </c>
      <c r="B52" s="7" t="s">
        <v>3966</v>
      </c>
      <c r="C52" s="7" t="s">
        <v>4150</v>
      </c>
      <c r="D52" s="7" t="s">
        <v>3972</v>
      </c>
      <c r="E52" s="7" t="s">
        <v>4161</v>
      </c>
      <c r="F52" s="7" t="s">
        <v>3978</v>
      </c>
      <c r="G52" s="7" t="s">
        <v>4163</v>
      </c>
      <c r="H52" s="7" t="s">
        <v>3980</v>
      </c>
      <c r="I52" s="7" t="s">
        <v>4173</v>
      </c>
      <c r="J52" s="7" t="s">
        <v>3984</v>
      </c>
      <c r="K52" s="7" t="s">
        <v>4184</v>
      </c>
      <c r="L52" s="7" t="s">
        <v>3986</v>
      </c>
      <c r="M52" s="75" t="s">
        <v>4195</v>
      </c>
      <c r="N52" s="75" t="s">
        <v>3988</v>
      </c>
      <c r="O52" s="7" t="s">
        <v>4196</v>
      </c>
      <c r="P52" s="7" t="s">
        <v>3991</v>
      </c>
      <c r="Q52" s="7" t="s">
        <v>4207</v>
      </c>
      <c r="R52" s="7" t="s">
        <v>3993</v>
      </c>
      <c r="S52" s="7" t="s">
        <v>4217</v>
      </c>
      <c r="T52" s="7" t="s">
        <v>3995</v>
      </c>
      <c r="U52" s="7" t="s">
        <v>4228</v>
      </c>
      <c r="V52" s="7" t="s">
        <v>3996</v>
      </c>
    </row>
    <row r="53" spans="1:22" ht="15">
      <c r="A53" s="80" t="s">
        <v>4140</v>
      </c>
      <c r="B53" s="80">
        <v>37</v>
      </c>
      <c r="C53" s="80" t="s">
        <v>4151</v>
      </c>
      <c r="D53" s="80">
        <v>8</v>
      </c>
      <c r="E53" s="80" t="s">
        <v>4141</v>
      </c>
      <c r="F53" s="80">
        <v>26</v>
      </c>
      <c r="G53" s="80" t="s">
        <v>4140</v>
      </c>
      <c r="H53" s="80">
        <v>37</v>
      </c>
      <c r="I53" s="80" t="s">
        <v>4174</v>
      </c>
      <c r="J53" s="80">
        <v>7</v>
      </c>
      <c r="K53" s="80" t="s">
        <v>4185</v>
      </c>
      <c r="L53" s="80">
        <v>17</v>
      </c>
      <c r="M53" s="80"/>
      <c r="N53" s="80"/>
      <c r="O53" s="80" t="s">
        <v>4197</v>
      </c>
      <c r="P53" s="80">
        <v>11</v>
      </c>
      <c r="Q53" s="80" t="s">
        <v>4208</v>
      </c>
      <c r="R53" s="80">
        <v>2</v>
      </c>
      <c r="S53" s="80" t="s">
        <v>4218</v>
      </c>
      <c r="T53" s="80">
        <v>2</v>
      </c>
      <c r="U53" s="80" t="s">
        <v>4229</v>
      </c>
      <c r="V53" s="80">
        <v>5</v>
      </c>
    </row>
    <row r="54" spans="1:22" ht="15">
      <c r="A54" s="81" t="s">
        <v>4141</v>
      </c>
      <c r="B54" s="80">
        <v>26</v>
      </c>
      <c r="C54" s="80" t="s">
        <v>4152</v>
      </c>
      <c r="D54" s="80">
        <v>8</v>
      </c>
      <c r="E54" s="80" t="s">
        <v>4142</v>
      </c>
      <c r="F54" s="80">
        <v>25</v>
      </c>
      <c r="G54" s="80" t="s">
        <v>4164</v>
      </c>
      <c r="H54" s="80">
        <v>19</v>
      </c>
      <c r="I54" s="80" t="s">
        <v>4175</v>
      </c>
      <c r="J54" s="80">
        <v>7</v>
      </c>
      <c r="K54" s="80" t="s">
        <v>4186</v>
      </c>
      <c r="L54" s="80">
        <v>17</v>
      </c>
      <c r="M54" s="80"/>
      <c r="N54" s="80"/>
      <c r="O54" s="80" t="s">
        <v>4198</v>
      </c>
      <c r="P54" s="80">
        <v>11</v>
      </c>
      <c r="Q54" s="80" t="s">
        <v>4209</v>
      </c>
      <c r="R54" s="80">
        <v>2</v>
      </c>
      <c r="S54" s="80" t="s">
        <v>4219</v>
      </c>
      <c r="T54" s="80">
        <v>2</v>
      </c>
      <c r="U54" s="80" t="s">
        <v>4230</v>
      </c>
      <c r="V54" s="80">
        <v>5</v>
      </c>
    </row>
    <row r="55" spans="1:22" ht="15">
      <c r="A55" s="81" t="s">
        <v>4142</v>
      </c>
      <c r="B55" s="80">
        <v>25</v>
      </c>
      <c r="C55" s="80" t="s">
        <v>4153</v>
      </c>
      <c r="D55" s="80">
        <v>6</v>
      </c>
      <c r="E55" s="80" t="s">
        <v>4143</v>
      </c>
      <c r="F55" s="80">
        <v>25</v>
      </c>
      <c r="G55" s="80" t="s">
        <v>4165</v>
      </c>
      <c r="H55" s="80">
        <v>8</v>
      </c>
      <c r="I55" s="80" t="s">
        <v>4176</v>
      </c>
      <c r="J55" s="80">
        <v>6</v>
      </c>
      <c r="K55" s="80" t="s">
        <v>4187</v>
      </c>
      <c r="L55" s="80">
        <v>17</v>
      </c>
      <c r="M55" s="80"/>
      <c r="N55" s="80"/>
      <c r="O55" s="80" t="s">
        <v>4199</v>
      </c>
      <c r="P55" s="80">
        <v>11</v>
      </c>
      <c r="Q55" s="80" t="s">
        <v>4210</v>
      </c>
      <c r="R55" s="80">
        <v>2</v>
      </c>
      <c r="S55" s="80" t="s">
        <v>4220</v>
      </c>
      <c r="T55" s="80">
        <v>2</v>
      </c>
      <c r="U55" s="80" t="s">
        <v>4231</v>
      </c>
      <c r="V55" s="80">
        <v>5</v>
      </c>
    </row>
    <row r="56" spans="1:22" ht="15">
      <c r="A56" s="81" t="s">
        <v>4143</v>
      </c>
      <c r="B56" s="80">
        <v>25</v>
      </c>
      <c r="C56" s="80" t="s">
        <v>4154</v>
      </c>
      <c r="D56" s="80">
        <v>4</v>
      </c>
      <c r="E56" s="80" t="s">
        <v>4144</v>
      </c>
      <c r="F56" s="80">
        <v>25</v>
      </c>
      <c r="G56" s="80" t="s">
        <v>4166</v>
      </c>
      <c r="H56" s="80">
        <v>8</v>
      </c>
      <c r="I56" s="80" t="s">
        <v>4177</v>
      </c>
      <c r="J56" s="80">
        <v>6</v>
      </c>
      <c r="K56" s="80" t="s">
        <v>4188</v>
      </c>
      <c r="L56" s="80">
        <v>17</v>
      </c>
      <c r="M56" s="80"/>
      <c r="N56" s="80"/>
      <c r="O56" s="80" t="s">
        <v>4200</v>
      </c>
      <c r="P56" s="80">
        <v>11</v>
      </c>
      <c r="Q56" s="80" t="s">
        <v>4211</v>
      </c>
      <c r="R56" s="80">
        <v>2</v>
      </c>
      <c r="S56" s="80" t="s">
        <v>4221</v>
      </c>
      <c r="T56" s="80">
        <v>2</v>
      </c>
      <c r="U56" s="80" t="s">
        <v>4232</v>
      </c>
      <c r="V56" s="80">
        <v>5</v>
      </c>
    </row>
    <row r="57" spans="1:22" ht="15">
      <c r="A57" s="81" t="s">
        <v>4144</v>
      </c>
      <c r="B57" s="80">
        <v>25</v>
      </c>
      <c r="C57" s="80" t="s">
        <v>4155</v>
      </c>
      <c r="D57" s="80">
        <v>4</v>
      </c>
      <c r="E57" s="80" t="s">
        <v>4145</v>
      </c>
      <c r="F57" s="80">
        <v>25</v>
      </c>
      <c r="G57" s="80" t="s">
        <v>4167</v>
      </c>
      <c r="H57" s="80">
        <v>8</v>
      </c>
      <c r="I57" s="80" t="s">
        <v>4178</v>
      </c>
      <c r="J57" s="80">
        <v>5</v>
      </c>
      <c r="K57" s="80" t="s">
        <v>4189</v>
      </c>
      <c r="L57" s="80">
        <v>17</v>
      </c>
      <c r="M57" s="80"/>
      <c r="N57" s="80"/>
      <c r="O57" s="80" t="s">
        <v>4201</v>
      </c>
      <c r="P57" s="80">
        <v>11</v>
      </c>
      <c r="Q57" s="80" t="s">
        <v>4212</v>
      </c>
      <c r="R57" s="80">
        <v>2</v>
      </c>
      <c r="S57" s="80" t="s">
        <v>4222</v>
      </c>
      <c r="T57" s="80">
        <v>2</v>
      </c>
      <c r="U57" s="80" t="s">
        <v>4233</v>
      </c>
      <c r="V57" s="80">
        <v>5</v>
      </c>
    </row>
    <row r="58" spans="1:22" ht="15">
      <c r="A58" s="81" t="s">
        <v>4145</v>
      </c>
      <c r="B58" s="80">
        <v>25</v>
      </c>
      <c r="C58" s="80" t="s">
        <v>4156</v>
      </c>
      <c r="D58" s="80">
        <v>4</v>
      </c>
      <c r="E58" s="80" t="s">
        <v>4146</v>
      </c>
      <c r="F58" s="80">
        <v>25</v>
      </c>
      <c r="G58" s="80" t="s">
        <v>4168</v>
      </c>
      <c r="H58" s="80">
        <v>8</v>
      </c>
      <c r="I58" s="80" t="s">
        <v>4179</v>
      </c>
      <c r="J58" s="80">
        <v>5</v>
      </c>
      <c r="K58" s="80" t="s">
        <v>4190</v>
      </c>
      <c r="L58" s="80">
        <v>17</v>
      </c>
      <c r="M58" s="80"/>
      <c r="N58" s="80"/>
      <c r="O58" s="80" t="s">
        <v>4202</v>
      </c>
      <c r="P58" s="80">
        <v>11</v>
      </c>
      <c r="Q58" s="80" t="s">
        <v>4213</v>
      </c>
      <c r="R58" s="80">
        <v>2</v>
      </c>
      <c r="S58" s="80" t="s">
        <v>4223</v>
      </c>
      <c r="T58" s="80">
        <v>2</v>
      </c>
      <c r="U58" s="80" t="s">
        <v>4234</v>
      </c>
      <c r="V58" s="80">
        <v>5</v>
      </c>
    </row>
    <row r="59" spans="1:22" ht="15">
      <c r="A59" s="81" t="s">
        <v>4146</v>
      </c>
      <c r="B59" s="80">
        <v>25</v>
      </c>
      <c r="C59" s="80" t="s">
        <v>4157</v>
      </c>
      <c r="D59" s="80">
        <v>4</v>
      </c>
      <c r="E59" s="80" t="s">
        <v>4147</v>
      </c>
      <c r="F59" s="80">
        <v>25</v>
      </c>
      <c r="G59" s="80" t="s">
        <v>4169</v>
      </c>
      <c r="H59" s="80">
        <v>8</v>
      </c>
      <c r="I59" s="80" t="s">
        <v>4180</v>
      </c>
      <c r="J59" s="80">
        <v>5</v>
      </c>
      <c r="K59" s="80" t="s">
        <v>4191</v>
      </c>
      <c r="L59" s="80">
        <v>17</v>
      </c>
      <c r="M59" s="80"/>
      <c r="N59" s="80"/>
      <c r="O59" s="80" t="s">
        <v>4203</v>
      </c>
      <c r="P59" s="80">
        <v>11</v>
      </c>
      <c r="Q59" s="80" t="s">
        <v>4202</v>
      </c>
      <c r="R59" s="80">
        <v>2</v>
      </c>
      <c r="S59" s="80" t="s">
        <v>4224</v>
      </c>
      <c r="T59" s="80">
        <v>2</v>
      </c>
      <c r="U59" s="80" t="s">
        <v>4235</v>
      </c>
      <c r="V59" s="80">
        <v>5</v>
      </c>
    </row>
    <row r="60" spans="1:22" ht="15">
      <c r="A60" s="81" t="s">
        <v>4147</v>
      </c>
      <c r="B60" s="80">
        <v>25</v>
      </c>
      <c r="C60" s="80" t="s">
        <v>4158</v>
      </c>
      <c r="D60" s="80">
        <v>4</v>
      </c>
      <c r="E60" s="80" t="s">
        <v>4148</v>
      </c>
      <c r="F60" s="80">
        <v>25</v>
      </c>
      <c r="G60" s="80" t="s">
        <v>4170</v>
      </c>
      <c r="H60" s="80">
        <v>5</v>
      </c>
      <c r="I60" s="80" t="s">
        <v>4181</v>
      </c>
      <c r="J60" s="80">
        <v>5</v>
      </c>
      <c r="K60" s="80" t="s">
        <v>4192</v>
      </c>
      <c r="L60" s="80">
        <v>17</v>
      </c>
      <c r="M60" s="80"/>
      <c r="N60" s="80"/>
      <c r="O60" s="80" t="s">
        <v>4204</v>
      </c>
      <c r="P60" s="80">
        <v>11</v>
      </c>
      <c r="Q60" s="80" t="s">
        <v>4214</v>
      </c>
      <c r="R60" s="80">
        <v>2</v>
      </c>
      <c r="S60" s="80" t="s">
        <v>4225</v>
      </c>
      <c r="T60" s="80">
        <v>2</v>
      </c>
      <c r="U60" s="80" t="s">
        <v>4236</v>
      </c>
      <c r="V60" s="80">
        <v>5</v>
      </c>
    </row>
    <row r="61" spans="1:22" ht="15">
      <c r="A61" s="81" t="s">
        <v>4148</v>
      </c>
      <c r="B61" s="80">
        <v>25</v>
      </c>
      <c r="C61" s="80" t="s">
        <v>4159</v>
      </c>
      <c r="D61" s="80">
        <v>3</v>
      </c>
      <c r="E61" s="80" t="s">
        <v>4149</v>
      </c>
      <c r="F61" s="80">
        <v>25</v>
      </c>
      <c r="G61" s="80" t="s">
        <v>4171</v>
      </c>
      <c r="H61" s="80">
        <v>5</v>
      </c>
      <c r="I61" s="80" t="s">
        <v>4182</v>
      </c>
      <c r="J61" s="80">
        <v>4</v>
      </c>
      <c r="K61" s="80" t="s">
        <v>4193</v>
      </c>
      <c r="L61" s="80">
        <v>17</v>
      </c>
      <c r="M61" s="80"/>
      <c r="N61" s="80"/>
      <c r="O61" s="80" t="s">
        <v>4205</v>
      </c>
      <c r="P61" s="80">
        <v>11</v>
      </c>
      <c r="Q61" s="80" t="s">
        <v>4215</v>
      </c>
      <c r="R61" s="80">
        <v>2</v>
      </c>
      <c r="S61" s="80" t="s">
        <v>4226</v>
      </c>
      <c r="T61" s="80">
        <v>2</v>
      </c>
      <c r="U61" s="80" t="s">
        <v>4237</v>
      </c>
      <c r="V61" s="80">
        <v>5</v>
      </c>
    </row>
    <row r="62" spans="1:22" ht="15">
      <c r="A62" s="81" t="s">
        <v>4149</v>
      </c>
      <c r="B62" s="80">
        <v>25</v>
      </c>
      <c r="C62" s="80" t="s">
        <v>4160</v>
      </c>
      <c r="D62" s="80">
        <v>3</v>
      </c>
      <c r="E62" s="80" t="s">
        <v>4162</v>
      </c>
      <c r="F62" s="80">
        <v>18</v>
      </c>
      <c r="G62" s="80" t="s">
        <v>4172</v>
      </c>
      <c r="H62" s="80">
        <v>5</v>
      </c>
      <c r="I62" s="80" t="s">
        <v>4183</v>
      </c>
      <c r="J62" s="80">
        <v>4</v>
      </c>
      <c r="K62" s="80" t="s">
        <v>4194</v>
      </c>
      <c r="L62" s="80">
        <v>17</v>
      </c>
      <c r="M62" s="80"/>
      <c r="N62" s="80"/>
      <c r="O62" s="80" t="s">
        <v>4206</v>
      </c>
      <c r="P62" s="80">
        <v>11</v>
      </c>
      <c r="Q62" s="80" t="s">
        <v>4216</v>
      </c>
      <c r="R62" s="80">
        <v>2</v>
      </c>
      <c r="S62" s="80" t="s">
        <v>4227</v>
      </c>
      <c r="T62" s="80">
        <v>2</v>
      </c>
      <c r="U62" s="80" t="s">
        <v>4238</v>
      </c>
      <c r="V62" s="80">
        <v>5</v>
      </c>
    </row>
    <row r="65" spans="1:22" ht="14.4" customHeight="1">
      <c r="A65" s="7" t="s">
        <v>4269</v>
      </c>
      <c r="B65" s="7" t="s">
        <v>3966</v>
      </c>
      <c r="C65" s="7" t="s">
        <v>4271</v>
      </c>
      <c r="D65" s="7" t="s">
        <v>3972</v>
      </c>
      <c r="E65" s="7" t="s">
        <v>4272</v>
      </c>
      <c r="F65" s="7" t="s">
        <v>3978</v>
      </c>
      <c r="G65" s="75" t="s">
        <v>4275</v>
      </c>
      <c r="H65" s="75" t="s">
        <v>3980</v>
      </c>
      <c r="I65" s="7" t="s">
        <v>4277</v>
      </c>
      <c r="J65" s="7" t="s">
        <v>3984</v>
      </c>
      <c r="K65" s="75" t="s">
        <v>4279</v>
      </c>
      <c r="L65" s="75" t="s">
        <v>3986</v>
      </c>
      <c r="M65" s="7" t="s">
        <v>4281</v>
      </c>
      <c r="N65" s="7" t="s">
        <v>3988</v>
      </c>
      <c r="O65" s="7" t="s">
        <v>4283</v>
      </c>
      <c r="P65" s="7" t="s">
        <v>3991</v>
      </c>
      <c r="Q65" s="7" t="s">
        <v>4285</v>
      </c>
      <c r="R65" s="7" t="s">
        <v>3993</v>
      </c>
      <c r="S65" s="7" t="s">
        <v>4287</v>
      </c>
      <c r="T65" s="7" t="s">
        <v>3995</v>
      </c>
      <c r="U65" s="75" t="s">
        <v>4289</v>
      </c>
      <c r="V65" s="75" t="s">
        <v>3996</v>
      </c>
    </row>
    <row r="66" spans="1:22" ht="15">
      <c r="A66" s="75" t="s">
        <v>447</v>
      </c>
      <c r="B66" s="75">
        <v>6</v>
      </c>
      <c r="C66" s="75" t="s">
        <v>447</v>
      </c>
      <c r="D66" s="75">
        <v>5</v>
      </c>
      <c r="E66" s="75" t="s">
        <v>3775</v>
      </c>
      <c r="F66" s="75">
        <v>2</v>
      </c>
      <c r="G66" s="75"/>
      <c r="H66" s="75"/>
      <c r="I66" s="75" t="s">
        <v>550</v>
      </c>
      <c r="J66" s="75">
        <v>3</v>
      </c>
      <c r="K66" s="75"/>
      <c r="L66" s="75"/>
      <c r="M66" s="75" t="s">
        <v>445</v>
      </c>
      <c r="N66" s="75">
        <v>1</v>
      </c>
      <c r="O66" s="75" t="s">
        <v>497</v>
      </c>
      <c r="P66" s="75">
        <v>1</v>
      </c>
      <c r="Q66" s="75" t="s">
        <v>454</v>
      </c>
      <c r="R66" s="75">
        <v>2</v>
      </c>
      <c r="S66" s="75" t="s">
        <v>494</v>
      </c>
      <c r="T66" s="75">
        <v>1</v>
      </c>
      <c r="U66" s="75"/>
      <c r="V66" s="75"/>
    </row>
    <row r="67" spans="1:22" ht="15">
      <c r="A67" s="76" t="s">
        <v>567</v>
      </c>
      <c r="B67" s="75">
        <v>4</v>
      </c>
      <c r="C67" s="75" t="s">
        <v>584</v>
      </c>
      <c r="D67" s="75">
        <v>3</v>
      </c>
      <c r="E67" s="75"/>
      <c r="F67" s="75"/>
      <c r="G67" s="75"/>
      <c r="H67" s="75"/>
      <c r="I67" s="75" t="s">
        <v>559</v>
      </c>
      <c r="J67" s="75">
        <v>3</v>
      </c>
      <c r="K67" s="75"/>
      <c r="L67" s="75"/>
      <c r="M67" s="75"/>
      <c r="N67" s="75"/>
      <c r="O67" s="75"/>
      <c r="P67" s="75"/>
      <c r="Q67" s="75" t="s">
        <v>456</v>
      </c>
      <c r="R67" s="75">
        <v>1</v>
      </c>
      <c r="S67" s="75" t="s">
        <v>489</v>
      </c>
      <c r="T67" s="75">
        <v>1</v>
      </c>
      <c r="U67" s="75"/>
      <c r="V67" s="75"/>
    </row>
    <row r="68" spans="1:22" ht="15">
      <c r="A68" s="76" t="s">
        <v>546</v>
      </c>
      <c r="B68" s="75">
        <v>4</v>
      </c>
      <c r="C68" s="75" t="s">
        <v>512</v>
      </c>
      <c r="D68" s="75">
        <v>2</v>
      </c>
      <c r="E68" s="75"/>
      <c r="F68" s="75"/>
      <c r="G68" s="75"/>
      <c r="H68" s="75"/>
      <c r="I68" s="75" t="s">
        <v>495</v>
      </c>
      <c r="J68" s="75">
        <v>2</v>
      </c>
      <c r="K68" s="75"/>
      <c r="L68" s="75"/>
      <c r="M68" s="75"/>
      <c r="N68" s="75"/>
      <c r="O68" s="75"/>
      <c r="P68" s="75"/>
      <c r="Q68" s="75"/>
      <c r="R68" s="75"/>
      <c r="S68" s="75" t="s">
        <v>447</v>
      </c>
      <c r="T68" s="75">
        <v>1</v>
      </c>
      <c r="U68" s="75"/>
      <c r="V68" s="75"/>
    </row>
    <row r="69" spans="1:22" ht="15">
      <c r="A69" s="76" t="s">
        <v>378</v>
      </c>
      <c r="B69" s="75">
        <v>4</v>
      </c>
      <c r="C69" s="75" t="s">
        <v>545</v>
      </c>
      <c r="D69" s="75">
        <v>2</v>
      </c>
      <c r="E69" s="75"/>
      <c r="F69" s="75"/>
      <c r="G69" s="75"/>
      <c r="H69" s="75"/>
      <c r="I69" s="75" t="s">
        <v>556</v>
      </c>
      <c r="J69" s="75">
        <v>2</v>
      </c>
      <c r="K69" s="75"/>
      <c r="L69" s="75"/>
      <c r="M69" s="75"/>
      <c r="N69" s="75"/>
      <c r="O69" s="75"/>
      <c r="P69" s="75"/>
      <c r="Q69" s="75"/>
      <c r="R69" s="75"/>
      <c r="S69" s="75" t="s">
        <v>491</v>
      </c>
      <c r="T69" s="75">
        <v>1</v>
      </c>
      <c r="U69" s="75"/>
      <c r="V69" s="75"/>
    </row>
    <row r="70" spans="1:22" ht="15">
      <c r="A70" s="76" t="s">
        <v>584</v>
      </c>
      <c r="B70" s="75">
        <v>3</v>
      </c>
      <c r="C70" s="75" t="s">
        <v>497</v>
      </c>
      <c r="D70" s="75">
        <v>2</v>
      </c>
      <c r="E70" s="75"/>
      <c r="F70" s="75"/>
      <c r="G70" s="75"/>
      <c r="H70" s="75"/>
      <c r="I70" s="75" t="s">
        <v>561</v>
      </c>
      <c r="J70" s="75">
        <v>1</v>
      </c>
      <c r="K70" s="75"/>
      <c r="L70" s="75"/>
      <c r="M70" s="75"/>
      <c r="N70" s="75"/>
      <c r="O70" s="75"/>
      <c r="P70" s="75"/>
      <c r="Q70" s="75"/>
      <c r="R70" s="75"/>
      <c r="S70" s="75" t="s">
        <v>493</v>
      </c>
      <c r="T70" s="75">
        <v>1</v>
      </c>
      <c r="U70" s="75"/>
      <c r="V70" s="75"/>
    </row>
    <row r="71" spans="1:22" ht="15">
      <c r="A71" s="76" t="s">
        <v>559</v>
      </c>
      <c r="B71" s="75">
        <v>3</v>
      </c>
      <c r="C71" s="75" t="s">
        <v>571</v>
      </c>
      <c r="D71" s="75">
        <v>1</v>
      </c>
      <c r="E71" s="75"/>
      <c r="F71" s="75"/>
      <c r="G71" s="75"/>
      <c r="H71" s="75"/>
      <c r="I71" s="75" t="s">
        <v>551</v>
      </c>
      <c r="J71" s="75">
        <v>1</v>
      </c>
      <c r="K71" s="75"/>
      <c r="L71" s="75"/>
      <c r="M71" s="75"/>
      <c r="N71" s="75"/>
      <c r="O71" s="75"/>
      <c r="P71" s="75"/>
      <c r="Q71" s="75"/>
      <c r="R71" s="75"/>
      <c r="S71" s="75"/>
      <c r="T71" s="75"/>
      <c r="U71" s="75"/>
      <c r="V71" s="75"/>
    </row>
    <row r="72" spans="1:22" ht="15">
      <c r="A72" s="76" t="s">
        <v>550</v>
      </c>
      <c r="B72" s="75">
        <v>3</v>
      </c>
      <c r="C72" s="75" t="s">
        <v>572</v>
      </c>
      <c r="D72" s="75">
        <v>1</v>
      </c>
      <c r="E72" s="75"/>
      <c r="F72" s="75"/>
      <c r="G72" s="75"/>
      <c r="H72" s="75"/>
      <c r="I72" s="75" t="s">
        <v>553</v>
      </c>
      <c r="J72" s="75">
        <v>1</v>
      </c>
      <c r="K72" s="75"/>
      <c r="L72" s="75"/>
      <c r="M72" s="75"/>
      <c r="N72" s="75"/>
      <c r="O72" s="75"/>
      <c r="P72" s="75"/>
      <c r="Q72" s="75"/>
      <c r="R72" s="75"/>
      <c r="S72" s="75"/>
      <c r="T72" s="75"/>
      <c r="U72" s="75"/>
      <c r="V72" s="75"/>
    </row>
    <row r="73" spans="1:22" ht="15">
      <c r="A73" s="76" t="s">
        <v>497</v>
      </c>
      <c r="B73" s="75">
        <v>3</v>
      </c>
      <c r="C73" s="75" t="s">
        <v>576</v>
      </c>
      <c r="D73" s="75">
        <v>1</v>
      </c>
      <c r="E73" s="75"/>
      <c r="F73" s="75"/>
      <c r="G73" s="75"/>
      <c r="H73" s="75"/>
      <c r="I73" s="75" t="s">
        <v>554</v>
      </c>
      <c r="J73" s="75">
        <v>1</v>
      </c>
      <c r="K73" s="75"/>
      <c r="L73" s="75"/>
      <c r="M73" s="75"/>
      <c r="N73" s="75"/>
      <c r="O73" s="75"/>
      <c r="P73" s="75"/>
      <c r="Q73" s="75"/>
      <c r="R73" s="75"/>
      <c r="S73" s="75"/>
      <c r="T73" s="75"/>
      <c r="U73" s="75"/>
      <c r="V73" s="75"/>
    </row>
    <row r="74" spans="1:22" ht="15">
      <c r="A74" s="76" t="s">
        <v>556</v>
      </c>
      <c r="B74" s="75">
        <v>2</v>
      </c>
      <c r="C74" s="75" t="s">
        <v>577</v>
      </c>
      <c r="D74" s="75">
        <v>1</v>
      </c>
      <c r="E74" s="75"/>
      <c r="F74" s="75"/>
      <c r="G74" s="75"/>
      <c r="H74" s="75"/>
      <c r="I74" s="75" t="s">
        <v>555</v>
      </c>
      <c r="J74" s="75">
        <v>1</v>
      </c>
      <c r="K74" s="75"/>
      <c r="L74" s="75"/>
      <c r="M74" s="75"/>
      <c r="N74" s="75"/>
      <c r="O74" s="75"/>
      <c r="P74" s="75"/>
      <c r="Q74" s="75"/>
      <c r="R74" s="75"/>
      <c r="S74" s="75"/>
      <c r="T74" s="75"/>
      <c r="U74" s="75"/>
      <c r="V74" s="75"/>
    </row>
    <row r="75" spans="1:22" ht="15">
      <c r="A75" s="76" t="s">
        <v>545</v>
      </c>
      <c r="B75" s="75">
        <v>2</v>
      </c>
      <c r="C75" s="75" t="s">
        <v>578</v>
      </c>
      <c r="D75" s="75">
        <v>1</v>
      </c>
      <c r="E75" s="75"/>
      <c r="F75" s="75"/>
      <c r="G75" s="75"/>
      <c r="H75" s="75"/>
      <c r="I75" s="75" t="s">
        <v>557</v>
      </c>
      <c r="J75" s="75">
        <v>1</v>
      </c>
      <c r="K75" s="75"/>
      <c r="L75" s="75"/>
      <c r="M75" s="75"/>
      <c r="N75" s="75"/>
      <c r="O75" s="75"/>
      <c r="P75" s="75"/>
      <c r="Q75" s="75"/>
      <c r="R75" s="75"/>
      <c r="S75" s="75"/>
      <c r="T75" s="75"/>
      <c r="U75" s="75"/>
      <c r="V75" s="75"/>
    </row>
    <row r="78" spans="1:22" ht="14.4" customHeight="1">
      <c r="A78" s="7" t="s">
        <v>4270</v>
      </c>
      <c r="B78" s="7" t="s">
        <v>3966</v>
      </c>
      <c r="C78" s="7" t="s">
        <v>4273</v>
      </c>
      <c r="D78" s="7" t="s">
        <v>3972</v>
      </c>
      <c r="E78" s="75" t="s">
        <v>4274</v>
      </c>
      <c r="F78" s="75" t="s">
        <v>3978</v>
      </c>
      <c r="G78" s="7" t="s">
        <v>4276</v>
      </c>
      <c r="H78" s="7" t="s">
        <v>3980</v>
      </c>
      <c r="I78" s="7" t="s">
        <v>4278</v>
      </c>
      <c r="J78" s="7" t="s">
        <v>3984</v>
      </c>
      <c r="K78" s="75" t="s">
        <v>4280</v>
      </c>
      <c r="L78" s="75" t="s">
        <v>3986</v>
      </c>
      <c r="M78" s="7" t="s">
        <v>4282</v>
      </c>
      <c r="N78" s="7" t="s">
        <v>3988</v>
      </c>
      <c r="O78" s="7" t="s">
        <v>4284</v>
      </c>
      <c r="P78" s="7" t="s">
        <v>3991</v>
      </c>
      <c r="Q78" s="7" t="s">
        <v>4286</v>
      </c>
      <c r="R78" s="7" t="s">
        <v>3993</v>
      </c>
      <c r="S78" s="7" t="s">
        <v>4288</v>
      </c>
      <c r="T78" s="7" t="s">
        <v>3995</v>
      </c>
      <c r="U78" s="7" t="s">
        <v>4290</v>
      </c>
      <c r="V78" s="7" t="s">
        <v>3996</v>
      </c>
    </row>
    <row r="79" spans="1:22" ht="15">
      <c r="A79" s="75" t="s">
        <v>501</v>
      </c>
      <c r="B79" s="75">
        <v>7</v>
      </c>
      <c r="C79" s="75" t="s">
        <v>532</v>
      </c>
      <c r="D79" s="75">
        <v>6</v>
      </c>
      <c r="E79" s="75"/>
      <c r="F79" s="75"/>
      <c r="G79" s="75" t="s">
        <v>497</v>
      </c>
      <c r="H79" s="75">
        <v>3</v>
      </c>
      <c r="I79" s="75" t="s">
        <v>552</v>
      </c>
      <c r="J79" s="75">
        <v>1</v>
      </c>
      <c r="K79" s="75"/>
      <c r="L79" s="75"/>
      <c r="M79" s="75" t="s">
        <v>444</v>
      </c>
      <c r="N79" s="75">
        <v>1</v>
      </c>
      <c r="O79" s="75" t="s">
        <v>496</v>
      </c>
      <c r="P79" s="75">
        <v>1</v>
      </c>
      <c r="Q79" s="75" t="s">
        <v>455</v>
      </c>
      <c r="R79" s="75">
        <v>1</v>
      </c>
      <c r="S79" s="75" t="s">
        <v>490</v>
      </c>
      <c r="T79" s="75">
        <v>3</v>
      </c>
      <c r="U79" s="75" t="s">
        <v>3429</v>
      </c>
      <c r="V79" s="75">
        <v>5</v>
      </c>
    </row>
    <row r="80" spans="1:22" ht="15">
      <c r="A80" s="76" t="s">
        <v>497</v>
      </c>
      <c r="B80" s="75">
        <v>6</v>
      </c>
      <c r="C80" s="75" t="s">
        <v>501</v>
      </c>
      <c r="D80" s="75">
        <v>5</v>
      </c>
      <c r="E80" s="75"/>
      <c r="F80" s="75"/>
      <c r="G80" s="75"/>
      <c r="H80" s="75"/>
      <c r="I80" s="75" t="s">
        <v>556</v>
      </c>
      <c r="J80" s="75">
        <v>1</v>
      </c>
      <c r="K80" s="75"/>
      <c r="L80" s="75"/>
      <c r="M80" s="75" t="s">
        <v>443</v>
      </c>
      <c r="N80" s="75">
        <v>1</v>
      </c>
      <c r="O80" s="75"/>
      <c r="P80" s="75"/>
      <c r="Q80" s="75" t="s">
        <v>448</v>
      </c>
      <c r="R80" s="75">
        <v>1</v>
      </c>
      <c r="S80" s="75" t="s">
        <v>492</v>
      </c>
      <c r="T80" s="75">
        <v>2</v>
      </c>
      <c r="U80" s="75" t="s">
        <v>431</v>
      </c>
      <c r="V80" s="75">
        <v>5</v>
      </c>
    </row>
    <row r="81" spans="1:22" ht="15">
      <c r="A81" s="76" t="s">
        <v>532</v>
      </c>
      <c r="B81" s="75">
        <v>6</v>
      </c>
      <c r="C81" s="75" t="s">
        <v>533</v>
      </c>
      <c r="D81" s="75">
        <v>4</v>
      </c>
      <c r="E81" s="75"/>
      <c r="F81" s="75"/>
      <c r="G81" s="75"/>
      <c r="H81" s="75"/>
      <c r="I81" s="75"/>
      <c r="J81" s="75"/>
      <c r="K81" s="75"/>
      <c r="L81" s="75"/>
      <c r="M81" s="75" t="s">
        <v>442</v>
      </c>
      <c r="N81" s="75">
        <v>1</v>
      </c>
      <c r="O81" s="75"/>
      <c r="P81" s="75"/>
      <c r="Q81" s="75" t="s">
        <v>453</v>
      </c>
      <c r="R81" s="75">
        <v>1</v>
      </c>
      <c r="S81" s="75" t="s">
        <v>488</v>
      </c>
      <c r="T81" s="75">
        <v>1</v>
      </c>
      <c r="U81" s="75" t="s">
        <v>430</v>
      </c>
      <c r="V81" s="75">
        <v>5</v>
      </c>
    </row>
    <row r="82" spans="1:22" ht="15">
      <c r="A82" s="76" t="s">
        <v>3429</v>
      </c>
      <c r="B82" s="75">
        <v>5</v>
      </c>
      <c r="C82" s="75" t="s">
        <v>497</v>
      </c>
      <c r="D82" s="75">
        <v>3</v>
      </c>
      <c r="E82" s="75"/>
      <c r="F82" s="75"/>
      <c r="G82" s="75"/>
      <c r="H82" s="75"/>
      <c r="I82" s="75"/>
      <c r="J82" s="75"/>
      <c r="K82" s="75"/>
      <c r="L82" s="75"/>
      <c r="M82" s="75" t="s">
        <v>441</v>
      </c>
      <c r="N82" s="75">
        <v>1</v>
      </c>
      <c r="O82" s="75"/>
      <c r="P82" s="75"/>
      <c r="Q82" s="75" t="s">
        <v>452</v>
      </c>
      <c r="R82" s="75">
        <v>1</v>
      </c>
      <c r="S82" s="75"/>
      <c r="T82" s="75"/>
      <c r="U82" s="75" t="s">
        <v>460</v>
      </c>
      <c r="V82" s="75">
        <v>5</v>
      </c>
    </row>
    <row r="83" spans="1:22" ht="15">
      <c r="A83" s="76" t="s">
        <v>431</v>
      </c>
      <c r="B83" s="75">
        <v>5</v>
      </c>
      <c r="C83" s="75" t="s">
        <v>447</v>
      </c>
      <c r="D83" s="75">
        <v>3</v>
      </c>
      <c r="E83" s="75"/>
      <c r="F83" s="75"/>
      <c r="G83" s="75"/>
      <c r="H83" s="75"/>
      <c r="I83" s="75"/>
      <c r="J83" s="75"/>
      <c r="K83" s="75"/>
      <c r="L83" s="75"/>
      <c r="M83" s="75" t="s">
        <v>447</v>
      </c>
      <c r="N83" s="75">
        <v>1</v>
      </c>
      <c r="O83" s="75"/>
      <c r="P83" s="75"/>
      <c r="Q83" s="75" t="s">
        <v>451</v>
      </c>
      <c r="R83" s="75">
        <v>1</v>
      </c>
      <c r="S83" s="75"/>
      <c r="T83" s="75"/>
      <c r="U83" s="75"/>
      <c r="V83" s="75"/>
    </row>
    <row r="84" spans="1:22" ht="15">
      <c r="A84" s="76" t="s">
        <v>430</v>
      </c>
      <c r="B84" s="75">
        <v>5</v>
      </c>
      <c r="C84" s="75" t="s">
        <v>496</v>
      </c>
      <c r="D84" s="75">
        <v>3</v>
      </c>
      <c r="E84" s="75"/>
      <c r="F84" s="75"/>
      <c r="G84" s="75"/>
      <c r="H84" s="75"/>
      <c r="I84" s="75"/>
      <c r="J84" s="75"/>
      <c r="K84" s="75"/>
      <c r="L84" s="75"/>
      <c r="M84" s="75" t="s">
        <v>440</v>
      </c>
      <c r="N84" s="75">
        <v>1</v>
      </c>
      <c r="O84" s="75"/>
      <c r="P84" s="75"/>
      <c r="Q84" s="75" t="s">
        <v>450</v>
      </c>
      <c r="R84" s="75">
        <v>1</v>
      </c>
      <c r="S84" s="75"/>
      <c r="T84" s="75"/>
      <c r="U84" s="75"/>
      <c r="V84" s="75"/>
    </row>
    <row r="85" spans="1:22" ht="15">
      <c r="A85" s="76" t="s">
        <v>460</v>
      </c>
      <c r="B85" s="75">
        <v>5</v>
      </c>
      <c r="C85" s="75" t="s">
        <v>542</v>
      </c>
      <c r="D85" s="75">
        <v>2</v>
      </c>
      <c r="E85" s="75"/>
      <c r="F85" s="75"/>
      <c r="G85" s="75"/>
      <c r="H85" s="75"/>
      <c r="I85" s="75"/>
      <c r="J85" s="75"/>
      <c r="K85" s="75"/>
      <c r="L85" s="75"/>
      <c r="M85" s="75" t="s">
        <v>439</v>
      </c>
      <c r="N85" s="75">
        <v>1</v>
      </c>
      <c r="O85" s="75"/>
      <c r="P85" s="75"/>
      <c r="Q85" s="75" t="s">
        <v>449</v>
      </c>
      <c r="R85" s="75">
        <v>1</v>
      </c>
      <c r="S85" s="75"/>
      <c r="T85" s="75"/>
      <c r="U85" s="75"/>
      <c r="V85" s="75"/>
    </row>
    <row r="86" spans="1:22" ht="15">
      <c r="A86" s="76" t="s">
        <v>447</v>
      </c>
      <c r="B86" s="75">
        <v>4</v>
      </c>
      <c r="C86" s="75" t="s">
        <v>458</v>
      </c>
      <c r="D86" s="75">
        <v>2</v>
      </c>
      <c r="E86" s="75"/>
      <c r="F86" s="75"/>
      <c r="G86" s="75"/>
      <c r="H86" s="75"/>
      <c r="I86" s="75"/>
      <c r="J86" s="75"/>
      <c r="K86" s="75"/>
      <c r="L86" s="75"/>
      <c r="M86" s="75" t="s">
        <v>438</v>
      </c>
      <c r="N86" s="75">
        <v>1</v>
      </c>
      <c r="O86" s="75"/>
      <c r="P86" s="75"/>
      <c r="Q86" s="75"/>
      <c r="R86" s="75"/>
      <c r="S86" s="75"/>
      <c r="T86" s="75"/>
      <c r="U86" s="75"/>
      <c r="V86" s="75"/>
    </row>
    <row r="87" spans="1:22" ht="15">
      <c r="A87" s="76" t="s">
        <v>533</v>
      </c>
      <c r="B87" s="75">
        <v>4</v>
      </c>
      <c r="C87" s="75" t="s">
        <v>494</v>
      </c>
      <c r="D87" s="75">
        <v>2</v>
      </c>
      <c r="E87" s="75"/>
      <c r="F87" s="75"/>
      <c r="G87" s="75"/>
      <c r="H87" s="75"/>
      <c r="I87" s="75"/>
      <c r="J87" s="75"/>
      <c r="K87" s="75"/>
      <c r="L87" s="75"/>
      <c r="M87" s="75" t="s">
        <v>437</v>
      </c>
      <c r="N87" s="75">
        <v>1</v>
      </c>
      <c r="O87" s="75"/>
      <c r="P87" s="75"/>
      <c r="Q87" s="75"/>
      <c r="R87" s="75"/>
      <c r="S87" s="75"/>
      <c r="T87" s="75"/>
      <c r="U87" s="75"/>
      <c r="V87" s="75"/>
    </row>
    <row r="88" spans="1:22" ht="15">
      <c r="A88" s="76" t="s">
        <v>458</v>
      </c>
      <c r="B88" s="75">
        <v>4</v>
      </c>
      <c r="C88" s="75" t="s">
        <v>575</v>
      </c>
      <c r="D88" s="75">
        <v>1</v>
      </c>
      <c r="E88" s="75"/>
      <c r="F88" s="75"/>
      <c r="G88" s="75"/>
      <c r="H88" s="75"/>
      <c r="I88" s="75"/>
      <c r="J88" s="75"/>
      <c r="K88" s="75"/>
      <c r="L88" s="75"/>
      <c r="M88" s="75" t="s">
        <v>436</v>
      </c>
      <c r="N88" s="75">
        <v>1</v>
      </c>
      <c r="O88" s="75"/>
      <c r="P88" s="75"/>
      <c r="Q88" s="75"/>
      <c r="R88" s="75"/>
      <c r="S88" s="75"/>
      <c r="T88" s="75"/>
      <c r="U88" s="75"/>
      <c r="V88" s="75"/>
    </row>
    <row r="91" spans="1:22" ht="14.4" customHeight="1">
      <c r="A91" s="7" t="s">
        <v>4321</v>
      </c>
      <c r="B91" s="7" t="s">
        <v>3966</v>
      </c>
      <c r="C91" s="7" t="s">
        <v>4322</v>
      </c>
      <c r="D91" s="7" t="s">
        <v>3972</v>
      </c>
      <c r="E91" s="7" t="s">
        <v>4323</v>
      </c>
      <c r="F91" s="7" t="s">
        <v>3978</v>
      </c>
      <c r="G91" s="7" t="s">
        <v>4324</v>
      </c>
      <c r="H91" s="7" t="s">
        <v>3980</v>
      </c>
      <c r="I91" s="7" t="s">
        <v>4325</v>
      </c>
      <c r="J91" s="7" t="s">
        <v>3984</v>
      </c>
      <c r="K91" s="7" t="s">
        <v>4326</v>
      </c>
      <c r="L91" s="7" t="s">
        <v>3986</v>
      </c>
      <c r="M91" s="7" t="s">
        <v>4327</v>
      </c>
      <c r="N91" s="7" t="s">
        <v>3988</v>
      </c>
      <c r="O91" s="7" t="s">
        <v>4328</v>
      </c>
      <c r="P91" s="7" t="s">
        <v>3991</v>
      </c>
      <c r="Q91" s="7" t="s">
        <v>4329</v>
      </c>
      <c r="R91" s="7" t="s">
        <v>3993</v>
      </c>
      <c r="S91" s="7" t="s">
        <v>4330</v>
      </c>
      <c r="T91" s="7" t="s">
        <v>3995</v>
      </c>
      <c r="U91" s="7" t="s">
        <v>4331</v>
      </c>
      <c r="V91" s="7" t="s">
        <v>3996</v>
      </c>
    </row>
    <row r="92" spans="1:22" ht="15">
      <c r="A92" s="101" t="s">
        <v>539</v>
      </c>
      <c r="B92" s="75">
        <v>960753</v>
      </c>
      <c r="C92" s="101" t="s">
        <v>539</v>
      </c>
      <c r="D92" s="75">
        <v>960753</v>
      </c>
      <c r="E92" s="101" t="s">
        <v>368</v>
      </c>
      <c r="F92" s="75">
        <v>121417</v>
      </c>
      <c r="G92" s="101" t="s">
        <v>406</v>
      </c>
      <c r="H92" s="75">
        <v>190582</v>
      </c>
      <c r="I92" s="101" t="s">
        <v>560</v>
      </c>
      <c r="J92" s="75">
        <v>557114</v>
      </c>
      <c r="K92" s="101" t="s">
        <v>284</v>
      </c>
      <c r="L92" s="75">
        <v>141662</v>
      </c>
      <c r="M92" s="101" t="s">
        <v>444</v>
      </c>
      <c r="N92" s="75">
        <v>99873</v>
      </c>
      <c r="O92" s="101" t="s">
        <v>336</v>
      </c>
      <c r="P92" s="75">
        <v>149892</v>
      </c>
      <c r="Q92" s="101" t="s">
        <v>454</v>
      </c>
      <c r="R92" s="75">
        <v>147364</v>
      </c>
      <c r="S92" s="101" t="s">
        <v>491</v>
      </c>
      <c r="T92" s="75">
        <v>50904</v>
      </c>
      <c r="U92" s="101" t="s">
        <v>282</v>
      </c>
      <c r="V92" s="75">
        <v>296460</v>
      </c>
    </row>
    <row r="93" spans="1:22" ht="15">
      <c r="A93" s="103" t="s">
        <v>514</v>
      </c>
      <c r="B93" s="75">
        <v>909678</v>
      </c>
      <c r="C93" s="101" t="s">
        <v>578</v>
      </c>
      <c r="D93" s="75">
        <v>552584</v>
      </c>
      <c r="E93" s="101" t="s">
        <v>419</v>
      </c>
      <c r="F93" s="75">
        <v>47661</v>
      </c>
      <c r="G93" s="101" t="s">
        <v>391</v>
      </c>
      <c r="H93" s="75">
        <v>96789</v>
      </c>
      <c r="I93" s="101" t="s">
        <v>552</v>
      </c>
      <c r="J93" s="75">
        <v>493743</v>
      </c>
      <c r="K93" s="101" t="s">
        <v>290</v>
      </c>
      <c r="L93" s="75">
        <v>58260</v>
      </c>
      <c r="M93" s="101" t="s">
        <v>443</v>
      </c>
      <c r="N93" s="75">
        <v>69213</v>
      </c>
      <c r="O93" s="101" t="s">
        <v>331</v>
      </c>
      <c r="P93" s="75">
        <v>58594</v>
      </c>
      <c r="Q93" s="101" t="s">
        <v>451</v>
      </c>
      <c r="R93" s="75">
        <v>42485</v>
      </c>
      <c r="S93" s="101" t="s">
        <v>494</v>
      </c>
      <c r="T93" s="75">
        <v>45239</v>
      </c>
      <c r="U93" s="101" t="s">
        <v>269</v>
      </c>
      <c r="V93" s="75">
        <v>53739</v>
      </c>
    </row>
    <row r="94" spans="1:22" ht="15">
      <c r="A94" s="103" t="s">
        <v>513</v>
      </c>
      <c r="B94" s="75">
        <v>789587</v>
      </c>
      <c r="C94" s="101" t="s">
        <v>538</v>
      </c>
      <c r="D94" s="75">
        <v>552538</v>
      </c>
      <c r="E94" s="101" t="s">
        <v>398</v>
      </c>
      <c r="F94" s="75">
        <v>33101</v>
      </c>
      <c r="G94" s="101" t="s">
        <v>393</v>
      </c>
      <c r="H94" s="75">
        <v>85024</v>
      </c>
      <c r="I94" s="101" t="s">
        <v>559</v>
      </c>
      <c r="J94" s="75">
        <v>402014</v>
      </c>
      <c r="K94" s="101" t="s">
        <v>291</v>
      </c>
      <c r="L94" s="75">
        <v>27201</v>
      </c>
      <c r="M94" s="101" t="s">
        <v>439</v>
      </c>
      <c r="N94" s="75">
        <v>27350</v>
      </c>
      <c r="O94" s="101" t="s">
        <v>333</v>
      </c>
      <c r="P94" s="75">
        <v>41490</v>
      </c>
      <c r="Q94" s="101" t="s">
        <v>452</v>
      </c>
      <c r="R94" s="75">
        <v>36911</v>
      </c>
      <c r="S94" s="101" t="s">
        <v>493</v>
      </c>
      <c r="T94" s="75">
        <v>41755</v>
      </c>
      <c r="U94" s="101" t="s">
        <v>460</v>
      </c>
      <c r="V94" s="75">
        <v>29727</v>
      </c>
    </row>
    <row r="95" spans="1:22" ht="15">
      <c r="A95" s="103" t="s">
        <v>560</v>
      </c>
      <c r="B95" s="75">
        <v>557114</v>
      </c>
      <c r="C95" s="101" t="s">
        <v>537</v>
      </c>
      <c r="D95" s="75">
        <v>524802</v>
      </c>
      <c r="E95" s="101" t="s">
        <v>315</v>
      </c>
      <c r="F95" s="75">
        <v>18066</v>
      </c>
      <c r="G95" s="101" t="s">
        <v>402</v>
      </c>
      <c r="H95" s="75">
        <v>53653</v>
      </c>
      <c r="I95" s="101" t="s">
        <v>551</v>
      </c>
      <c r="J95" s="75">
        <v>295982</v>
      </c>
      <c r="K95" s="101" t="s">
        <v>312</v>
      </c>
      <c r="L95" s="75">
        <v>18048</v>
      </c>
      <c r="M95" s="101" t="s">
        <v>436</v>
      </c>
      <c r="N95" s="75">
        <v>22929</v>
      </c>
      <c r="O95" s="101" t="s">
        <v>332</v>
      </c>
      <c r="P95" s="75">
        <v>24194</v>
      </c>
      <c r="Q95" s="101" t="s">
        <v>450</v>
      </c>
      <c r="R95" s="75">
        <v>34904</v>
      </c>
      <c r="S95" s="101" t="s">
        <v>489</v>
      </c>
      <c r="T95" s="75">
        <v>29340</v>
      </c>
      <c r="U95" s="101" t="s">
        <v>431</v>
      </c>
      <c r="V95" s="75">
        <v>28522</v>
      </c>
    </row>
    <row r="96" spans="1:22" ht="15">
      <c r="A96" s="103" t="s">
        <v>578</v>
      </c>
      <c r="B96" s="75">
        <v>552584</v>
      </c>
      <c r="C96" s="101" t="s">
        <v>580</v>
      </c>
      <c r="D96" s="75">
        <v>280680</v>
      </c>
      <c r="E96" s="101" t="s">
        <v>342</v>
      </c>
      <c r="F96" s="75">
        <v>17720</v>
      </c>
      <c r="G96" s="101" t="s">
        <v>408</v>
      </c>
      <c r="H96" s="75">
        <v>25827</v>
      </c>
      <c r="I96" s="101" t="s">
        <v>495</v>
      </c>
      <c r="J96" s="75">
        <v>67052</v>
      </c>
      <c r="K96" s="101" t="s">
        <v>289</v>
      </c>
      <c r="L96" s="75">
        <v>8673</v>
      </c>
      <c r="M96" s="101" t="s">
        <v>437</v>
      </c>
      <c r="N96" s="75">
        <v>12877</v>
      </c>
      <c r="O96" s="101" t="s">
        <v>338</v>
      </c>
      <c r="P96" s="75">
        <v>4474</v>
      </c>
      <c r="Q96" s="101" t="s">
        <v>455</v>
      </c>
      <c r="R96" s="75">
        <v>24250</v>
      </c>
      <c r="S96" s="101" t="s">
        <v>490</v>
      </c>
      <c r="T96" s="75">
        <v>21231</v>
      </c>
      <c r="U96" s="101" t="s">
        <v>257</v>
      </c>
      <c r="V96" s="75">
        <v>26921</v>
      </c>
    </row>
    <row r="97" spans="1:22" ht="15">
      <c r="A97" s="103" t="s">
        <v>538</v>
      </c>
      <c r="B97" s="75">
        <v>552538</v>
      </c>
      <c r="C97" s="101" t="s">
        <v>584</v>
      </c>
      <c r="D97" s="75">
        <v>233112</v>
      </c>
      <c r="E97" s="101" t="s">
        <v>350</v>
      </c>
      <c r="F97" s="75">
        <v>12432</v>
      </c>
      <c r="G97" s="101" t="s">
        <v>401</v>
      </c>
      <c r="H97" s="75">
        <v>10155</v>
      </c>
      <c r="I97" s="101" t="s">
        <v>558</v>
      </c>
      <c r="J97" s="75">
        <v>66598</v>
      </c>
      <c r="K97" s="101" t="s">
        <v>287</v>
      </c>
      <c r="L97" s="75">
        <v>7946</v>
      </c>
      <c r="M97" s="101" t="s">
        <v>446</v>
      </c>
      <c r="N97" s="75">
        <v>9711</v>
      </c>
      <c r="O97" s="101" t="s">
        <v>327</v>
      </c>
      <c r="P97" s="75">
        <v>4264</v>
      </c>
      <c r="Q97" s="101" t="s">
        <v>456</v>
      </c>
      <c r="R97" s="75">
        <v>21834</v>
      </c>
      <c r="S97" s="101" t="s">
        <v>328</v>
      </c>
      <c r="T97" s="75">
        <v>8135</v>
      </c>
      <c r="U97" s="101" t="s">
        <v>319</v>
      </c>
      <c r="V97" s="75">
        <v>16682</v>
      </c>
    </row>
    <row r="98" spans="1:22" ht="15">
      <c r="A98" s="103" t="s">
        <v>537</v>
      </c>
      <c r="B98" s="75">
        <v>524802</v>
      </c>
      <c r="C98" s="101" t="s">
        <v>389</v>
      </c>
      <c r="D98" s="75">
        <v>94754</v>
      </c>
      <c r="E98" s="101" t="s">
        <v>407</v>
      </c>
      <c r="F98" s="75">
        <v>7779</v>
      </c>
      <c r="G98" s="101" t="s">
        <v>397</v>
      </c>
      <c r="H98" s="75">
        <v>9930</v>
      </c>
      <c r="I98" s="101" t="s">
        <v>561</v>
      </c>
      <c r="J98" s="75">
        <v>25398</v>
      </c>
      <c r="K98" s="101" t="s">
        <v>311</v>
      </c>
      <c r="L98" s="75">
        <v>7472</v>
      </c>
      <c r="M98" s="101" t="s">
        <v>441</v>
      </c>
      <c r="N98" s="75">
        <v>6803</v>
      </c>
      <c r="O98" s="101" t="s">
        <v>335</v>
      </c>
      <c r="P98" s="75">
        <v>3442</v>
      </c>
      <c r="Q98" s="101" t="s">
        <v>453</v>
      </c>
      <c r="R98" s="75">
        <v>13774</v>
      </c>
      <c r="S98" s="101" t="s">
        <v>488</v>
      </c>
      <c r="T98" s="75">
        <v>3975</v>
      </c>
      <c r="U98" s="101" t="s">
        <v>430</v>
      </c>
      <c r="V98" s="75">
        <v>8066</v>
      </c>
    </row>
    <row r="99" spans="1:22" ht="15">
      <c r="A99" s="103" t="s">
        <v>552</v>
      </c>
      <c r="B99" s="75">
        <v>493743</v>
      </c>
      <c r="C99" s="101" t="s">
        <v>548</v>
      </c>
      <c r="D99" s="75">
        <v>86881</v>
      </c>
      <c r="E99" s="101" t="s">
        <v>381</v>
      </c>
      <c r="F99" s="75">
        <v>7649</v>
      </c>
      <c r="G99" s="101" t="s">
        <v>344</v>
      </c>
      <c r="H99" s="75">
        <v>9839</v>
      </c>
      <c r="I99" s="101" t="s">
        <v>557</v>
      </c>
      <c r="J99" s="75">
        <v>16772</v>
      </c>
      <c r="K99" s="101" t="s">
        <v>286</v>
      </c>
      <c r="L99" s="75">
        <v>7358</v>
      </c>
      <c r="M99" s="101" t="s">
        <v>438</v>
      </c>
      <c r="N99" s="75">
        <v>6557</v>
      </c>
      <c r="O99" s="101" t="s">
        <v>329</v>
      </c>
      <c r="P99" s="75">
        <v>3233</v>
      </c>
      <c r="Q99" s="101" t="s">
        <v>448</v>
      </c>
      <c r="R99" s="75">
        <v>6053</v>
      </c>
      <c r="S99" s="101" t="s">
        <v>492</v>
      </c>
      <c r="T99" s="75">
        <v>3294</v>
      </c>
      <c r="U99" s="101" t="s">
        <v>318</v>
      </c>
      <c r="V99" s="75">
        <v>1150</v>
      </c>
    </row>
    <row r="100" spans="1:22" ht="15">
      <c r="A100" s="103" t="s">
        <v>559</v>
      </c>
      <c r="B100" s="75">
        <v>402014</v>
      </c>
      <c r="C100" s="101" t="s">
        <v>572</v>
      </c>
      <c r="D100" s="75">
        <v>69046</v>
      </c>
      <c r="E100" s="101" t="s">
        <v>347</v>
      </c>
      <c r="F100" s="75">
        <v>4994</v>
      </c>
      <c r="G100" s="101" t="s">
        <v>399</v>
      </c>
      <c r="H100" s="75">
        <v>4643</v>
      </c>
      <c r="I100" s="101" t="s">
        <v>549</v>
      </c>
      <c r="J100" s="75">
        <v>12771</v>
      </c>
      <c r="K100" s="101" t="s">
        <v>292</v>
      </c>
      <c r="L100" s="75">
        <v>6520</v>
      </c>
      <c r="M100" s="101" t="s">
        <v>440</v>
      </c>
      <c r="N100" s="75">
        <v>6120</v>
      </c>
      <c r="O100" s="101" t="s">
        <v>337</v>
      </c>
      <c r="P100" s="75">
        <v>1926</v>
      </c>
      <c r="Q100" s="101" t="s">
        <v>449</v>
      </c>
      <c r="R100" s="75">
        <v>2344</v>
      </c>
      <c r="S100" s="101"/>
      <c r="T100" s="75"/>
      <c r="U100" s="101"/>
      <c r="V100" s="75"/>
    </row>
    <row r="101" spans="1:22" ht="15">
      <c r="A101" s="103" t="s">
        <v>519</v>
      </c>
      <c r="B101" s="75">
        <v>383761</v>
      </c>
      <c r="C101" s="101" t="s">
        <v>573</v>
      </c>
      <c r="D101" s="75">
        <v>56797</v>
      </c>
      <c r="E101" s="101" t="s">
        <v>411</v>
      </c>
      <c r="F101" s="75">
        <v>4567</v>
      </c>
      <c r="G101" s="101" t="s">
        <v>392</v>
      </c>
      <c r="H101" s="75">
        <v>2981</v>
      </c>
      <c r="I101" s="101" t="s">
        <v>556</v>
      </c>
      <c r="J101" s="75">
        <v>9617</v>
      </c>
      <c r="K101" s="101" t="s">
        <v>295</v>
      </c>
      <c r="L101" s="75">
        <v>5631</v>
      </c>
      <c r="M101" s="101" t="s">
        <v>442</v>
      </c>
      <c r="N101" s="75">
        <v>5153</v>
      </c>
      <c r="O101" s="101" t="s">
        <v>330</v>
      </c>
      <c r="P101" s="75">
        <v>1728</v>
      </c>
      <c r="Q101" s="101" t="s">
        <v>263</v>
      </c>
      <c r="R101" s="75">
        <v>247</v>
      </c>
      <c r="S101" s="101"/>
      <c r="T101" s="75"/>
      <c r="U101" s="101"/>
      <c r="V101" s="75"/>
    </row>
  </sheetData>
  <hyperlinks>
    <hyperlink ref="A2" r:id="rId1" display="https://www.lesechos.fr/monde/enjeux-internationaux/les-etats-unis-reclament-lunite-des-allies-contre-la-russie-1787144?xtor=CS4-6235"/>
    <hyperlink ref="A3" r:id="rId2" display="https://www.youtube.com/watch?v=PMOHqsUyk7Y&amp;feature=youtu.be"/>
    <hyperlink ref="A4" r:id="rId3" display="https://www.youtube.com/watch?v=V75pj41VFGk"/>
    <hyperlink ref="A5" r:id="rId4" display="https://www.youtube.com/watch?v=ejG32fwnsV4&amp;feature=youtu.be"/>
    <hyperlink ref="A6" r:id="rId5" display="https://www.restaurant-kiev.com/"/>
    <hyperlink ref="A7" r:id="rId6" display="https://ameblo.jp/historical-gay/entry-10222227037.html"/>
    <hyperlink ref="A8" r:id="rId7" display="https://www.youtube.com/watch?v=uHIVevq290k&amp;feature=youtu.be"/>
    <hyperlink ref="A9" r:id="rId8" display="https://twitter.com/MaxDfelladius/status/1569308389137649669"/>
    <hyperlink ref="A10" r:id="rId9" display="https://arxiv.org/pdf/2208.07038.pdf"/>
    <hyperlink ref="A11" r:id="rId10" display="https://twitter.com/chicohalS/status/1570009415805190147"/>
    <hyperlink ref="C2" r:id="rId11" display="https://roma.mid.ru/it/press-centre/commento_della_rappresentante_ufficiale_del_ministero_degli_affari_esteri_della_federazione_russa_ma/"/>
    <hyperlink ref="C3" r:id="rId12" display="https://www.reuters.com/world/europe/tens-thousands-protest-prague-against-czech-government-eu-nato-2022-09-03/"/>
    <hyperlink ref="C4" r:id="rId13" display="https://twitter.com/DanielsonKassa1/status/1569891516281245697"/>
    <hyperlink ref="E2" r:id="rId14" display="https://www.restaurant-kiev.com/"/>
    <hyperlink ref="E3" r:id="rId15" display="https://www.youtube.com/watch?v=PMOHqsUyk7Y&amp;feature=youtu.be"/>
    <hyperlink ref="E4" r:id="rId16" display="https://www.youtube.com/watch?v=V75pj41VFGk"/>
    <hyperlink ref="E5" r:id="rId17" display="https://www.youtube.com/watch?v=ejG32fwnsV4&amp;feature=youtu.be"/>
    <hyperlink ref="E6" r:id="rId18" display="https://ameblo.jp/historical-gay/entry-10222227037.html"/>
    <hyperlink ref="E7" r:id="rId19" display="https://www.youtube.com/watch?v=uHIVevq290k&amp;feature=youtu.be"/>
    <hyperlink ref="E8" r:id="rId20" display="https://twitter.com/MMerangul/status/1568596784678666250"/>
    <hyperlink ref="E9" r:id="rId21" display="https://twitter.com/mathematic1313/status/1548439504783978499"/>
    <hyperlink ref="E10" r:id="rId22" display="https://twitter.com/ArthurM40330824/status/1567605573222277121"/>
    <hyperlink ref="E11" r:id="rId23" display="https://twitter.com/mdfzeh/status/1568260918512951296"/>
    <hyperlink ref="I2" r:id="rId24" display="https://twitter.com/AZmilitary1/status/1569795425397268481"/>
    <hyperlink ref="I3" r:id="rId25" display="https://twitter.com/blackintheempir/status/1569873091781591043"/>
    <hyperlink ref="O2" r:id="rId26" display="https://www.lesechos.fr/monde/enjeux-internationaux/les-etats-unis-reclament-lunite-des-allies-contre-la-russie-1787144?xtor=CS4-6235"/>
    <hyperlink ref="O3" r:id="rId27" display="https://twitter.com/ZelenskyyUa/status/1568608679871537153"/>
  </hyperlinks>
  <printOptions/>
  <pageMargins left="0.7" right="0.7" top="0.75" bottom="0.75" header="0.3" footer="0.3"/>
  <pageSetup orientation="portrait" paperSize="9"/>
  <tableParts>
    <tablePart r:id="rId35"/>
    <tablePart r:id="rId30"/>
    <tablePart r:id="rId31"/>
    <tablePart r:id="rId34"/>
    <tablePart r:id="rId28"/>
    <tablePart r:id="rId29"/>
    <tablePart r:id="rId33"/>
    <tablePart r:id="rId3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2204A-A6A5-4D2A-AEA4-59A8387D8F41}">
  <dimension ref="A25:B47"/>
  <sheetViews>
    <sheetView tabSelected="1" workbookViewId="0" topLeftCell="A1"/>
  </sheetViews>
  <sheetFormatPr defaultColWidth="9.140625" defaultRowHeight="15"/>
  <cols>
    <col min="1" max="1" width="12.57421875" style="0" bestFit="1" customWidth="1"/>
    <col min="2" max="2" width="29.140625" style="0" bestFit="1" customWidth="1"/>
  </cols>
  <sheetData>
    <row r="25" spans="1:2" ht="15">
      <c r="A25" s="111" t="s">
        <v>4666</v>
      </c>
      <c r="B25" t="s">
        <v>4665</v>
      </c>
    </row>
    <row r="26" spans="1:2" ht="15">
      <c r="A26" s="112" t="s">
        <v>3496</v>
      </c>
      <c r="B26" s="102">
        <v>339</v>
      </c>
    </row>
    <row r="27" spans="1:2" ht="15">
      <c r="A27" s="113" t="s">
        <v>4668</v>
      </c>
      <c r="B27" s="102">
        <v>1</v>
      </c>
    </row>
    <row r="28" spans="1:2" ht="15">
      <c r="A28" s="114" t="s">
        <v>4669</v>
      </c>
      <c r="B28" s="102">
        <v>1</v>
      </c>
    </row>
    <row r="29" spans="1:2" ht="15">
      <c r="A29" s="113" t="s">
        <v>4670</v>
      </c>
      <c r="B29" s="102">
        <v>1</v>
      </c>
    </row>
    <row r="30" spans="1:2" ht="15">
      <c r="A30" s="114" t="s">
        <v>4671</v>
      </c>
      <c r="B30" s="102">
        <v>1</v>
      </c>
    </row>
    <row r="31" spans="1:2" ht="15">
      <c r="A31" s="113" t="s">
        <v>4672</v>
      </c>
      <c r="B31" s="102">
        <v>2</v>
      </c>
    </row>
    <row r="32" spans="1:2" ht="15">
      <c r="A32" s="114" t="s">
        <v>4673</v>
      </c>
      <c r="B32" s="102">
        <v>1</v>
      </c>
    </row>
    <row r="33" spans="1:2" ht="15">
      <c r="A33" s="114" t="s">
        <v>4674</v>
      </c>
      <c r="B33" s="102">
        <v>1</v>
      </c>
    </row>
    <row r="34" spans="1:2" ht="15">
      <c r="A34" s="113" t="s">
        <v>4675</v>
      </c>
      <c r="B34" s="102">
        <v>335</v>
      </c>
    </row>
    <row r="35" spans="1:2" ht="15">
      <c r="A35" s="114" t="s">
        <v>4676</v>
      </c>
      <c r="B35" s="102">
        <v>1</v>
      </c>
    </row>
    <row r="36" spans="1:2" ht="15">
      <c r="A36" s="114" t="s">
        <v>4677</v>
      </c>
      <c r="B36" s="102">
        <v>1</v>
      </c>
    </row>
    <row r="37" spans="1:2" ht="15">
      <c r="A37" s="114" t="s">
        <v>4678</v>
      </c>
      <c r="B37" s="102">
        <v>2</v>
      </c>
    </row>
    <row r="38" spans="1:2" ht="15">
      <c r="A38" s="114" t="s">
        <v>4679</v>
      </c>
      <c r="B38" s="102">
        <v>25</v>
      </c>
    </row>
    <row r="39" spans="1:2" ht="15">
      <c r="A39" s="114" t="s">
        <v>4680</v>
      </c>
      <c r="B39" s="102">
        <v>36</v>
      </c>
    </row>
    <row r="40" spans="1:2" ht="15">
      <c r="A40" s="114" t="s">
        <v>4681</v>
      </c>
      <c r="B40" s="102">
        <v>35</v>
      </c>
    </row>
    <row r="41" spans="1:2" ht="15">
      <c r="A41" s="114" t="s">
        <v>4682</v>
      </c>
      <c r="B41" s="102">
        <v>25</v>
      </c>
    </row>
    <row r="42" spans="1:2" ht="15">
      <c r="A42" s="114" t="s">
        <v>4683</v>
      </c>
      <c r="B42" s="102">
        <v>46</v>
      </c>
    </row>
    <row r="43" spans="1:2" ht="15">
      <c r="A43" s="114" t="s">
        <v>4684</v>
      </c>
      <c r="B43" s="102">
        <v>39</v>
      </c>
    </row>
    <row r="44" spans="1:2" ht="15">
      <c r="A44" s="114" t="s">
        <v>4685</v>
      </c>
      <c r="B44" s="102">
        <v>29</v>
      </c>
    </row>
    <row r="45" spans="1:2" ht="15">
      <c r="A45" s="114" t="s">
        <v>4686</v>
      </c>
      <c r="B45" s="102">
        <v>62</v>
      </c>
    </row>
    <row r="46" spans="1:2" ht="15">
      <c r="A46" s="114" t="s">
        <v>4687</v>
      </c>
      <c r="B46" s="102">
        <v>34</v>
      </c>
    </row>
    <row r="47" spans="1:2" ht="15">
      <c r="A47" s="112" t="s">
        <v>4667</v>
      </c>
      <c r="B47" s="102">
        <v>339</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33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1818</v>
      </c>
      <c r="AE2" s="7" t="s">
        <v>1819</v>
      </c>
      <c r="AF2" s="7" t="s">
        <v>1820</v>
      </c>
      <c r="AG2" s="7" t="s">
        <v>1821</v>
      </c>
      <c r="AH2" s="7" t="s">
        <v>1822</v>
      </c>
      <c r="AI2" s="7" t="s">
        <v>1823</v>
      </c>
      <c r="AJ2" s="7" t="s">
        <v>1824</v>
      </c>
      <c r="AK2" s="7" t="s">
        <v>1825</v>
      </c>
      <c r="AL2" s="7" t="s">
        <v>1826</v>
      </c>
      <c r="AM2" s="7" t="s">
        <v>1827</v>
      </c>
      <c r="AN2" s="7" t="s">
        <v>1828</v>
      </c>
      <c r="AO2" s="7" t="s">
        <v>1829</v>
      </c>
      <c r="AP2" s="7" t="s">
        <v>1830</v>
      </c>
      <c r="AQ2" s="7" t="s">
        <v>1831</v>
      </c>
      <c r="AR2" s="7" t="s">
        <v>1832</v>
      </c>
      <c r="AS2" s="7" t="s">
        <v>1833</v>
      </c>
      <c r="AT2" s="7" t="s">
        <v>237</v>
      </c>
      <c r="AU2" s="7" t="s">
        <v>1834</v>
      </c>
      <c r="AV2" s="7" t="s">
        <v>1835</v>
      </c>
      <c r="AW2" s="7" t="s">
        <v>1836</v>
      </c>
      <c r="AX2" s="7" t="s">
        <v>1837</v>
      </c>
      <c r="AY2" s="7" t="s">
        <v>1838</v>
      </c>
      <c r="AZ2" s="7" t="s">
        <v>1839</v>
      </c>
      <c r="BA2" s="7" t="s">
        <v>3247</v>
      </c>
      <c r="BB2" s="106" t="s">
        <v>3909</v>
      </c>
      <c r="BC2" s="106" t="s">
        <v>3910</v>
      </c>
      <c r="BD2" s="106" t="s">
        <v>3911</v>
      </c>
      <c r="BE2" s="106" t="s">
        <v>3912</v>
      </c>
      <c r="BF2" s="106" t="s">
        <v>3913</v>
      </c>
      <c r="BG2" s="106" t="s">
        <v>3914</v>
      </c>
      <c r="BH2" s="106" t="s">
        <v>3915</v>
      </c>
      <c r="BI2" s="106" t="s">
        <v>3916</v>
      </c>
      <c r="BJ2" s="106" t="s">
        <v>3918</v>
      </c>
      <c r="BK2" s="106" t="s">
        <v>4392</v>
      </c>
      <c r="BL2" s="106" t="s">
        <v>4402</v>
      </c>
      <c r="BM2" s="106" t="s">
        <v>4403</v>
      </c>
      <c r="BN2" s="106" t="s">
        <v>4406</v>
      </c>
      <c r="BO2" s="106" t="s">
        <v>4408</v>
      </c>
      <c r="BP2" s="106" t="s">
        <v>4422</v>
      </c>
      <c r="BQ2" s="106" t="s">
        <v>4442</v>
      </c>
      <c r="BR2" s="106" t="s">
        <v>4538</v>
      </c>
      <c r="BS2" s="106" t="s">
        <v>4564</v>
      </c>
      <c r="BT2" s="106" t="s">
        <v>4652</v>
      </c>
    </row>
    <row r="3" spans="1:72" ht="15" customHeight="1">
      <c r="A3" s="61" t="s">
        <v>257</v>
      </c>
      <c r="B3" s="62"/>
      <c r="C3" s="62"/>
      <c r="D3" s="63">
        <v>101.81818181818181</v>
      </c>
      <c r="E3" s="65"/>
      <c r="F3" s="99" t="str">
        <f>HYPERLINK("https://pbs.twimg.com/profile_images/1500057216803651584/1747YhDd_normal.jpg")</f>
        <v>https://pbs.twimg.com/profile_images/1500057216803651584/1747YhDd_normal.jpg</v>
      </c>
      <c r="G3" s="62"/>
      <c r="H3" s="66" t="s">
        <v>257</v>
      </c>
      <c r="I3" s="67"/>
      <c r="J3" s="67"/>
      <c r="K3" s="66" t="s">
        <v>3173</v>
      </c>
      <c r="L3" s="70">
        <v>3.6671230380891213</v>
      </c>
      <c r="M3" s="71">
        <v>4963.86328125</v>
      </c>
      <c r="N3" s="71">
        <v>5191.78857421875</v>
      </c>
      <c r="O3" s="72"/>
      <c r="P3" s="73"/>
      <c r="Q3" s="73"/>
      <c r="R3" s="45"/>
      <c r="S3" s="45">
        <v>0</v>
      </c>
      <c r="T3" s="45">
        <v>4</v>
      </c>
      <c r="U3" s="46">
        <v>1.2</v>
      </c>
      <c r="V3" s="46">
        <v>0.014985</v>
      </c>
      <c r="W3" s="46">
        <v>8E-06</v>
      </c>
      <c r="X3" s="46">
        <v>0.002942</v>
      </c>
      <c r="Y3" s="46">
        <v>0.25</v>
      </c>
      <c r="Z3" s="46">
        <v>0</v>
      </c>
      <c r="AA3" s="68">
        <v>3</v>
      </c>
      <c r="AB3" s="68"/>
      <c r="AC3" s="69"/>
      <c r="AD3" s="75" t="s">
        <v>2162</v>
      </c>
      <c r="AE3" s="80" t="s">
        <v>2397</v>
      </c>
      <c r="AF3" s="75">
        <v>813</v>
      </c>
      <c r="AG3" s="75">
        <v>820</v>
      </c>
      <c r="AH3" s="75">
        <v>26921</v>
      </c>
      <c r="AI3" s="75">
        <v>213</v>
      </c>
      <c r="AJ3" s="75"/>
      <c r="AK3" s="75" t="s">
        <v>2684</v>
      </c>
      <c r="AL3" s="75"/>
      <c r="AM3" s="75"/>
      <c r="AN3" s="75"/>
      <c r="AO3" s="77">
        <v>44016.29712962963</v>
      </c>
      <c r="AP3" s="82" t="str">
        <f>HYPERLINK("https://pbs.twimg.com/profile_banners/1279310738662793216/1618597714")</f>
        <v>https://pbs.twimg.com/profile_banners/1279310738662793216/1618597714</v>
      </c>
      <c r="AQ3" s="75" t="b">
        <v>1</v>
      </c>
      <c r="AR3" s="75" t="b">
        <v>0</v>
      </c>
      <c r="AS3" s="75" t="b">
        <v>0</v>
      </c>
      <c r="AT3" s="75"/>
      <c r="AU3" s="75">
        <v>1</v>
      </c>
      <c r="AV3" s="75"/>
      <c r="AW3" s="75" t="b">
        <v>0</v>
      </c>
      <c r="AX3" s="75" t="s">
        <v>2845</v>
      </c>
      <c r="AY3" s="82" t="str">
        <f>HYPERLINK("https://twitter.com/croisefranco")</f>
        <v>https://twitter.com/croisefranco</v>
      </c>
      <c r="AZ3" s="75" t="s">
        <v>66</v>
      </c>
      <c r="BA3" s="75" t="str">
        <f>REPLACE(INDEX(GroupVertices[Group],MATCH(Vertices[[#This Row],[Vertex]],GroupVertices[Vertex],0)),1,1,"")</f>
        <v>10</v>
      </c>
      <c r="BB3" s="45">
        <v>0</v>
      </c>
      <c r="BC3" s="46">
        <v>0</v>
      </c>
      <c r="BD3" s="45">
        <v>1</v>
      </c>
      <c r="BE3" s="46">
        <v>2.7777777777777777</v>
      </c>
      <c r="BF3" s="45">
        <v>0</v>
      </c>
      <c r="BG3" s="46">
        <v>0</v>
      </c>
      <c r="BH3" s="45">
        <v>35</v>
      </c>
      <c r="BI3" s="46">
        <v>97.22222222222223</v>
      </c>
      <c r="BJ3" s="45">
        <v>36</v>
      </c>
      <c r="BK3" s="45"/>
      <c r="BL3" s="45"/>
      <c r="BM3" s="45"/>
      <c r="BN3" s="45"/>
      <c r="BO3" s="45" t="s">
        <v>792</v>
      </c>
      <c r="BP3" s="45" t="s">
        <v>792</v>
      </c>
      <c r="BQ3" s="110" t="s">
        <v>4110</v>
      </c>
      <c r="BR3" s="110" t="s">
        <v>4110</v>
      </c>
      <c r="BS3" s="110" t="s">
        <v>4248</v>
      </c>
      <c r="BT3" s="110" t="s">
        <v>4248</v>
      </c>
    </row>
    <row r="4" spans="1:73" ht="15">
      <c r="A4" s="61" t="s">
        <v>460</v>
      </c>
      <c r="B4" s="62"/>
      <c r="C4" s="62"/>
      <c r="D4" s="63">
        <v>104.54545454545455</v>
      </c>
      <c r="E4" s="65"/>
      <c r="F4" s="99" t="str">
        <f>HYPERLINK("https://pbs.twimg.com/profile_images/1545856411669856257/6yXP1XGI_normal.jpg")</f>
        <v>https://pbs.twimg.com/profile_images/1545856411669856257/6yXP1XGI_normal.jpg</v>
      </c>
      <c r="G4" s="62"/>
      <c r="H4" s="66" t="s">
        <v>460</v>
      </c>
      <c r="I4" s="67"/>
      <c r="J4" s="67"/>
      <c r="K4" s="66" t="s">
        <v>2846</v>
      </c>
      <c r="L4" s="70">
        <v>7.667807595222803</v>
      </c>
      <c r="M4" s="71">
        <v>4784.751953125</v>
      </c>
      <c r="N4" s="71">
        <v>6374.4130859375</v>
      </c>
      <c r="O4" s="72"/>
      <c r="P4" s="73"/>
      <c r="Q4" s="73"/>
      <c r="R4" s="85"/>
      <c r="S4" s="45">
        <v>5</v>
      </c>
      <c r="T4" s="45">
        <v>0</v>
      </c>
      <c r="U4" s="46">
        <v>3</v>
      </c>
      <c r="V4" s="46">
        <v>0.01665</v>
      </c>
      <c r="W4" s="46">
        <v>9E-06</v>
      </c>
      <c r="X4" s="46">
        <v>0.003104</v>
      </c>
      <c r="Y4" s="46">
        <v>0.2</v>
      </c>
      <c r="Z4" s="46">
        <v>0</v>
      </c>
      <c r="AA4" s="68">
        <v>4</v>
      </c>
      <c r="AB4" s="68"/>
      <c r="AC4" s="69"/>
      <c r="AD4" s="75" t="s">
        <v>1840</v>
      </c>
      <c r="AE4" s="80" t="s">
        <v>2163</v>
      </c>
      <c r="AF4" s="75">
        <v>6284</v>
      </c>
      <c r="AG4" s="75">
        <v>8026</v>
      </c>
      <c r="AH4" s="75">
        <v>29727</v>
      </c>
      <c r="AI4" s="75">
        <v>53771</v>
      </c>
      <c r="AJ4" s="75"/>
      <c r="AK4" s="75" t="s">
        <v>2398</v>
      </c>
      <c r="AL4" s="75" t="s">
        <v>2685</v>
      </c>
      <c r="AM4" s="75"/>
      <c r="AN4" s="75"/>
      <c r="AO4" s="77">
        <v>42330.69515046296</v>
      </c>
      <c r="AP4" s="82" t="str">
        <f>HYPERLINK("https://pbs.twimg.com/profile_banners/4250834835/1654335130")</f>
        <v>https://pbs.twimg.com/profile_banners/4250834835/1654335130</v>
      </c>
      <c r="AQ4" s="75" t="b">
        <v>1</v>
      </c>
      <c r="AR4" s="75" t="b">
        <v>0</v>
      </c>
      <c r="AS4" s="75" t="b">
        <v>0</v>
      </c>
      <c r="AT4" s="75"/>
      <c r="AU4" s="75">
        <v>5</v>
      </c>
      <c r="AV4" s="82" t="str">
        <f>HYPERLINK("https://abs.twimg.com/images/themes/theme1/bg.png")</f>
        <v>https://abs.twimg.com/images/themes/theme1/bg.png</v>
      </c>
      <c r="AW4" s="75" t="b">
        <v>0</v>
      </c>
      <c r="AX4" s="75" t="s">
        <v>2845</v>
      </c>
      <c r="AY4" s="82" t="str">
        <f>HYPERLINK("https://twitter.com/060_ilou")</f>
        <v>https://twitter.com/060_ilou</v>
      </c>
      <c r="AZ4" s="75" t="s">
        <v>65</v>
      </c>
      <c r="BA4" s="75" t="str">
        <f>REPLACE(INDEX(GroupVertices[Group],MATCH(Vertices[[#This Row],[Vertex]],GroupVertices[Vertex],0)),1,1,"")</f>
        <v>10</v>
      </c>
      <c r="BB4" s="45"/>
      <c r="BC4" s="46"/>
      <c r="BD4" s="45"/>
      <c r="BE4" s="46"/>
      <c r="BF4" s="45"/>
      <c r="BG4" s="46"/>
      <c r="BH4" s="45"/>
      <c r="BI4" s="46"/>
      <c r="BJ4" s="45"/>
      <c r="BK4" s="45"/>
      <c r="BL4" s="45"/>
      <c r="BM4" s="45"/>
      <c r="BN4" s="45"/>
      <c r="BO4" s="45"/>
      <c r="BP4" s="45"/>
      <c r="BQ4" s="45"/>
      <c r="BR4" s="45"/>
      <c r="BS4" s="45"/>
      <c r="BT4" s="45"/>
      <c r="BU4" s="2"/>
    </row>
    <row r="5" spans="1:73" ht="15">
      <c r="A5" s="61" t="s">
        <v>430</v>
      </c>
      <c r="B5" s="62"/>
      <c r="C5" s="62"/>
      <c r="D5" s="63">
        <v>104.54545454545455</v>
      </c>
      <c r="E5" s="65"/>
      <c r="F5" s="99" t="str">
        <f>HYPERLINK("https://pbs.twimg.com/profile_images/1504089302871023622/yjbYZ4Ct_normal.jpg")</f>
        <v>https://pbs.twimg.com/profile_images/1504089302871023622/yjbYZ4Ct_normal.jpg</v>
      </c>
      <c r="G5" s="62"/>
      <c r="H5" s="66" t="s">
        <v>430</v>
      </c>
      <c r="I5" s="67"/>
      <c r="J5" s="67"/>
      <c r="K5" s="66" t="s">
        <v>2847</v>
      </c>
      <c r="L5" s="70">
        <v>7.667807595222803</v>
      </c>
      <c r="M5" s="71">
        <v>5212.72216796875</v>
      </c>
      <c r="N5" s="71">
        <v>5470.61669921875</v>
      </c>
      <c r="O5" s="72"/>
      <c r="P5" s="73"/>
      <c r="Q5" s="73"/>
      <c r="R5" s="85"/>
      <c r="S5" s="45">
        <v>5</v>
      </c>
      <c r="T5" s="45">
        <v>0</v>
      </c>
      <c r="U5" s="46">
        <v>3</v>
      </c>
      <c r="V5" s="46">
        <v>0.01665</v>
      </c>
      <c r="W5" s="46">
        <v>9E-06</v>
      </c>
      <c r="X5" s="46">
        <v>0.003104</v>
      </c>
      <c r="Y5" s="46">
        <v>0.2</v>
      </c>
      <c r="Z5" s="46">
        <v>0</v>
      </c>
      <c r="AA5" s="68">
        <v>5</v>
      </c>
      <c r="AB5" s="68"/>
      <c r="AC5" s="69"/>
      <c r="AD5" s="75" t="s">
        <v>1841</v>
      </c>
      <c r="AE5" s="80" t="s">
        <v>2164</v>
      </c>
      <c r="AF5" s="75">
        <v>4169</v>
      </c>
      <c r="AG5" s="75">
        <v>3893</v>
      </c>
      <c r="AH5" s="75">
        <v>8066</v>
      </c>
      <c r="AI5" s="75">
        <v>13129</v>
      </c>
      <c r="AJ5" s="75"/>
      <c r="AK5" s="75" t="s">
        <v>2399</v>
      </c>
      <c r="AL5" s="75"/>
      <c r="AM5" s="75"/>
      <c r="AN5" s="75"/>
      <c r="AO5" s="77">
        <v>44634.936527777776</v>
      </c>
      <c r="AP5" s="82" t="str">
        <f>HYPERLINK("https://pbs.twimg.com/profile_banners/1503498235956150275/1647369914")</f>
        <v>https://pbs.twimg.com/profile_banners/1503498235956150275/1647369914</v>
      </c>
      <c r="AQ5" s="75" t="b">
        <v>1</v>
      </c>
      <c r="AR5" s="75" t="b">
        <v>0</v>
      </c>
      <c r="AS5" s="75" t="b">
        <v>1</v>
      </c>
      <c r="AT5" s="75"/>
      <c r="AU5" s="75">
        <v>1</v>
      </c>
      <c r="AV5" s="75"/>
      <c r="AW5" s="75" t="b">
        <v>0</v>
      </c>
      <c r="AX5" s="75" t="s">
        <v>2845</v>
      </c>
      <c r="AY5" s="82" t="str">
        <f>HYPERLINK("https://twitter.com/philo95857560")</f>
        <v>https://twitter.com/philo95857560</v>
      </c>
      <c r="AZ5" s="75" t="s">
        <v>65</v>
      </c>
      <c r="BA5" s="75" t="str">
        <f>REPLACE(INDEX(GroupVertices[Group],MATCH(Vertices[[#This Row],[Vertex]],GroupVertices[Vertex],0)),1,1,"")</f>
        <v>10</v>
      </c>
      <c r="BB5" s="45"/>
      <c r="BC5" s="46"/>
      <c r="BD5" s="45"/>
      <c r="BE5" s="46"/>
      <c r="BF5" s="45"/>
      <c r="BG5" s="46"/>
      <c r="BH5" s="45"/>
      <c r="BI5" s="46"/>
      <c r="BJ5" s="45"/>
      <c r="BK5" s="45"/>
      <c r="BL5" s="45"/>
      <c r="BM5" s="45"/>
      <c r="BN5" s="45"/>
      <c r="BO5" s="45"/>
      <c r="BP5" s="45"/>
      <c r="BQ5" s="45"/>
      <c r="BR5" s="45"/>
      <c r="BS5" s="45"/>
      <c r="BT5" s="45"/>
      <c r="BU5" s="2"/>
    </row>
    <row r="6" spans="1:73" ht="15">
      <c r="A6" s="61" t="s">
        <v>431</v>
      </c>
      <c r="B6" s="62"/>
      <c r="C6" s="62"/>
      <c r="D6" s="63">
        <v>104.54545454545455</v>
      </c>
      <c r="E6" s="65"/>
      <c r="F6" s="99" t="str">
        <f>HYPERLINK("https://pbs.twimg.com/profile_images/1438566068436488192/6ZI5f0K8_normal.png")</f>
        <v>https://pbs.twimg.com/profile_images/1438566068436488192/6ZI5f0K8_normal.png</v>
      </c>
      <c r="G6" s="62"/>
      <c r="H6" s="66" t="s">
        <v>431</v>
      </c>
      <c r="I6" s="67"/>
      <c r="J6" s="67"/>
      <c r="K6" s="66" t="s">
        <v>2848</v>
      </c>
      <c r="L6" s="70">
        <v>7.667807595222803</v>
      </c>
      <c r="M6" s="71">
        <v>5150.857421875</v>
      </c>
      <c r="N6" s="71">
        <v>6388.7412109375</v>
      </c>
      <c r="O6" s="72"/>
      <c r="P6" s="73"/>
      <c r="Q6" s="73"/>
      <c r="R6" s="85"/>
      <c r="S6" s="45">
        <v>5</v>
      </c>
      <c r="T6" s="45">
        <v>0</v>
      </c>
      <c r="U6" s="46">
        <v>3</v>
      </c>
      <c r="V6" s="46">
        <v>0.01665</v>
      </c>
      <c r="W6" s="46">
        <v>9E-06</v>
      </c>
      <c r="X6" s="46">
        <v>0.003104</v>
      </c>
      <c r="Y6" s="46">
        <v>0.2</v>
      </c>
      <c r="Z6" s="46">
        <v>0</v>
      </c>
      <c r="AA6" s="68">
        <v>6</v>
      </c>
      <c r="AB6" s="68"/>
      <c r="AC6" s="69"/>
      <c r="AD6" s="75" t="s">
        <v>1842</v>
      </c>
      <c r="AE6" s="80" t="s">
        <v>2165</v>
      </c>
      <c r="AF6" s="75">
        <v>12928</v>
      </c>
      <c r="AG6" s="75">
        <v>56459</v>
      </c>
      <c r="AH6" s="75">
        <v>28522</v>
      </c>
      <c r="AI6" s="75">
        <v>53586</v>
      </c>
      <c r="AJ6" s="75"/>
      <c r="AK6" s="75" t="s">
        <v>2400</v>
      </c>
      <c r="AL6" s="75"/>
      <c r="AM6" s="75"/>
      <c r="AN6" s="75"/>
      <c r="AO6" s="77">
        <v>40790.819861111115</v>
      </c>
      <c r="AP6" s="82" t="str">
        <f>HYPERLINK("https://pbs.twimg.com/profile_banners/367916454/1660821292")</f>
        <v>https://pbs.twimg.com/profile_banners/367916454/1660821292</v>
      </c>
      <c r="AQ6" s="75" t="b">
        <v>1</v>
      </c>
      <c r="AR6" s="75" t="b">
        <v>0</v>
      </c>
      <c r="AS6" s="75" t="b">
        <v>0</v>
      </c>
      <c r="AT6" s="75"/>
      <c r="AU6" s="75">
        <v>134</v>
      </c>
      <c r="AV6" s="82" t="str">
        <f>HYPERLINK("https://abs.twimg.com/images/themes/theme1/bg.png")</f>
        <v>https://abs.twimg.com/images/themes/theme1/bg.png</v>
      </c>
      <c r="AW6" s="75" t="b">
        <v>0</v>
      </c>
      <c r="AX6" s="75" t="s">
        <v>2845</v>
      </c>
      <c r="AY6" s="82" t="str">
        <f>HYPERLINK("https://twitter.com/p_duval")</f>
        <v>https://twitter.com/p_duval</v>
      </c>
      <c r="AZ6" s="75" t="s">
        <v>65</v>
      </c>
      <c r="BA6" s="75" t="str">
        <f>REPLACE(INDEX(GroupVertices[Group],MATCH(Vertices[[#This Row],[Vertex]],GroupVertices[Vertex],0)),1,1,"")</f>
        <v>10</v>
      </c>
      <c r="BB6" s="45"/>
      <c r="BC6" s="46"/>
      <c r="BD6" s="45"/>
      <c r="BE6" s="46"/>
      <c r="BF6" s="45"/>
      <c r="BG6" s="46"/>
      <c r="BH6" s="45"/>
      <c r="BI6" s="46"/>
      <c r="BJ6" s="45"/>
      <c r="BK6" s="45"/>
      <c r="BL6" s="45"/>
      <c r="BM6" s="45"/>
      <c r="BN6" s="45"/>
      <c r="BO6" s="45"/>
      <c r="BP6" s="45"/>
      <c r="BQ6" s="45"/>
      <c r="BR6" s="45"/>
      <c r="BS6" s="45"/>
      <c r="BT6" s="45"/>
      <c r="BU6" s="2"/>
    </row>
    <row r="7" spans="1:73" ht="15">
      <c r="A7" s="61" t="s">
        <v>318</v>
      </c>
      <c r="B7" s="62"/>
      <c r="C7" s="62"/>
      <c r="D7" s="63">
        <v>106.36363636363636</v>
      </c>
      <c r="E7" s="65"/>
      <c r="F7" s="99" t="str">
        <f>HYPERLINK("https://pbs.twimg.com/profile_images/1542240930727600129/arKVRBpB_normal.jpg")</f>
        <v>https://pbs.twimg.com/profile_images/1542240930727600129/arKVRBpB_normal.jpg</v>
      </c>
      <c r="G7" s="62"/>
      <c r="H7" s="66" t="s">
        <v>318</v>
      </c>
      <c r="I7" s="67"/>
      <c r="J7" s="67"/>
      <c r="K7" s="66" t="s">
        <v>2849</v>
      </c>
      <c r="L7" s="70">
        <v>10.334930633311924</v>
      </c>
      <c r="M7" s="71">
        <v>5010.607421875</v>
      </c>
      <c r="N7" s="71">
        <v>5953.16650390625</v>
      </c>
      <c r="O7" s="72"/>
      <c r="P7" s="73"/>
      <c r="Q7" s="73"/>
      <c r="R7" s="85"/>
      <c r="S7" s="45">
        <v>4</v>
      </c>
      <c r="T7" s="45">
        <v>3</v>
      </c>
      <c r="U7" s="46">
        <v>4.2</v>
      </c>
      <c r="V7" s="46">
        <v>0.021407</v>
      </c>
      <c r="W7" s="46">
        <v>1.2E-05</v>
      </c>
      <c r="X7" s="46">
        <v>0.003312</v>
      </c>
      <c r="Y7" s="46">
        <v>0.2857142857142857</v>
      </c>
      <c r="Z7" s="46">
        <v>0</v>
      </c>
      <c r="AA7" s="68">
        <v>7</v>
      </c>
      <c r="AB7" s="68"/>
      <c r="AC7" s="69"/>
      <c r="AD7" s="75" t="s">
        <v>1843</v>
      </c>
      <c r="AE7" s="80" t="s">
        <v>2166</v>
      </c>
      <c r="AF7" s="75">
        <v>497</v>
      </c>
      <c r="AG7" s="75">
        <v>398</v>
      </c>
      <c r="AH7" s="75">
        <v>1150</v>
      </c>
      <c r="AI7" s="75">
        <v>1304</v>
      </c>
      <c r="AJ7" s="75"/>
      <c r="AK7" s="75" t="s">
        <v>2401</v>
      </c>
      <c r="AL7" s="75"/>
      <c r="AM7" s="75"/>
      <c r="AN7" s="75"/>
      <c r="AO7" s="77">
        <v>44741.84496527778</v>
      </c>
      <c r="AP7" s="82" t="str">
        <f>HYPERLINK("https://pbs.twimg.com/profile_banners/1542240495845478400/1656589874")</f>
        <v>https://pbs.twimg.com/profile_banners/1542240495845478400/1656589874</v>
      </c>
      <c r="AQ7" s="75" t="b">
        <v>1</v>
      </c>
      <c r="AR7" s="75" t="b">
        <v>0</v>
      </c>
      <c r="AS7" s="75" t="b">
        <v>0</v>
      </c>
      <c r="AT7" s="75"/>
      <c r="AU7" s="75">
        <v>0</v>
      </c>
      <c r="AV7" s="75"/>
      <c r="AW7" s="75" t="b">
        <v>0</v>
      </c>
      <c r="AX7" s="75" t="s">
        <v>2845</v>
      </c>
      <c r="AY7" s="82" t="str">
        <f>HYPERLINK("https://twitter.com/spydercof")</f>
        <v>https://twitter.com/spydercof</v>
      </c>
      <c r="AZ7" s="75" t="s">
        <v>66</v>
      </c>
      <c r="BA7" s="75" t="str">
        <f>REPLACE(INDEX(GroupVertices[Group],MATCH(Vertices[[#This Row],[Vertex]],GroupVertices[Vertex],0)),1,1,"")</f>
        <v>10</v>
      </c>
      <c r="BB7" s="45">
        <v>0</v>
      </c>
      <c r="BC7" s="46">
        <v>0</v>
      </c>
      <c r="BD7" s="45">
        <v>1</v>
      </c>
      <c r="BE7" s="46">
        <v>2.7777777777777777</v>
      </c>
      <c r="BF7" s="45">
        <v>0</v>
      </c>
      <c r="BG7" s="46">
        <v>0</v>
      </c>
      <c r="BH7" s="45">
        <v>35</v>
      </c>
      <c r="BI7" s="46">
        <v>97.22222222222223</v>
      </c>
      <c r="BJ7" s="45">
        <v>36</v>
      </c>
      <c r="BK7" s="45"/>
      <c r="BL7" s="45"/>
      <c r="BM7" s="45"/>
      <c r="BN7" s="45"/>
      <c r="BO7" s="45" t="s">
        <v>792</v>
      </c>
      <c r="BP7" s="45" t="s">
        <v>792</v>
      </c>
      <c r="BQ7" s="110" t="s">
        <v>4110</v>
      </c>
      <c r="BR7" s="110" t="s">
        <v>4110</v>
      </c>
      <c r="BS7" s="110" t="s">
        <v>4248</v>
      </c>
      <c r="BT7" s="110" t="s">
        <v>4248</v>
      </c>
      <c r="BU7" s="2"/>
    </row>
    <row r="8" spans="1:73" ht="15">
      <c r="A8" s="61" t="s">
        <v>258</v>
      </c>
      <c r="B8" s="62"/>
      <c r="C8" s="62"/>
      <c r="D8" s="63">
        <v>100</v>
      </c>
      <c r="E8" s="65"/>
      <c r="F8" s="99" t="str">
        <f>HYPERLINK("https://pbs.twimg.com/profile_images/1520515742176890884/IlPIjffK_normal.jpg")</f>
        <v>https://pbs.twimg.com/profile_images/1520515742176890884/IlPIjffK_normal.jpg</v>
      </c>
      <c r="G8" s="62"/>
      <c r="H8" s="66" t="s">
        <v>258</v>
      </c>
      <c r="I8" s="67"/>
      <c r="J8" s="67"/>
      <c r="K8" s="66" t="s">
        <v>2850</v>
      </c>
      <c r="L8" s="70">
        <v>1</v>
      </c>
      <c r="M8" s="71">
        <v>2890.928955078125</v>
      </c>
      <c r="N8" s="71">
        <v>9358.0380859375</v>
      </c>
      <c r="O8" s="72"/>
      <c r="P8" s="73"/>
      <c r="Q8" s="73"/>
      <c r="R8" s="85"/>
      <c r="S8" s="45">
        <v>0</v>
      </c>
      <c r="T8" s="45">
        <v>1</v>
      </c>
      <c r="U8" s="46">
        <v>0</v>
      </c>
      <c r="V8" s="46">
        <v>0.071498</v>
      </c>
      <c r="W8" s="46">
        <v>0.030733</v>
      </c>
      <c r="X8" s="46">
        <v>0.002664</v>
      </c>
      <c r="Y8" s="46">
        <v>0</v>
      </c>
      <c r="Z8" s="46">
        <v>0</v>
      </c>
      <c r="AA8" s="68">
        <v>8</v>
      </c>
      <c r="AB8" s="68"/>
      <c r="AC8" s="69"/>
      <c r="AD8" s="75" t="s">
        <v>1844</v>
      </c>
      <c r="AE8" s="80" t="s">
        <v>2167</v>
      </c>
      <c r="AF8" s="75">
        <v>501</v>
      </c>
      <c r="AG8" s="75">
        <v>92</v>
      </c>
      <c r="AH8" s="75">
        <v>1137</v>
      </c>
      <c r="AI8" s="75">
        <v>18</v>
      </c>
      <c r="AJ8" s="75"/>
      <c r="AK8" s="75"/>
      <c r="AL8" s="75"/>
      <c r="AM8" s="75"/>
      <c r="AN8" s="75"/>
      <c r="AO8" s="77">
        <v>44425.691516203704</v>
      </c>
      <c r="AP8" s="75"/>
      <c r="AQ8" s="75" t="b">
        <v>1</v>
      </c>
      <c r="AR8" s="75" t="b">
        <v>0</v>
      </c>
      <c r="AS8" s="75" t="b">
        <v>0</v>
      </c>
      <c r="AT8" s="75"/>
      <c r="AU8" s="75">
        <v>0</v>
      </c>
      <c r="AV8" s="75"/>
      <c r="AW8" s="75" t="b">
        <v>0</v>
      </c>
      <c r="AX8" s="75" t="s">
        <v>2845</v>
      </c>
      <c r="AY8" s="82" t="str">
        <f>HYPERLINK("https://twitter.com/dinara59920357t")</f>
        <v>https://twitter.com/dinara59920357t</v>
      </c>
      <c r="AZ8" s="75" t="s">
        <v>66</v>
      </c>
      <c r="BA8" s="75" t="str">
        <f>REPLACE(INDEX(GroupVertices[Group],MATCH(Vertices[[#This Row],[Vertex]],GroupVertices[Vertex],0)),1,1,"")</f>
        <v>3</v>
      </c>
      <c r="BB8" s="45">
        <v>0</v>
      </c>
      <c r="BC8" s="46">
        <v>0</v>
      </c>
      <c r="BD8" s="45">
        <v>0</v>
      </c>
      <c r="BE8" s="46">
        <v>0</v>
      </c>
      <c r="BF8" s="45">
        <v>0</v>
      </c>
      <c r="BG8" s="46">
        <v>0</v>
      </c>
      <c r="BH8" s="45">
        <v>12</v>
      </c>
      <c r="BI8" s="46">
        <v>100</v>
      </c>
      <c r="BJ8" s="45">
        <v>12</v>
      </c>
      <c r="BK8" s="45"/>
      <c r="BL8" s="45"/>
      <c r="BM8" s="45"/>
      <c r="BN8" s="45"/>
      <c r="BO8" s="45" t="s">
        <v>793</v>
      </c>
      <c r="BP8" s="45" t="s">
        <v>793</v>
      </c>
      <c r="BQ8" s="110" t="s">
        <v>4443</v>
      </c>
      <c r="BR8" s="110" t="s">
        <v>4443</v>
      </c>
      <c r="BS8" s="110" t="s">
        <v>4565</v>
      </c>
      <c r="BT8" s="110" t="s">
        <v>4565</v>
      </c>
      <c r="BU8" s="2"/>
    </row>
    <row r="9" spans="1:73" ht="15">
      <c r="A9" s="61" t="s">
        <v>414</v>
      </c>
      <c r="B9" s="62"/>
      <c r="C9" s="62"/>
      <c r="D9" s="63">
        <v>1000</v>
      </c>
      <c r="E9" s="65"/>
      <c r="F9" s="99" t="str">
        <f>HYPERLINK("https://pbs.twimg.com/profile_images/1560409371443609601/2g7dKEs0_normal.jpg")</f>
        <v>https://pbs.twimg.com/profile_images/1560409371443609601/2g7dKEs0_normal.jpg</v>
      </c>
      <c r="G9" s="62"/>
      <c r="H9" s="66" t="s">
        <v>414</v>
      </c>
      <c r="I9" s="67"/>
      <c r="J9" s="67"/>
      <c r="K9" s="66" t="s">
        <v>2851</v>
      </c>
      <c r="L9" s="70">
        <v>5884.228901518253</v>
      </c>
      <c r="M9" s="71">
        <v>2826.06201171875</v>
      </c>
      <c r="N9" s="71">
        <v>8063.12109375</v>
      </c>
      <c r="O9" s="72"/>
      <c r="P9" s="73"/>
      <c r="Q9" s="73"/>
      <c r="R9" s="85"/>
      <c r="S9" s="45">
        <v>17</v>
      </c>
      <c r="T9" s="45">
        <v>2</v>
      </c>
      <c r="U9" s="46">
        <v>2647</v>
      </c>
      <c r="V9" s="46">
        <v>0.09249</v>
      </c>
      <c r="W9" s="46">
        <v>0.173193</v>
      </c>
      <c r="X9" s="46">
        <v>0.008754</v>
      </c>
      <c r="Y9" s="46">
        <v>0.007352941176470588</v>
      </c>
      <c r="Z9" s="46">
        <v>0</v>
      </c>
      <c r="AA9" s="68">
        <v>9</v>
      </c>
      <c r="AB9" s="68"/>
      <c r="AC9" s="69"/>
      <c r="AD9" s="75" t="s">
        <v>1845</v>
      </c>
      <c r="AE9" s="80" t="s">
        <v>1738</v>
      </c>
      <c r="AF9" s="75">
        <v>572</v>
      </c>
      <c r="AG9" s="75">
        <v>1047</v>
      </c>
      <c r="AH9" s="75">
        <v>1815</v>
      </c>
      <c r="AI9" s="75">
        <v>6954</v>
      </c>
      <c r="AJ9" s="75"/>
      <c r="AK9" s="75" t="s">
        <v>2402</v>
      </c>
      <c r="AL9" s="75"/>
      <c r="AM9" s="75"/>
      <c r="AN9" s="75"/>
      <c r="AO9" s="77">
        <v>44647.99899305555</v>
      </c>
      <c r="AP9" s="82" t="str">
        <f>HYPERLINK("https://pbs.twimg.com/profile_banners/1508231997889601545/1661727749")</f>
        <v>https://pbs.twimg.com/profile_banners/1508231997889601545/1661727749</v>
      </c>
      <c r="AQ9" s="75" t="b">
        <v>1</v>
      </c>
      <c r="AR9" s="75" t="b">
        <v>0</v>
      </c>
      <c r="AS9" s="75" t="b">
        <v>1</v>
      </c>
      <c r="AT9" s="75"/>
      <c r="AU9" s="75">
        <v>2</v>
      </c>
      <c r="AV9" s="75"/>
      <c r="AW9" s="75" t="b">
        <v>0</v>
      </c>
      <c r="AX9" s="75" t="s">
        <v>2845</v>
      </c>
      <c r="AY9" s="82" t="str">
        <f>HYPERLINK("https://twitter.com/amaresyev")</f>
        <v>https://twitter.com/amaresyev</v>
      </c>
      <c r="AZ9" s="75" t="s">
        <v>66</v>
      </c>
      <c r="BA9" s="75" t="str">
        <f>REPLACE(INDEX(GroupVertices[Group],MATCH(Vertices[[#This Row],[Vertex]],GroupVertices[Vertex],0)),1,1,"")</f>
        <v>3</v>
      </c>
      <c r="BB9" s="45">
        <v>0</v>
      </c>
      <c r="BC9" s="46">
        <v>0</v>
      </c>
      <c r="BD9" s="45">
        <v>0</v>
      </c>
      <c r="BE9" s="46">
        <v>0</v>
      </c>
      <c r="BF9" s="45">
        <v>0</v>
      </c>
      <c r="BG9" s="46">
        <v>0</v>
      </c>
      <c r="BH9" s="45">
        <v>193</v>
      </c>
      <c r="BI9" s="46">
        <v>100</v>
      </c>
      <c r="BJ9" s="45">
        <v>193</v>
      </c>
      <c r="BK9" s="45"/>
      <c r="BL9" s="45"/>
      <c r="BM9" s="45"/>
      <c r="BN9" s="45"/>
      <c r="BO9" s="45" t="s">
        <v>4409</v>
      </c>
      <c r="BP9" s="45" t="s">
        <v>4423</v>
      </c>
      <c r="BQ9" s="110" t="s">
        <v>4444</v>
      </c>
      <c r="BR9" s="110" t="s">
        <v>4539</v>
      </c>
      <c r="BS9" s="110" t="s">
        <v>4566</v>
      </c>
      <c r="BT9" s="110" t="s">
        <v>4653</v>
      </c>
      <c r="BU9" s="2"/>
    </row>
    <row r="10" spans="1:73" ht="15">
      <c r="A10" s="61" t="s">
        <v>259</v>
      </c>
      <c r="B10" s="62"/>
      <c r="C10" s="62"/>
      <c r="D10" s="63">
        <v>100</v>
      </c>
      <c r="E10" s="65"/>
      <c r="F10" s="99" t="str">
        <f>HYPERLINK("https://abs.twimg.com/sticky/default_profile_images/default_profile_normal.png")</f>
        <v>https://abs.twimg.com/sticky/default_profile_images/default_profile_normal.png</v>
      </c>
      <c r="G10" s="62"/>
      <c r="H10" s="66" t="s">
        <v>259</v>
      </c>
      <c r="I10" s="67"/>
      <c r="J10" s="67"/>
      <c r="K10" s="66" t="s">
        <v>2852</v>
      </c>
      <c r="L10" s="70">
        <v>1</v>
      </c>
      <c r="M10" s="71">
        <v>8255.271484375</v>
      </c>
      <c r="N10" s="71">
        <v>3461.1923828125</v>
      </c>
      <c r="O10" s="72"/>
      <c r="P10" s="73"/>
      <c r="Q10" s="73"/>
      <c r="R10" s="85"/>
      <c r="S10" s="45">
        <v>0</v>
      </c>
      <c r="T10" s="45">
        <v>1</v>
      </c>
      <c r="U10" s="46">
        <v>0</v>
      </c>
      <c r="V10" s="46">
        <v>0.003058</v>
      </c>
      <c r="W10" s="46">
        <v>0</v>
      </c>
      <c r="X10" s="46">
        <v>0.002836</v>
      </c>
      <c r="Y10" s="46">
        <v>0</v>
      </c>
      <c r="Z10" s="46">
        <v>0</v>
      </c>
      <c r="AA10" s="68">
        <v>10</v>
      </c>
      <c r="AB10" s="68"/>
      <c r="AC10" s="69"/>
      <c r="AD10" s="75" t="s">
        <v>1846</v>
      </c>
      <c r="AE10" s="80" t="s">
        <v>2168</v>
      </c>
      <c r="AF10" s="75">
        <v>3</v>
      </c>
      <c r="AG10" s="75">
        <v>4</v>
      </c>
      <c r="AH10" s="75">
        <v>404</v>
      </c>
      <c r="AI10" s="75">
        <v>4</v>
      </c>
      <c r="AJ10" s="75"/>
      <c r="AK10" s="75"/>
      <c r="AL10" s="75"/>
      <c r="AM10" s="75"/>
      <c r="AN10" s="75"/>
      <c r="AO10" s="77">
        <v>42607.976064814815</v>
      </c>
      <c r="AP10" s="75"/>
      <c r="AQ10" s="75" t="b">
        <v>1</v>
      </c>
      <c r="AR10" s="75" t="b">
        <v>1</v>
      </c>
      <c r="AS10" s="75" t="b">
        <v>0</v>
      </c>
      <c r="AT10" s="75"/>
      <c r="AU10" s="75">
        <v>4</v>
      </c>
      <c r="AV10" s="75"/>
      <c r="AW10" s="75" t="b">
        <v>0</v>
      </c>
      <c r="AX10" s="75" t="s">
        <v>2845</v>
      </c>
      <c r="AY10" s="82" t="str">
        <f>HYPERLINK("https://twitter.com/davidbu85029668")</f>
        <v>https://twitter.com/davidbu85029668</v>
      </c>
      <c r="AZ10" s="75" t="s">
        <v>66</v>
      </c>
      <c r="BA10" s="75" t="str">
        <f>REPLACE(INDEX(GroupVertices[Group],MATCH(Vertices[[#This Row],[Vertex]],GroupVertices[Vertex],0)),1,1,"")</f>
        <v>59</v>
      </c>
      <c r="BB10" s="45">
        <v>1</v>
      </c>
      <c r="BC10" s="46">
        <v>4</v>
      </c>
      <c r="BD10" s="45">
        <v>1</v>
      </c>
      <c r="BE10" s="46">
        <v>4</v>
      </c>
      <c r="BF10" s="45">
        <v>0</v>
      </c>
      <c r="BG10" s="46">
        <v>0</v>
      </c>
      <c r="BH10" s="45">
        <v>23</v>
      </c>
      <c r="BI10" s="46">
        <v>92</v>
      </c>
      <c r="BJ10" s="45">
        <v>25</v>
      </c>
      <c r="BK10" s="45" t="s">
        <v>4393</v>
      </c>
      <c r="BL10" s="45" t="s">
        <v>4393</v>
      </c>
      <c r="BM10" s="45" t="s">
        <v>783</v>
      </c>
      <c r="BN10" s="45" t="s">
        <v>783</v>
      </c>
      <c r="BO10" s="45" t="s">
        <v>794</v>
      </c>
      <c r="BP10" s="45" t="s">
        <v>794</v>
      </c>
      <c r="BQ10" s="110" t="s">
        <v>4445</v>
      </c>
      <c r="BR10" s="110" t="s">
        <v>4445</v>
      </c>
      <c r="BS10" s="110" t="s">
        <v>4567</v>
      </c>
      <c r="BT10" s="110" t="s">
        <v>4567</v>
      </c>
      <c r="BU10" s="2"/>
    </row>
    <row r="11" spans="1:73" ht="15">
      <c r="A11" s="61" t="s">
        <v>304</v>
      </c>
      <c r="B11" s="62"/>
      <c r="C11" s="62"/>
      <c r="D11" s="63">
        <v>100</v>
      </c>
      <c r="E11" s="65"/>
      <c r="F11" s="99" t="str">
        <f>HYPERLINK("https://pbs.twimg.com/profile_images/1503799462816362496/bFBp6Bca_normal.jpg")</f>
        <v>https://pbs.twimg.com/profile_images/1503799462816362496/bFBp6Bca_normal.jpg</v>
      </c>
      <c r="G11" s="62"/>
      <c r="H11" s="66" t="s">
        <v>304</v>
      </c>
      <c r="I11" s="67"/>
      <c r="J11" s="67"/>
      <c r="K11" s="66" t="s">
        <v>2853</v>
      </c>
      <c r="L11" s="70">
        <v>1</v>
      </c>
      <c r="M11" s="71">
        <v>8255.271484375</v>
      </c>
      <c r="N11" s="71">
        <v>3204.8076171875</v>
      </c>
      <c r="O11" s="72"/>
      <c r="P11" s="73"/>
      <c r="Q11" s="73"/>
      <c r="R11" s="85"/>
      <c r="S11" s="45">
        <v>2</v>
      </c>
      <c r="T11" s="45">
        <v>1</v>
      </c>
      <c r="U11" s="46">
        <v>0</v>
      </c>
      <c r="V11" s="46">
        <v>0.003058</v>
      </c>
      <c r="W11" s="46">
        <v>0</v>
      </c>
      <c r="X11" s="46">
        <v>0.003261</v>
      </c>
      <c r="Y11" s="46">
        <v>0</v>
      </c>
      <c r="Z11" s="46">
        <v>0</v>
      </c>
      <c r="AA11" s="68">
        <v>11</v>
      </c>
      <c r="AB11" s="68"/>
      <c r="AC11" s="69"/>
      <c r="AD11" s="75" t="s">
        <v>1847</v>
      </c>
      <c r="AE11" s="80" t="s">
        <v>1675</v>
      </c>
      <c r="AF11" s="75">
        <v>17</v>
      </c>
      <c r="AG11" s="75">
        <v>55</v>
      </c>
      <c r="AH11" s="75">
        <v>952</v>
      </c>
      <c r="AI11" s="75">
        <v>420</v>
      </c>
      <c r="AJ11" s="75"/>
      <c r="AK11" s="75" t="s">
        <v>2403</v>
      </c>
      <c r="AL11" s="75"/>
      <c r="AM11" s="75"/>
      <c r="AN11" s="75"/>
      <c r="AO11" s="77">
        <v>44635.764328703706</v>
      </c>
      <c r="AP11" s="75"/>
      <c r="AQ11" s="75" t="b">
        <v>1</v>
      </c>
      <c r="AR11" s="75" t="b">
        <v>0</v>
      </c>
      <c r="AS11" s="75" t="b">
        <v>0</v>
      </c>
      <c r="AT11" s="75"/>
      <c r="AU11" s="75">
        <v>7</v>
      </c>
      <c r="AV11" s="75"/>
      <c r="AW11" s="75" t="b">
        <v>0</v>
      </c>
      <c r="AX11" s="75" t="s">
        <v>2845</v>
      </c>
      <c r="AY11" s="82" t="str">
        <f>HYPERLINK("https://twitter.com/ipurdley")</f>
        <v>https://twitter.com/ipurdley</v>
      </c>
      <c r="AZ11" s="75" t="s">
        <v>66</v>
      </c>
      <c r="BA11" s="75" t="str">
        <f>REPLACE(INDEX(GroupVertices[Group],MATCH(Vertices[[#This Row],[Vertex]],GroupVertices[Vertex],0)),1,1,"")</f>
        <v>59</v>
      </c>
      <c r="BB11" s="45">
        <v>6</v>
      </c>
      <c r="BC11" s="46">
        <v>2.4096385542168677</v>
      </c>
      <c r="BD11" s="45">
        <v>18</v>
      </c>
      <c r="BE11" s="46">
        <v>7.228915662650603</v>
      </c>
      <c r="BF11" s="45">
        <v>0</v>
      </c>
      <c r="BG11" s="46">
        <v>0</v>
      </c>
      <c r="BH11" s="45">
        <v>225</v>
      </c>
      <c r="BI11" s="46">
        <v>90.36144578313252</v>
      </c>
      <c r="BJ11" s="45">
        <v>249</v>
      </c>
      <c r="BK11" s="45" t="s">
        <v>4394</v>
      </c>
      <c r="BL11" s="45" t="s">
        <v>4394</v>
      </c>
      <c r="BM11" s="45" t="s">
        <v>783</v>
      </c>
      <c r="BN11" s="45" t="s">
        <v>783</v>
      </c>
      <c r="BO11" s="45" t="s">
        <v>4410</v>
      </c>
      <c r="BP11" s="45" t="s">
        <v>4424</v>
      </c>
      <c r="BQ11" s="110" t="s">
        <v>4446</v>
      </c>
      <c r="BR11" s="110" t="s">
        <v>4540</v>
      </c>
      <c r="BS11" s="110" t="s">
        <v>4568</v>
      </c>
      <c r="BT11" s="110" t="s">
        <v>4568</v>
      </c>
      <c r="BU11" s="2"/>
    </row>
    <row r="12" spans="1:73" ht="15">
      <c r="A12" s="61" t="s">
        <v>260</v>
      </c>
      <c r="B12" s="62"/>
      <c r="C12" s="62"/>
      <c r="D12" s="63">
        <v>109.0909090909091</v>
      </c>
      <c r="E12" s="65"/>
      <c r="F12" s="99" t="str">
        <f>HYPERLINK("https://pbs.twimg.com/profile_images/502141633870462976/P9rJm9Fl_normal.jpeg")</f>
        <v>https://pbs.twimg.com/profile_images/502141633870462976/P9rJm9Fl_normal.jpeg</v>
      </c>
      <c r="G12" s="62"/>
      <c r="H12" s="66" t="s">
        <v>260</v>
      </c>
      <c r="I12" s="67"/>
      <c r="J12" s="67"/>
      <c r="K12" s="66" t="s">
        <v>2854</v>
      </c>
      <c r="L12" s="70">
        <v>14.335615190445607</v>
      </c>
      <c r="M12" s="71">
        <v>7328.53515625</v>
      </c>
      <c r="N12" s="71">
        <v>8396.595703125</v>
      </c>
      <c r="O12" s="72"/>
      <c r="P12" s="73"/>
      <c r="Q12" s="73"/>
      <c r="R12" s="85"/>
      <c r="S12" s="45">
        <v>0</v>
      </c>
      <c r="T12" s="45">
        <v>3</v>
      </c>
      <c r="U12" s="46">
        <v>6</v>
      </c>
      <c r="V12" s="46">
        <v>0.009174</v>
      </c>
      <c r="W12" s="46">
        <v>0</v>
      </c>
      <c r="X12" s="46">
        <v>0.003844</v>
      </c>
      <c r="Y12" s="46">
        <v>0</v>
      </c>
      <c r="Z12" s="46">
        <v>0</v>
      </c>
      <c r="AA12" s="68">
        <v>12</v>
      </c>
      <c r="AB12" s="68"/>
      <c r="AC12" s="69"/>
      <c r="AD12" s="75" t="s">
        <v>1848</v>
      </c>
      <c r="AE12" s="80" t="s">
        <v>2169</v>
      </c>
      <c r="AF12" s="75">
        <v>233</v>
      </c>
      <c r="AG12" s="75">
        <v>159</v>
      </c>
      <c r="AH12" s="75">
        <v>5187</v>
      </c>
      <c r="AI12" s="75">
        <v>10264</v>
      </c>
      <c r="AJ12" s="75"/>
      <c r="AK12" s="75" t="s">
        <v>2404</v>
      </c>
      <c r="AL12" s="75"/>
      <c r="AM12" s="75"/>
      <c r="AN12" s="75"/>
      <c r="AO12" s="77">
        <v>40530.00074074074</v>
      </c>
      <c r="AP12" s="75"/>
      <c r="AQ12" s="75" t="b">
        <v>1</v>
      </c>
      <c r="AR12" s="75" t="b">
        <v>0</v>
      </c>
      <c r="AS12" s="75" t="b">
        <v>1</v>
      </c>
      <c r="AT12" s="75"/>
      <c r="AU12" s="75">
        <v>2</v>
      </c>
      <c r="AV12" s="82" t="str">
        <f>HYPERLINK("https://abs.twimg.com/images/themes/theme1/bg.png")</f>
        <v>https://abs.twimg.com/images/themes/theme1/bg.png</v>
      </c>
      <c r="AW12" s="75" t="b">
        <v>0</v>
      </c>
      <c r="AX12" s="75" t="s">
        <v>2845</v>
      </c>
      <c r="AY12" s="82" t="str">
        <f>HYPERLINK("https://twitter.com/zivkovasiljev")</f>
        <v>https://twitter.com/zivkovasiljev</v>
      </c>
      <c r="AZ12" s="75" t="s">
        <v>66</v>
      </c>
      <c r="BA12" s="75" t="str">
        <f>REPLACE(INDEX(GroupVertices[Group],MATCH(Vertices[[#This Row],[Vertex]],GroupVertices[Vertex],0)),1,1,"")</f>
        <v>30</v>
      </c>
      <c r="BB12" s="45">
        <v>1</v>
      </c>
      <c r="BC12" s="46">
        <v>5.555555555555555</v>
      </c>
      <c r="BD12" s="45">
        <v>0</v>
      </c>
      <c r="BE12" s="46">
        <v>0</v>
      </c>
      <c r="BF12" s="45">
        <v>0</v>
      </c>
      <c r="BG12" s="46">
        <v>0</v>
      </c>
      <c r="BH12" s="45">
        <v>17</v>
      </c>
      <c r="BI12" s="46">
        <v>94.44444444444444</v>
      </c>
      <c r="BJ12" s="45">
        <v>18</v>
      </c>
      <c r="BK12" s="45"/>
      <c r="BL12" s="45"/>
      <c r="BM12" s="45"/>
      <c r="BN12" s="45"/>
      <c r="BO12" s="45" t="s">
        <v>795</v>
      </c>
      <c r="BP12" s="45" t="s">
        <v>795</v>
      </c>
      <c r="BQ12" s="110" t="s">
        <v>4447</v>
      </c>
      <c r="BR12" s="110" t="s">
        <v>4447</v>
      </c>
      <c r="BS12" s="110" t="s">
        <v>4569</v>
      </c>
      <c r="BT12" s="110" t="s">
        <v>4569</v>
      </c>
      <c r="BU12" s="2"/>
    </row>
    <row r="13" spans="1:73" ht="15">
      <c r="A13" s="61" t="s">
        <v>432</v>
      </c>
      <c r="B13" s="62"/>
      <c r="C13" s="62"/>
      <c r="D13" s="63">
        <v>100</v>
      </c>
      <c r="E13" s="65"/>
      <c r="F13" s="99" t="str">
        <f>HYPERLINK("https://pbs.twimg.com/profile_images/1497616001931767815/g25S0OON_normal.jpg")</f>
        <v>https://pbs.twimg.com/profile_images/1497616001931767815/g25S0OON_normal.jpg</v>
      </c>
      <c r="G13" s="62"/>
      <c r="H13" s="66" t="s">
        <v>432</v>
      </c>
      <c r="I13" s="67"/>
      <c r="J13" s="67"/>
      <c r="K13" s="66" t="s">
        <v>2855</v>
      </c>
      <c r="L13" s="70">
        <v>1</v>
      </c>
      <c r="M13" s="71">
        <v>7328.53515625</v>
      </c>
      <c r="N13" s="71">
        <v>9037.5576171875</v>
      </c>
      <c r="O13" s="72"/>
      <c r="P13" s="73"/>
      <c r="Q13" s="73"/>
      <c r="R13" s="85"/>
      <c r="S13" s="45">
        <v>1</v>
      </c>
      <c r="T13" s="45">
        <v>0</v>
      </c>
      <c r="U13" s="46">
        <v>0</v>
      </c>
      <c r="V13" s="46">
        <v>0.005505</v>
      </c>
      <c r="W13" s="46">
        <v>0</v>
      </c>
      <c r="X13" s="46">
        <v>0.002784</v>
      </c>
      <c r="Y13" s="46">
        <v>0</v>
      </c>
      <c r="Z13" s="46">
        <v>0</v>
      </c>
      <c r="AA13" s="68">
        <v>13</v>
      </c>
      <c r="AB13" s="68"/>
      <c r="AC13" s="69"/>
      <c r="AD13" s="75" t="s">
        <v>1849</v>
      </c>
      <c r="AE13" s="80" t="s">
        <v>2170</v>
      </c>
      <c r="AF13" s="75">
        <v>1010</v>
      </c>
      <c r="AG13" s="75">
        <v>10250</v>
      </c>
      <c r="AH13" s="75">
        <v>17643</v>
      </c>
      <c r="AI13" s="75">
        <v>8421</v>
      </c>
      <c r="AJ13" s="75"/>
      <c r="AK13" s="75" t="s">
        <v>2405</v>
      </c>
      <c r="AL13" s="75"/>
      <c r="AM13" s="75"/>
      <c r="AN13" s="75"/>
      <c r="AO13" s="77">
        <v>41577.74798611111</v>
      </c>
      <c r="AP13" s="82" t="str">
        <f>HYPERLINK("https://pbs.twimg.com/profile_banners/2165211751/1537640614")</f>
        <v>https://pbs.twimg.com/profile_banners/2165211751/1537640614</v>
      </c>
      <c r="AQ13" s="75" t="b">
        <v>1</v>
      </c>
      <c r="AR13" s="75" t="b">
        <v>0</v>
      </c>
      <c r="AS13" s="75" t="b">
        <v>1</v>
      </c>
      <c r="AT13" s="75"/>
      <c r="AU13" s="75">
        <v>173</v>
      </c>
      <c r="AV13" s="82" t="str">
        <f>HYPERLINK("https://abs.twimg.com/images/themes/theme1/bg.png")</f>
        <v>https://abs.twimg.com/images/themes/theme1/bg.png</v>
      </c>
      <c r="AW13" s="75" t="b">
        <v>0</v>
      </c>
      <c r="AX13" s="75" t="s">
        <v>2845</v>
      </c>
      <c r="AY13" s="82" t="str">
        <f>HYPERLINK("https://twitter.com/_markpetchey")</f>
        <v>https://twitter.com/_markpetchey</v>
      </c>
      <c r="AZ13" s="75" t="s">
        <v>65</v>
      </c>
      <c r="BA13" s="75" t="str">
        <f>REPLACE(INDEX(GroupVertices[Group],MATCH(Vertices[[#This Row],[Vertex]],GroupVertices[Vertex],0)),1,1,"")</f>
        <v>30</v>
      </c>
      <c r="BB13" s="45"/>
      <c r="BC13" s="46"/>
      <c r="BD13" s="45"/>
      <c r="BE13" s="46"/>
      <c r="BF13" s="45"/>
      <c r="BG13" s="46"/>
      <c r="BH13" s="45"/>
      <c r="BI13" s="46"/>
      <c r="BJ13" s="45"/>
      <c r="BK13" s="45"/>
      <c r="BL13" s="45"/>
      <c r="BM13" s="45"/>
      <c r="BN13" s="45"/>
      <c r="BO13" s="45"/>
      <c r="BP13" s="45"/>
      <c r="BQ13" s="45"/>
      <c r="BR13" s="45"/>
      <c r="BS13" s="45"/>
      <c r="BT13" s="45"/>
      <c r="BU13" s="2"/>
    </row>
    <row r="14" spans="1:73" ht="15">
      <c r="A14" s="61" t="s">
        <v>433</v>
      </c>
      <c r="B14" s="62"/>
      <c r="C14" s="62"/>
      <c r="D14" s="63">
        <v>100</v>
      </c>
      <c r="E14" s="65"/>
      <c r="F14" s="99" t="str">
        <f>HYPERLINK("https://pbs.twimg.com/profile_images/1565567974613843970/xed7fSKh_normal.png")</f>
        <v>https://pbs.twimg.com/profile_images/1565567974613843970/xed7fSKh_normal.png</v>
      </c>
      <c r="G14" s="62"/>
      <c r="H14" s="66" t="s">
        <v>433</v>
      </c>
      <c r="I14" s="67"/>
      <c r="J14" s="67"/>
      <c r="K14" s="66" t="s">
        <v>2856</v>
      </c>
      <c r="L14" s="70">
        <v>1</v>
      </c>
      <c r="M14" s="71">
        <v>7157.82080078125</v>
      </c>
      <c r="N14" s="71">
        <v>9037.5576171875</v>
      </c>
      <c r="O14" s="72"/>
      <c r="P14" s="73"/>
      <c r="Q14" s="73"/>
      <c r="R14" s="85"/>
      <c r="S14" s="45">
        <v>1</v>
      </c>
      <c r="T14" s="45">
        <v>0</v>
      </c>
      <c r="U14" s="46">
        <v>0</v>
      </c>
      <c r="V14" s="46">
        <v>0.005505</v>
      </c>
      <c r="W14" s="46">
        <v>0</v>
      </c>
      <c r="X14" s="46">
        <v>0.002784</v>
      </c>
      <c r="Y14" s="46">
        <v>0</v>
      </c>
      <c r="Z14" s="46">
        <v>0</v>
      </c>
      <c r="AA14" s="68">
        <v>14</v>
      </c>
      <c r="AB14" s="68"/>
      <c r="AC14" s="69"/>
      <c r="AD14" s="75" t="s">
        <v>1850</v>
      </c>
      <c r="AE14" s="80" t="s">
        <v>2171</v>
      </c>
      <c r="AF14" s="75">
        <v>1074</v>
      </c>
      <c r="AG14" s="75">
        <v>2307683</v>
      </c>
      <c r="AH14" s="75">
        <v>58735</v>
      </c>
      <c r="AI14" s="75">
        <v>36932</v>
      </c>
      <c r="AJ14" s="75"/>
      <c r="AK14" s="75" t="s">
        <v>2406</v>
      </c>
      <c r="AL14" s="75" t="s">
        <v>2686</v>
      </c>
      <c r="AM14" s="82" t="str">
        <f>HYPERLINK("https://t.co/8K8kERCxAX")</f>
        <v>https://t.co/8K8kERCxAX</v>
      </c>
      <c r="AN14" s="75"/>
      <c r="AO14" s="77">
        <v>39587.77434027778</v>
      </c>
      <c r="AP14" s="82" t="str">
        <f>HYPERLINK("https://pbs.twimg.com/profile_banners/14836197/1663001361")</f>
        <v>https://pbs.twimg.com/profile_banners/14836197/1663001361</v>
      </c>
      <c r="AQ14" s="75" t="b">
        <v>0</v>
      </c>
      <c r="AR14" s="75" t="b">
        <v>0</v>
      </c>
      <c r="AS14" s="75" t="b">
        <v>1</v>
      </c>
      <c r="AT14" s="75"/>
      <c r="AU14" s="75">
        <v>10539</v>
      </c>
      <c r="AV14" s="82" t="str">
        <f>HYPERLINK("https://abs.twimg.com/images/themes/theme1/bg.png")</f>
        <v>https://abs.twimg.com/images/themes/theme1/bg.png</v>
      </c>
      <c r="AW14" s="75" t="b">
        <v>1</v>
      </c>
      <c r="AX14" s="75" t="s">
        <v>2845</v>
      </c>
      <c r="AY14" s="82" t="str">
        <f>HYPERLINK("https://twitter.com/usopen")</f>
        <v>https://twitter.com/usopen</v>
      </c>
      <c r="AZ14" s="75" t="s">
        <v>65</v>
      </c>
      <c r="BA14" s="75" t="str">
        <f>REPLACE(INDEX(GroupVertices[Group],MATCH(Vertices[[#This Row],[Vertex]],GroupVertices[Vertex],0)),1,1,"")</f>
        <v>30</v>
      </c>
      <c r="BB14" s="45"/>
      <c r="BC14" s="46"/>
      <c r="BD14" s="45"/>
      <c r="BE14" s="46"/>
      <c r="BF14" s="45"/>
      <c r="BG14" s="46"/>
      <c r="BH14" s="45"/>
      <c r="BI14" s="46"/>
      <c r="BJ14" s="45"/>
      <c r="BK14" s="45"/>
      <c r="BL14" s="45"/>
      <c r="BM14" s="45"/>
      <c r="BN14" s="45"/>
      <c r="BO14" s="45"/>
      <c r="BP14" s="45"/>
      <c r="BQ14" s="45"/>
      <c r="BR14" s="45"/>
      <c r="BS14" s="45"/>
      <c r="BT14" s="45"/>
      <c r="BU14" s="2"/>
    </row>
    <row r="15" spans="1:73" ht="15">
      <c r="A15" s="61" t="s">
        <v>434</v>
      </c>
      <c r="B15" s="62"/>
      <c r="C15" s="62"/>
      <c r="D15" s="63">
        <v>100</v>
      </c>
      <c r="E15" s="65"/>
      <c r="F15" s="99" t="str">
        <f>HYPERLINK("https://pbs.twimg.com/profile_images/1511264067708723202/FxBd6E1v_normal.jpg")</f>
        <v>https://pbs.twimg.com/profile_images/1511264067708723202/FxBd6E1v_normal.jpg</v>
      </c>
      <c r="G15" s="62"/>
      <c r="H15" s="66" t="s">
        <v>434</v>
      </c>
      <c r="I15" s="67"/>
      <c r="J15" s="67"/>
      <c r="K15" s="66" t="s">
        <v>2857</v>
      </c>
      <c r="L15" s="70">
        <v>1</v>
      </c>
      <c r="M15" s="71">
        <v>7157.82080078125</v>
      </c>
      <c r="N15" s="71">
        <v>8396.595703125</v>
      </c>
      <c r="O15" s="72"/>
      <c r="P15" s="73"/>
      <c r="Q15" s="73"/>
      <c r="R15" s="85"/>
      <c r="S15" s="45">
        <v>1</v>
      </c>
      <c r="T15" s="45">
        <v>0</v>
      </c>
      <c r="U15" s="46">
        <v>0</v>
      </c>
      <c r="V15" s="46">
        <v>0.005505</v>
      </c>
      <c r="W15" s="46">
        <v>0</v>
      </c>
      <c r="X15" s="46">
        <v>0.002784</v>
      </c>
      <c r="Y15" s="46">
        <v>0</v>
      </c>
      <c r="Z15" s="46">
        <v>0</v>
      </c>
      <c r="AA15" s="68">
        <v>15</v>
      </c>
      <c r="AB15" s="68"/>
      <c r="AC15" s="69"/>
      <c r="AD15" s="75" t="s">
        <v>1851</v>
      </c>
      <c r="AE15" s="80" t="s">
        <v>1676</v>
      </c>
      <c r="AF15" s="75">
        <v>4760</v>
      </c>
      <c r="AG15" s="75">
        <v>10899</v>
      </c>
      <c r="AH15" s="75">
        <v>53606</v>
      </c>
      <c r="AI15" s="75">
        <v>108802</v>
      </c>
      <c r="AJ15" s="75"/>
      <c r="AK15" s="75" t="s">
        <v>2407</v>
      </c>
      <c r="AL15" s="75" t="s">
        <v>2687</v>
      </c>
      <c r="AM15" s="75"/>
      <c r="AN15" s="75"/>
      <c r="AO15" s="77">
        <v>40852.59662037037</v>
      </c>
      <c r="AP15" s="82" t="str">
        <f>HYPERLINK("https://pbs.twimg.com/profile_banners/405579267/1661450739")</f>
        <v>https://pbs.twimg.com/profile_banners/405579267/1661450739</v>
      </c>
      <c r="AQ15" s="75" t="b">
        <v>1</v>
      </c>
      <c r="AR15" s="75" t="b">
        <v>0</v>
      </c>
      <c r="AS15" s="75" t="b">
        <v>1</v>
      </c>
      <c r="AT15" s="75"/>
      <c r="AU15" s="75">
        <v>74</v>
      </c>
      <c r="AV15" s="82" t="str">
        <f>HYPERLINK("https://abs.twimg.com/images/themes/theme1/bg.png")</f>
        <v>https://abs.twimg.com/images/themes/theme1/bg.png</v>
      </c>
      <c r="AW15" s="75" t="b">
        <v>0</v>
      </c>
      <c r="AX15" s="75" t="s">
        <v>2845</v>
      </c>
      <c r="AY15" s="82" t="str">
        <f>HYPERLINK("https://twitter.com/pavyg")</f>
        <v>https://twitter.com/pavyg</v>
      </c>
      <c r="AZ15" s="75" t="s">
        <v>65</v>
      </c>
      <c r="BA15" s="75" t="str">
        <f>REPLACE(INDEX(GroupVertices[Group],MATCH(Vertices[[#This Row],[Vertex]],GroupVertices[Vertex],0)),1,1,"")</f>
        <v>30</v>
      </c>
      <c r="BB15" s="45"/>
      <c r="BC15" s="46"/>
      <c r="BD15" s="45"/>
      <c r="BE15" s="46"/>
      <c r="BF15" s="45"/>
      <c r="BG15" s="46"/>
      <c r="BH15" s="45"/>
      <c r="BI15" s="46"/>
      <c r="BJ15" s="45"/>
      <c r="BK15" s="45"/>
      <c r="BL15" s="45"/>
      <c r="BM15" s="45"/>
      <c r="BN15" s="45"/>
      <c r="BO15" s="45"/>
      <c r="BP15" s="45"/>
      <c r="BQ15" s="45"/>
      <c r="BR15" s="45"/>
      <c r="BS15" s="45"/>
      <c r="BT15" s="45"/>
      <c r="BU15" s="2"/>
    </row>
    <row r="16" spans="1:73" ht="15">
      <c r="A16" s="61" t="s">
        <v>261</v>
      </c>
      <c r="B16" s="62"/>
      <c r="C16" s="62"/>
      <c r="D16" s="63">
        <v>100</v>
      </c>
      <c r="E16" s="65"/>
      <c r="F16" s="99" t="str">
        <f>HYPERLINK("https://pbs.twimg.com/profile_images/1320664797965373440/pdpYYiEy_normal.jpg")</f>
        <v>https://pbs.twimg.com/profile_images/1320664797965373440/pdpYYiEy_normal.jpg</v>
      </c>
      <c r="G16" s="62"/>
      <c r="H16" s="66" t="s">
        <v>261</v>
      </c>
      <c r="I16" s="67"/>
      <c r="J16" s="67"/>
      <c r="K16" s="66" t="s">
        <v>2858</v>
      </c>
      <c r="L16" s="70">
        <v>1</v>
      </c>
      <c r="M16" s="71">
        <v>8255.271484375</v>
      </c>
      <c r="N16" s="71">
        <v>4374.5625</v>
      </c>
      <c r="O16" s="72"/>
      <c r="P16" s="73"/>
      <c r="Q16" s="73"/>
      <c r="R16" s="85"/>
      <c r="S16" s="45">
        <v>0</v>
      </c>
      <c r="T16" s="45">
        <v>1</v>
      </c>
      <c r="U16" s="46">
        <v>0</v>
      </c>
      <c r="V16" s="46">
        <v>0.003058</v>
      </c>
      <c r="W16" s="46">
        <v>0</v>
      </c>
      <c r="X16" s="46">
        <v>0.003049</v>
      </c>
      <c r="Y16" s="46">
        <v>0</v>
      </c>
      <c r="Z16" s="46">
        <v>0</v>
      </c>
      <c r="AA16" s="68">
        <v>16</v>
      </c>
      <c r="AB16" s="68"/>
      <c r="AC16" s="69"/>
      <c r="AD16" s="75" t="s">
        <v>1852</v>
      </c>
      <c r="AE16" s="80" t="s">
        <v>2172</v>
      </c>
      <c r="AF16" s="75">
        <v>2250</v>
      </c>
      <c r="AG16" s="75">
        <v>1816</v>
      </c>
      <c r="AH16" s="75">
        <v>62277</v>
      </c>
      <c r="AI16" s="75">
        <v>115869</v>
      </c>
      <c r="AJ16" s="75"/>
      <c r="AK16" s="75" t="s">
        <v>2408</v>
      </c>
      <c r="AL16" s="75" t="s">
        <v>2688</v>
      </c>
      <c r="AM16" s="75"/>
      <c r="AN16" s="75"/>
      <c r="AO16" s="77">
        <v>43986.5834375</v>
      </c>
      <c r="AP16" s="82" t="str">
        <f>HYPERLINK("https://pbs.twimg.com/profile_banners/1268542933776596992/1603482104")</f>
        <v>https://pbs.twimg.com/profile_banners/1268542933776596992/1603482104</v>
      </c>
      <c r="AQ16" s="75" t="b">
        <v>1</v>
      </c>
      <c r="AR16" s="75" t="b">
        <v>0</v>
      </c>
      <c r="AS16" s="75" t="b">
        <v>1</v>
      </c>
      <c r="AT16" s="75"/>
      <c r="AU16" s="75">
        <v>2</v>
      </c>
      <c r="AV16" s="75"/>
      <c r="AW16" s="75" t="b">
        <v>0</v>
      </c>
      <c r="AX16" s="75" t="s">
        <v>2845</v>
      </c>
      <c r="AY16" s="82" t="str">
        <f>HYPERLINK("https://twitter.com/jokerdepressif")</f>
        <v>https://twitter.com/jokerdepressif</v>
      </c>
      <c r="AZ16" s="75" t="s">
        <v>66</v>
      </c>
      <c r="BA16" s="75" t="str">
        <f>REPLACE(INDEX(GroupVertices[Group],MATCH(Vertices[[#This Row],[Vertex]],GroupVertices[Vertex],0)),1,1,"")</f>
        <v>58</v>
      </c>
      <c r="BB16" s="45">
        <v>0</v>
      </c>
      <c r="BC16" s="46">
        <v>0</v>
      </c>
      <c r="BD16" s="45">
        <v>0</v>
      </c>
      <c r="BE16" s="46">
        <v>0</v>
      </c>
      <c r="BF16" s="45">
        <v>0</v>
      </c>
      <c r="BG16" s="46">
        <v>0</v>
      </c>
      <c r="BH16" s="45">
        <v>39</v>
      </c>
      <c r="BI16" s="46">
        <v>100</v>
      </c>
      <c r="BJ16" s="45">
        <v>39</v>
      </c>
      <c r="BK16" s="45"/>
      <c r="BL16" s="45"/>
      <c r="BM16" s="45"/>
      <c r="BN16" s="45"/>
      <c r="BO16" s="45" t="s">
        <v>795</v>
      </c>
      <c r="BP16" s="45" t="s">
        <v>795</v>
      </c>
      <c r="BQ16" s="110" t="s">
        <v>4448</v>
      </c>
      <c r="BR16" s="110" t="s">
        <v>4448</v>
      </c>
      <c r="BS16" s="110" t="s">
        <v>4570</v>
      </c>
      <c r="BT16" s="110" t="s">
        <v>4570</v>
      </c>
      <c r="BU16" s="2"/>
    </row>
    <row r="17" spans="1:73" ht="15">
      <c r="A17" s="61" t="s">
        <v>435</v>
      </c>
      <c r="B17" s="62"/>
      <c r="C17" s="62"/>
      <c r="D17" s="63">
        <v>100</v>
      </c>
      <c r="E17" s="65"/>
      <c r="F17" s="99" t="str">
        <f>HYPERLINK("https://pbs.twimg.com/profile_images/1001758654222225408/jSPbsdIb_normal.jpg")</f>
        <v>https://pbs.twimg.com/profile_images/1001758654222225408/jSPbsdIb_normal.jpg</v>
      </c>
      <c r="G17" s="62"/>
      <c r="H17" s="66" t="s">
        <v>435</v>
      </c>
      <c r="I17" s="67"/>
      <c r="J17" s="67"/>
      <c r="K17" s="66" t="s">
        <v>2859</v>
      </c>
      <c r="L17" s="70">
        <v>1</v>
      </c>
      <c r="M17" s="71">
        <v>8255.271484375</v>
      </c>
      <c r="N17" s="71">
        <v>4662.9951171875</v>
      </c>
      <c r="O17" s="72"/>
      <c r="P17" s="73"/>
      <c r="Q17" s="73"/>
      <c r="R17" s="85"/>
      <c r="S17" s="45">
        <v>1</v>
      </c>
      <c r="T17" s="45">
        <v>0</v>
      </c>
      <c r="U17" s="46">
        <v>0</v>
      </c>
      <c r="V17" s="46">
        <v>0.003058</v>
      </c>
      <c r="W17" s="46">
        <v>0</v>
      </c>
      <c r="X17" s="46">
        <v>0.003049</v>
      </c>
      <c r="Y17" s="46">
        <v>0</v>
      </c>
      <c r="Z17" s="46">
        <v>0</v>
      </c>
      <c r="AA17" s="68">
        <v>17</v>
      </c>
      <c r="AB17" s="68"/>
      <c r="AC17" s="69"/>
      <c r="AD17" s="75" t="s">
        <v>1853</v>
      </c>
      <c r="AE17" s="80" t="s">
        <v>1677</v>
      </c>
      <c r="AF17" s="75">
        <v>2893</v>
      </c>
      <c r="AG17" s="75">
        <v>687469</v>
      </c>
      <c r="AH17" s="75">
        <v>6938</v>
      </c>
      <c r="AI17" s="75">
        <v>2060</v>
      </c>
      <c r="AJ17" s="75"/>
      <c r="AK17" s="75" t="s">
        <v>2409</v>
      </c>
      <c r="AL17" s="75" t="s">
        <v>2685</v>
      </c>
      <c r="AM17" s="82" t="str">
        <f>HYPERLINK("https://t.co/PrzS3MvQTu")</f>
        <v>https://t.co/PrzS3MvQTu</v>
      </c>
      <c r="AN17" s="75"/>
      <c r="AO17" s="77">
        <v>39758.61440972222</v>
      </c>
      <c r="AP17" s="82" t="str">
        <f>HYPERLINK("https://pbs.twimg.com/profile_banners/17211968/1591823676")</f>
        <v>https://pbs.twimg.com/profile_banners/17211968/1591823676</v>
      </c>
      <c r="AQ17" s="75" t="b">
        <v>0</v>
      </c>
      <c r="AR17" s="75" t="b">
        <v>0</v>
      </c>
      <c r="AS17" s="75" t="b">
        <v>1</v>
      </c>
      <c r="AT17" s="75"/>
      <c r="AU17" s="75">
        <v>3109</v>
      </c>
      <c r="AV17" s="82" t="str">
        <f>HYPERLINK("https://abs.twimg.com/images/themes/theme1/bg.png")</f>
        <v>https://abs.twimg.com/images/themes/theme1/bg.png</v>
      </c>
      <c r="AW17" s="75" t="b">
        <v>1</v>
      </c>
      <c r="AX17" s="75" t="s">
        <v>2845</v>
      </c>
      <c r="AY17" s="82" t="str">
        <f>HYPERLINK("https://twitter.com/bayrou")</f>
        <v>https://twitter.com/bayrou</v>
      </c>
      <c r="AZ17" s="75" t="s">
        <v>65</v>
      </c>
      <c r="BA17" s="75" t="str">
        <f>REPLACE(INDEX(GroupVertices[Group],MATCH(Vertices[[#This Row],[Vertex]],GroupVertices[Vertex],0)),1,1,"")</f>
        <v>58</v>
      </c>
      <c r="BB17" s="45"/>
      <c r="BC17" s="46"/>
      <c r="BD17" s="45"/>
      <c r="BE17" s="46"/>
      <c r="BF17" s="45"/>
      <c r="BG17" s="46"/>
      <c r="BH17" s="45"/>
      <c r="BI17" s="46"/>
      <c r="BJ17" s="45"/>
      <c r="BK17" s="45"/>
      <c r="BL17" s="45"/>
      <c r="BM17" s="45"/>
      <c r="BN17" s="45"/>
      <c r="BO17" s="45"/>
      <c r="BP17" s="45"/>
      <c r="BQ17" s="45"/>
      <c r="BR17" s="45"/>
      <c r="BS17" s="45"/>
      <c r="BT17" s="45"/>
      <c r="BU17" s="2"/>
    </row>
    <row r="18" spans="1:73" ht="15">
      <c r="A18" s="61" t="s">
        <v>262</v>
      </c>
      <c r="B18" s="62"/>
      <c r="C18" s="62"/>
      <c r="D18" s="63">
        <v>1000</v>
      </c>
      <c r="E18" s="65"/>
      <c r="F18" s="99" t="str">
        <f>HYPERLINK("https://pbs.twimg.com/profile_images/1563246885241909248/k2EvfvnG_normal.jpg")</f>
        <v>https://pbs.twimg.com/profile_images/1563246885241909248/k2EvfvnG_normal.jpg</v>
      </c>
      <c r="G18" s="62"/>
      <c r="H18" s="66" t="s">
        <v>262</v>
      </c>
      <c r="I18" s="67"/>
      <c r="J18" s="67"/>
      <c r="K18" s="66" t="s">
        <v>2860</v>
      </c>
      <c r="L18" s="70">
        <v>4333.445029112413</v>
      </c>
      <c r="M18" s="71">
        <v>4080.652099609375</v>
      </c>
      <c r="N18" s="71">
        <v>7998.583984375</v>
      </c>
      <c r="O18" s="72"/>
      <c r="P18" s="73"/>
      <c r="Q18" s="73"/>
      <c r="R18" s="85"/>
      <c r="S18" s="45">
        <v>0</v>
      </c>
      <c r="T18" s="45">
        <v>12</v>
      </c>
      <c r="U18" s="46">
        <v>1949.266667</v>
      </c>
      <c r="V18" s="46">
        <v>0.090904</v>
      </c>
      <c r="W18" s="46">
        <v>0.068813</v>
      </c>
      <c r="X18" s="46">
        <v>0.006893</v>
      </c>
      <c r="Y18" s="46">
        <v>0</v>
      </c>
      <c r="Z18" s="46">
        <v>0</v>
      </c>
      <c r="AA18" s="68">
        <v>18</v>
      </c>
      <c r="AB18" s="68"/>
      <c r="AC18" s="69"/>
      <c r="AD18" s="75">
        <v>740</v>
      </c>
      <c r="AE18" s="80" t="s">
        <v>2173</v>
      </c>
      <c r="AF18" s="75">
        <v>22</v>
      </c>
      <c r="AG18" s="75">
        <v>6</v>
      </c>
      <c r="AH18" s="75">
        <v>607</v>
      </c>
      <c r="AI18" s="75">
        <v>178</v>
      </c>
      <c r="AJ18" s="75"/>
      <c r="AK18" s="75" t="s">
        <v>2410</v>
      </c>
      <c r="AL18" s="75"/>
      <c r="AM18" s="75"/>
      <c r="AN18" s="75"/>
      <c r="AO18" s="77">
        <v>44711.87353009259</v>
      </c>
      <c r="AP18" s="75"/>
      <c r="AQ18" s="75" t="b">
        <v>1</v>
      </c>
      <c r="AR18" s="75" t="b">
        <v>0</v>
      </c>
      <c r="AS18" s="75" t="b">
        <v>0</v>
      </c>
      <c r="AT18" s="75"/>
      <c r="AU18" s="75">
        <v>0</v>
      </c>
      <c r="AV18" s="75"/>
      <c r="AW18" s="75" t="b">
        <v>0</v>
      </c>
      <c r="AX18" s="75" t="s">
        <v>2845</v>
      </c>
      <c r="AY18" s="82" t="str">
        <f>HYPERLINK("https://twitter.com/settequaranta")</f>
        <v>https://twitter.com/settequaranta</v>
      </c>
      <c r="AZ18" s="75" t="s">
        <v>66</v>
      </c>
      <c r="BA18" s="75" t="str">
        <f>REPLACE(INDEX(GroupVertices[Group],MATCH(Vertices[[#This Row],[Vertex]],GroupVertices[Vertex],0)),1,1,"")</f>
        <v>6</v>
      </c>
      <c r="BB18" s="45">
        <v>1</v>
      </c>
      <c r="BC18" s="46">
        <v>5.2631578947368425</v>
      </c>
      <c r="BD18" s="45">
        <v>0</v>
      </c>
      <c r="BE18" s="46">
        <v>0</v>
      </c>
      <c r="BF18" s="45">
        <v>0</v>
      </c>
      <c r="BG18" s="46">
        <v>0</v>
      </c>
      <c r="BH18" s="45">
        <v>18</v>
      </c>
      <c r="BI18" s="46">
        <v>94.73684210526316</v>
      </c>
      <c r="BJ18" s="45">
        <v>19</v>
      </c>
      <c r="BK18" s="45"/>
      <c r="BL18" s="45"/>
      <c r="BM18" s="45"/>
      <c r="BN18" s="45"/>
      <c r="BO18" s="45" t="s">
        <v>795</v>
      </c>
      <c r="BP18" s="45" t="s">
        <v>795</v>
      </c>
      <c r="BQ18" s="110" t="s">
        <v>4449</v>
      </c>
      <c r="BR18" s="110" t="s">
        <v>4449</v>
      </c>
      <c r="BS18" s="110" t="s">
        <v>4571</v>
      </c>
      <c r="BT18" s="110" t="s">
        <v>4571</v>
      </c>
      <c r="BU18" s="2"/>
    </row>
    <row r="19" spans="1:73" ht="15">
      <c r="A19" s="61" t="s">
        <v>436</v>
      </c>
      <c r="B19" s="62"/>
      <c r="C19" s="62"/>
      <c r="D19" s="63">
        <v>100</v>
      </c>
      <c r="E19" s="65"/>
      <c r="F19" s="99" t="str">
        <f>HYPERLINK("https://pbs.twimg.com/profile_images/1367830654990319617/bHLoCq9c_normal.jpg")</f>
        <v>https://pbs.twimg.com/profile_images/1367830654990319617/bHLoCq9c_normal.jpg</v>
      </c>
      <c r="G19" s="62"/>
      <c r="H19" s="66" t="s">
        <v>436</v>
      </c>
      <c r="I19" s="67"/>
      <c r="J19" s="67"/>
      <c r="K19" s="66" t="s">
        <v>2861</v>
      </c>
      <c r="L19" s="70">
        <v>1</v>
      </c>
      <c r="M19" s="71">
        <v>3770.9150390625</v>
      </c>
      <c r="N19" s="71">
        <v>7318.521484375</v>
      </c>
      <c r="O19" s="72"/>
      <c r="P19" s="73"/>
      <c r="Q19" s="73"/>
      <c r="R19" s="85"/>
      <c r="S19" s="45">
        <v>1</v>
      </c>
      <c r="T19" s="45">
        <v>0</v>
      </c>
      <c r="U19" s="46">
        <v>0</v>
      </c>
      <c r="V19" s="46">
        <v>0.070547</v>
      </c>
      <c r="W19" s="46">
        <v>0.01221</v>
      </c>
      <c r="X19" s="46">
        <v>0.002678</v>
      </c>
      <c r="Y19" s="46">
        <v>0</v>
      </c>
      <c r="Z19" s="46">
        <v>0</v>
      </c>
      <c r="AA19" s="68">
        <v>19</v>
      </c>
      <c r="AB19" s="68"/>
      <c r="AC19" s="69"/>
      <c r="AD19" s="75" t="s">
        <v>1854</v>
      </c>
      <c r="AE19" s="80" t="s">
        <v>2174</v>
      </c>
      <c r="AF19" s="75">
        <v>768</v>
      </c>
      <c r="AG19" s="75">
        <v>46521</v>
      </c>
      <c r="AH19" s="75">
        <v>22929</v>
      </c>
      <c r="AI19" s="75">
        <v>2643</v>
      </c>
      <c r="AJ19" s="75"/>
      <c r="AK19" s="75" t="s">
        <v>2411</v>
      </c>
      <c r="AL19" s="75" t="s">
        <v>2689</v>
      </c>
      <c r="AM19" s="82" t="str">
        <f>HYPERLINK("https://t.co/9cNeAfCCBv")</f>
        <v>https://t.co/9cNeAfCCBv</v>
      </c>
      <c r="AN19" s="75"/>
      <c r="AO19" s="77">
        <v>40750.55571759259</v>
      </c>
      <c r="AP19" s="82" t="str">
        <f>HYPERLINK("https://pbs.twimg.com/profile_banners/342709703/1648548462")</f>
        <v>https://pbs.twimg.com/profile_banners/342709703/1648548462</v>
      </c>
      <c r="AQ19" s="75" t="b">
        <v>1</v>
      </c>
      <c r="AR19" s="75" t="b">
        <v>0</v>
      </c>
      <c r="AS19" s="75" t="b">
        <v>0</v>
      </c>
      <c r="AT19" s="75"/>
      <c r="AU19" s="75">
        <v>416</v>
      </c>
      <c r="AV19" s="82" t="str">
        <f>HYPERLINK("https://abs.twimg.com/images/themes/theme1/bg.png")</f>
        <v>https://abs.twimg.com/images/themes/theme1/bg.png</v>
      </c>
      <c r="AW19" s="75" t="b">
        <v>1</v>
      </c>
      <c r="AX19" s="75" t="s">
        <v>2845</v>
      </c>
      <c r="AY19" s="82" t="str">
        <f>HYPERLINK("https://twitter.com/ambrusfrance")</f>
        <v>https://twitter.com/ambrusfrance</v>
      </c>
      <c r="AZ19" s="75" t="s">
        <v>65</v>
      </c>
      <c r="BA19" s="75" t="str">
        <f>REPLACE(INDEX(GroupVertices[Group],MATCH(Vertices[[#This Row],[Vertex]],GroupVertices[Vertex],0)),1,1,"")</f>
        <v>6</v>
      </c>
      <c r="BB19" s="45"/>
      <c r="BC19" s="46"/>
      <c r="BD19" s="45"/>
      <c r="BE19" s="46"/>
      <c r="BF19" s="45"/>
      <c r="BG19" s="46"/>
      <c r="BH19" s="45"/>
      <c r="BI19" s="46"/>
      <c r="BJ19" s="45"/>
      <c r="BK19" s="45"/>
      <c r="BL19" s="45"/>
      <c r="BM19" s="45"/>
      <c r="BN19" s="45"/>
      <c r="BO19" s="45"/>
      <c r="BP19" s="45"/>
      <c r="BQ19" s="45"/>
      <c r="BR19" s="45"/>
      <c r="BS19" s="45"/>
      <c r="BT19" s="45"/>
      <c r="BU19" s="2"/>
    </row>
    <row r="20" spans="1:73" ht="15">
      <c r="A20" s="61" t="s">
        <v>437</v>
      </c>
      <c r="B20" s="62"/>
      <c r="C20" s="62"/>
      <c r="D20" s="63">
        <v>100</v>
      </c>
      <c r="E20" s="65"/>
      <c r="F20" s="99" t="str">
        <f>HYPERLINK("https://pbs.twimg.com/profile_images/1197549862075715584/CdyezJAS_normal.jpg")</f>
        <v>https://pbs.twimg.com/profile_images/1197549862075715584/CdyezJAS_normal.jpg</v>
      </c>
      <c r="G20" s="62"/>
      <c r="H20" s="66" t="s">
        <v>437</v>
      </c>
      <c r="I20" s="67"/>
      <c r="J20" s="67"/>
      <c r="K20" s="66" t="s">
        <v>2862</v>
      </c>
      <c r="L20" s="70">
        <v>1</v>
      </c>
      <c r="M20" s="71">
        <v>4115.2734375</v>
      </c>
      <c r="N20" s="71">
        <v>6601.90380859375</v>
      </c>
      <c r="O20" s="72"/>
      <c r="P20" s="73"/>
      <c r="Q20" s="73"/>
      <c r="R20" s="85"/>
      <c r="S20" s="45">
        <v>1</v>
      </c>
      <c r="T20" s="45">
        <v>0</v>
      </c>
      <c r="U20" s="46">
        <v>0</v>
      </c>
      <c r="V20" s="46">
        <v>0.070547</v>
      </c>
      <c r="W20" s="46">
        <v>0.01221</v>
      </c>
      <c r="X20" s="46">
        <v>0.002678</v>
      </c>
      <c r="Y20" s="46">
        <v>0</v>
      </c>
      <c r="Z20" s="46">
        <v>0</v>
      </c>
      <c r="AA20" s="68">
        <v>20</v>
      </c>
      <c r="AB20" s="68"/>
      <c r="AC20" s="69"/>
      <c r="AD20" s="75" t="s">
        <v>1855</v>
      </c>
      <c r="AE20" s="80" t="s">
        <v>2175</v>
      </c>
      <c r="AF20" s="75">
        <v>884</v>
      </c>
      <c r="AG20" s="75">
        <v>24718</v>
      </c>
      <c r="AH20" s="75">
        <v>12877</v>
      </c>
      <c r="AI20" s="75">
        <v>5794</v>
      </c>
      <c r="AJ20" s="75"/>
      <c r="AK20" s="75" t="s">
        <v>2412</v>
      </c>
      <c r="AL20" s="75" t="s">
        <v>2690</v>
      </c>
      <c r="AM20" s="82" t="str">
        <f>HYPERLINK("https://t.co/FOpXsd69m3")</f>
        <v>https://t.co/FOpXsd69m3</v>
      </c>
      <c r="AN20" s="75"/>
      <c r="AO20" s="77">
        <v>41061.33185185185</v>
      </c>
      <c r="AP20" s="82" t="str">
        <f>HYPERLINK("https://pbs.twimg.com/profile_banners/596243227/1522424365")</f>
        <v>https://pbs.twimg.com/profile_banners/596243227/1522424365</v>
      </c>
      <c r="AQ20" s="75" t="b">
        <v>0</v>
      </c>
      <c r="AR20" s="75" t="b">
        <v>0</v>
      </c>
      <c r="AS20" s="75" t="b">
        <v>1</v>
      </c>
      <c r="AT20" s="75"/>
      <c r="AU20" s="75">
        <v>315</v>
      </c>
      <c r="AV20" s="82" t="str">
        <f>HYPERLINK("https://abs.twimg.com/images/themes/theme1/bg.png")</f>
        <v>https://abs.twimg.com/images/themes/theme1/bg.png</v>
      </c>
      <c r="AW20" s="75" t="b">
        <v>1</v>
      </c>
      <c r="AX20" s="75" t="s">
        <v>2845</v>
      </c>
      <c r="AY20" s="82" t="str">
        <f>HYPERLINK("https://twitter.com/rusbotschaft")</f>
        <v>https://twitter.com/rusbotschaft</v>
      </c>
      <c r="AZ20" s="75" t="s">
        <v>65</v>
      </c>
      <c r="BA20" s="75" t="str">
        <f>REPLACE(INDEX(GroupVertices[Group],MATCH(Vertices[[#This Row],[Vertex]],GroupVertices[Vertex],0)),1,1,"")</f>
        <v>6</v>
      </c>
      <c r="BB20" s="45"/>
      <c r="BC20" s="46"/>
      <c r="BD20" s="45"/>
      <c r="BE20" s="46"/>
      <c r="BF20" s="45"/>
      <c r="BG20" s="46"/>
      <c r="BH20" s="45"/>
      <c r="BI20" s="46"/>
      <c r="BJ20" s="45"/>
      <c r="BK20" s="45"/>
      <c r="BL20" s="45"/>
      <c r="BM20" s="45"/>
      <c r="BN20" s="45"/>
      <c r="BO20" s="45"/>
      <c r="BP20" s="45"/>
      <c r="BQ20" s="45"/>
      <c r="BR20" s="45"/>
      <c r="BS20" s="45"/>
      <c r="BT20" s="45"/>
      <c r="BU20" s="2"/>
    </row>
    <row r="21" spans="1:73" ht="15">
      <c r="A21" s="61" t="s">
        <v>438</v>
      </c>
      <c r="B21" s="62"/>
      <c r="C21" s="62"/>
      <c r="D21" s="63">
        <v>100</v>
      </c>
      <c r="E21" s="65"/>
      <c r="F21" s="99" t="str">
        <f>HYPERLINK("https://pbs.twimg.com/profile_images/1216462305359212544/wY2-x065_normal.jpg")</f>
        <v>https://pbs.twimg.com/profile_images/1216462305359212544/wY2-x065_normal.jpg</v>
      </c>
      <c r="G21" s="62"/>
      <c r="H21" s="66" t="s">
        <v>438</v>
      </c>
      <c r="I21" s="67"/>
      <c r="J21" s="67"/>
      <c r="K21" s="66" t="s">
        <v>2863</v>
      </c>
      <c r="L21" s="70">
        <v>1</v>
      </c>
      <c r="M21" s="71">
        <v>4341.89697265625</v>
      </c>
      <c r="N21" s="71">
        <v>7604.5439453125</v>
      </c>
      <c r="O21" s="72"/>
      <c r="P21" s="73"/>
      <c r="Q21" s="73"/>
      <c r="R21" s="85"/>
      <c r="S21" s="45">
        <v>1</v>
      </c>
      <c r="T21" s="45">
        <v>0</v>
      </c>
      <c r="U21" s="46">
        <v>0</v>
      </c>
      <c r="V21" s="46">
        <v>0.070547</v>
      </c>
      <c r="W21" s="46">
        <v>0.01221</v>
      </c>
      <c r="X21" s="46">
        <v>0.002678</v>
      </c>
      <c r="Y21" s="46">
        <v>0</v>
      </c>
      <c r="Z21" s="46">
        <v>0</v>
      </c>
      <c r="AA21" s="68">
        <v>21</v>
      </c>
      <c r="AB21" s="68"/>
      <c r="AC21" s="69"/>
      <c r="AD21" s="75" t="s">
        <v>1856</v>
      </c>
      <c r="AE21" s="80" t="s">
        <v>2176</v>
      </c>
      <c r="AF21" s="75">
        <v>659</v>
      </c>
      <c r="AG21" s="75">
        <v>6364</v>
      </c>
      <c r="AH21" s="75">
        <v>6557</v>
      </c>
      <c r="AI21" s="75">
        <v>10103</v>
      </c>
      <c r="AJ21" s="75"/>
      <c r="AK21" s="75" t="s">
        <v>2413</v>
      </c>
      <c r="AL21" s="75" t="s">
        <v>2691</v>
      </c>
      <c r="AM21" s="82" t="str">
        <f>HYPERLINK("https://t.co/4hAMFMptf9")</f>
        <v>https://t.co/4hAMFMptf9</v>
      </c>
      <c r="AN21" s="75"/>
      <c r="AO21" s="77">
        <v>43564.44501157408</v>
      </c>
      <c r="AP21" s="82" t="str">
        <f>HYPERLINK("https://pbs.twimg.com/profile_banners/1115565221379231744/1593634979")</f>
        <v>https://pbs.twimg.com/profile_banners/1115565221379231744/1593634979</v>
      </c>
      <c r="AQ21" s="75" t="b">
        <v>0</v>
      </c>
      <c r="AR21" s="75" t="b">
        <v>0</v>
      </c>
      <c r="AS21" s="75" t="b">
        <v>1</v>
      </c>
      <c r="AT21" s="75"/>
      <c r="AU21" s="75">
        <v>134</v>
      </c>
      <c r="AV21" s="82" t="str">
        <f>HYPERLINK("https://abs.twimg.com/images/themes/theme1/bg.png")</f>
        <v>https://abs.twimg.com/images/themes/theme1/bg.png</v>
      </c>
      <c r="AW21" s="75" t="b">
        <v>1</v>
      </c>
      <c r="AX21" s="75" t="s">
        <v>2845</v>
      </c>
      <c r="AY21" s="82" t="str">
        <f>HYPERLINK("https://twitter.com/mission_rf")</f>
        <v>https://twitter.com/mission_rf</v>
      </c>
      <c r="AZ21" s="75" t="s">
        <v>65</v>
      </c>
      <c r="BA21" s="75" t="str">
        <f>REPLACE(INDEX(GroupVertices[Group],MATCH(Vertices[[#This Row],[Vertex]],GroupVertices[Vertex],0)),1,1,"")</f>
        <v>6</v>
      </c>
      <c r="BB21" s="45"/>
      <c r="BC21" s="46"/>
      <c r="BD21" s="45"/>
      <c r="BE21" s="46"/>
      <c r="BF21" s="45"/>
      <c r="BG21" s="46"/>
      <c r="BH21" s="45"/>
      <c r="BI21" s="46"/>
      <c r="BJ21" s="45"/>
      <c r="BK21" s="45"/>
      <c r="BL21" s="45"/>
      <c r="BM21" s="45"/>
      <c r="BN21" s="45"/>
      <c r="BO21" s="45"/>
      <c r="BP21" s="45"/>
      <c r="BQ21" s="45"/>
      <c r="BR21" s="45"/>
      <c r="BS21" s="45"/>
      <c r="BT21" s="45"/>
      <c r="BU21" s="2"/>
    </row>
    <row r="22" spans="1:73" ht="15">
      <c r="A22" s="61" t="s">
        <v>439</v>
      </c>
      <c r="B22" s="62"/>
      <c r="C22" s="62"/>
      <c r="D22" s="63">
        <v>100</v>
      </c>
      <c r="E22" s="65"/>
      <c r="F22" s="99" t="str">
        <f>HYPERLINK("https://pbs.twimg.com/profile_images/1197580359862542338/c4xeYCkp_normal.jpg")</f>
        <v>https://pbs.twimg.com/profile_images/1197580359862542338/c4xeYCkp_normal.jpg</v>
      </c>
      <c r="G22" s="62"/>
      <c r="H22" s="66" t="s">
        <v>439</v>
      </c>
      <c r="I22" s="67"/>
      <c r="J22" s="67"/>
      <c r="K22" s="66" t="s">
        <v>2864</v>
      </c>
      <c r="L22" s="70">
        <v>1</v>
      </c>
      <c r="M22" s="71">
        <v>3731.334228515625</v>
      </c>
      <c r="N22" s="71">
        <v>8102.17626953125</v>
      </c>
      <c r="O22" s="72"/>
      <c r="P22" s="73"/>
      <c r="Q22" s="73"/>
      <c r="R22" s="85"/>
      <c r="S22" s="45">
        <v>1</v>
      </c>
      <c r="T22" s="45">
        <v>0</v>
      </c>
      <c r="U22" s="46">
        <v>0</v>
      </c>
      <c r="V22" s="46">
        <v>0.070547</v>
      </c>
      <c r="W22" s="46">
        <v>0.01221</v>
      </c>
      <c r="X22" s="46">
        <v>0.002678</v>
      </c>
      <c r="Y22" s="46">
        <v>0</v>
      </c>
      <c r="Z22" s="46">
        <v>0</v>
      </c>
      <c r="AA22" s="68">
        <v>22</v>
      </c>
      <c r="AB22" s="68"/>
      <c r="AC22" s="69"/>
      <c r="AD22" s="75" t="s">
        <v>1857</v>
      </c>
      <c r="AE22" s="80" t="s">
        <v>2177</v>
      </c>
      <c r="AF22" s="75">
        <v>439</v>
      </c>
      <c r="AG22" s="75">
        <v>42217</v>
      </c>
      <c r="AH22" s="75">
        <v>27350</v>
      </c>
      <c r="AI22" s="75">
        <v>2262</v>
      </c>
      <c r="AJ22" s="75"/>
      <c r="AK22" s="75" t="s">
        <v>2414</v>
      </c>
      <c r="AL22" s="75" t="s">
        <v>2692</v>
      </c>
      <c r="AM22" s="82" t="str">
        <f>HYPERLINK("https://t.co/qb3B2slzDh")</f>
        <v>https://t.co/qb3B2slzDh</v>
      </c>
      <c r="AN22" s="75"/>
      <c r="AO22" s="77">
        <v>41583.98981481481</v>
      </c>
      <c r="AP22" s="82" t="str">
        <f>HYPERLINK("https://pbs.twimg.com/profile_banners/2177016702/1646214190")</f>
        <v>https://pbs.twimg.com/profile_banners/2177016702/1646214190</v>
      </c>
      <c r="AQ22" s="75" t="b">
        <v>0</v>
      </c>
      <c r="AR22" s="75" t="b">
        <v>0</v>
      </c>
      <c r="AS22" s="75" t="b">
        <v>1</v>
      </c>
      <c r="AT22" s="75"/>
      <c r="AU22" s="75">
        <v>508</v>
      </c>
      <c r="AV22" s="82" t="str">
        <f>HYPERLINK("https://abs.twimg.com/images/themes/theme14/bg.gif")</f>
        <v>https://abs.twimg.com/images/themes/theme14/bg.gif</v>
      </c>
      <c r="AW22" s="75" t="b">
        <v>1</v>
      </c>
      <c r="AX22" s="75" t="s">
        <v>2845</v>
      </c>
      <c r="AY22" s="82" t="str">
        <f>HYPERLINK("https://twitter.com/rf_osce")</f>
        <v>https://twitter.com/rf_osce</v>
      </c>
      <c r="AZ22" s="75" t="s">
        <v>65</v>
      </c>
      <c r="BA22" s="75" t="str">
        <f>REPLACE(INDEX(GroupVertices[Group],MATCH(Vertices[[#This Row],[Vertex]],GroupVertices[Vertex],0)),1,1,"")</f>
        <v>6</v>
      </c>
      <c r="BB22" s="45"/>
      <c r="BC22" s="46"/>
      <c r="BD22" s="45"/>
      <c r="BE22" s="46"/>
      <c r="BF22" s="45"/>
      <c r="BG22" s="46"/>
      <c r="BH22" s="45"/>
      <c r="BI22" s="46"/>
      <c r="BJ22" s="45"/>
      <c r="BK22" s="45"/>
      <c r="BL22" s="45"/>
      <c r="BM22" s="45"/>
      <c r="BN22" s="45"/>
      <c r="BO22" s="45"/>
      <c r="BP22" s="45"/>
      <c r="BQ22" s="45"/>
      <c r="BR22" s="45"/>
      <c r="BS22" s="45"/>
      <c r="BT22" s="45"/>
      <c r="BU22" s="2"/>
    </row>
    <row r="23" spans="1:73" ht="15">
      <c r="A23" s="61" t="s">
        <v>440</v>
      </c>
      <c r="B23" s="62"/>
      <c r="C23" s="62"/>
      <c r="D23" s="63">
        <v>100</v>
      </c>
      <c r="E23" s="65"/>
      <c r="F23" s="99" t="str">
        <f>HYPERLINK("https://pbs.twimg.com/profile_images/1200923897006305286/2GxIHIOf_normal.jpg")</f>
        <v>https://pbs.twimg.com/profile_images/1200923897006305286/2GxIHIOf_normal.jpg</v>
      </c>
      <c r="G23" s="62"/>
      <c r="H23" s="66" t="s">
        <v>440</v>
      </c>
      <c r="I23" s="67"/>
      <c r="J23" s="67"/>
      <c r="K23" s="66" t="s">
        <v>2865</v>
      </c>
      <c r="L23" s="70">
        <v>1</v>
      </c>
      <c r="M23" s="71">
        <v>3966.112548828125</v>
      </c>
      <c r="N23" s="71">
        <v>9321.091796875</v>
      </c>
      <c r="O23" s="72"/>
      <c r="P23" s="73"/>
      <c r="Q23" s="73"/>
      <c r="R23" s="85"/>
      <c r="S23" s="45">
        <v>1</v>
      </c>
      <c r="T23" s="45">
        <v>0</v>
      </c>
      <c r="U23" s="46">
        <v>0</v>
      </c>
      <c r="V23" s="46">
        <v>0.070547</v>
      </c>
      <c r="W23" s="46">
        <v>0.01221</v>
      </c>
      <c r="X23" s="46">
        <v>0.002678</v>
      </c>
      <c r="Y23" s="46">
        <v>0</v>
      </c>
      <c r="Z23" s="46">
        <v>0</v>
      </c>
      <c r="AA23" s="68">
        <v>23</v>
      </c>
      <c r="AB23" s="68"/>
      <c r="AC23" s="69"/>
      <c r="AD23" s="75" t="s">
        <v>1858</v>
      </c>
      <c r="AE23" s="80" t="s">
        <v>2178</v>
      </c>
      <c r="AF23" s="75">
        <v>215</v>
      </c>
      <c r="AG23" s="75">
        <v>354642</v>
      </c>
      <c r="AH23" s="75">
        <v>6120</v>
      </c>
      <c r="AI23" s="75">
        <v>2947</v>
      </c>
      <c r="AJ23" s="75"/>
      <c r="AK23" s="75" t="s">
        <v>2415</v>
      </c>
      <c r="AL23" s="75" t="s">
        <v>2693</v>
      </c>
      <c r="AM23" s="82" t="str">
        <f>HYPERLINK("https://t.co/znJIjQgHYt")</f>
        <v>https://t.co/znJIjQgHYt</v>
      </c>
      <c r="AN23" s="75"/>
      <c r="AO23" s="77">
        <v>43256.294803240744</v>
      </c>
      <c r="AP23" s="82" t="str">
        <f>HYPERLINK("https://pbs.twimg.com/profile_banners/1003895325025865730/1645714058")</f>
        <v>https://pbs.twimg.com/profile_banners/1003895325025865730/1645714058</v>
      </c>
      <c r="AQ23" s="75" t="b">
        <v>0</v>
      </c>
      <c r="AR23" s="75" t="b">
        <v>0</v>
      </c>
      <c r="AS23" s="75" t="b">
        <v>1</v>
      </c>
      <c r="AT23" s="75"/>
      <c r="AU23" s="75">
        <v>2845</v>
      </c>
      <c r="AV23" s="82" t="str">
        <f>HYPERLINK("https://abs.twimg.com/images/themes/theme1/bg.png")</f>
        <v>https://abs.twimg.com/images/themes/theme1/bg.png</v>
      </c>
      <c r="AW23" s="75" t="b">
        <v>1</v>
      </c>
      <c r="AX23" s="75" t="s">
        <v>2845</v>
      </c>
      <c r="AY23" s="82" t="str">
        <f>HYPERLINK("https://twitter.com/josepborrellf")</f>
        <v>https://twitter.com/josepborrellf</v>
      </c>
      <c r="AZ23" s="75" t="s">
        <v>65</v>
      </c>
      <c r="BA23" s="75" t="str">
        <f>REPLACE(INDEX(GroupVertices[Group],MATCH(Vertices[[#This Row],[Vertex]],GroupVertices[Vertex],0)),1,1,"")</f>
        <v>6</v>
      </c>
      <c r="BB23" s="45"/>
      <c r="BC23" s="46"/>
      <c r="BD23" s="45"/>
      <c r="BE23" s="46"/>
      <c r="BF23" s="45"/>
      <c r="BG23" s="46"/>
      <c r="BH23" s="45"/>
      <c r="BI23" s="46"/>
      <c r="BJ23" s="45"/>
      <c r="BK23" s="45"/>
      <c r="BL23" s="45"/>
      <c r="BM23" s="45"/>
      <c r="BN23" s="45"/>
      <c r="BO23" s="45"/>
      <c r="BP23" s="45"/>
      <c r="BQ23" s="45"/>
      <c r="BR23" s="45"/>
      <c r="BS23" s="45"/>
      <c r="BT23" s="45"/>
      <c r="BU23" s="2"/>
    </row>
    <row r="24" spans="1:73" ht="15">
      <c r="A24" s="61" t="s">
        <v>441</v>
      </c>
      <c r="B24" s="62"/>
      <c r="C24" s="62"/>
      <c r="D24" s="63">
        <v>100</v>
      </c>
      <c r="E24" s="65"/>
      <c r="F24" s="99" t="str">
        <f>HYPERLINK("https://pbs.twimg.com/profile_images/1054275379794468864/O0uxtl3F_normal.jpg")</f>
        <v>https://pbs.twimg.com/profile_images/1054275379794468864/O0uxtl3F_normal.jpg</v>
      </c>
      <c r="G24" s="62"/>
      <c r="H24" s="66" t="s">
        <v>441</v>
      </c>
      <c r="I24" s="67"/>
      <c r="J24" s="67"/>
      <c r="K24" s="66" t="s">
        <v>2866</v>
      </c>
      <c r="L24" s="70">
        <v>1</v>
      </c>
      <c r="M24" s="71">
        <v>4462.96826171875</v>
      </c>
      <c r="N24" s="71">
        <v>8205.2607421875</v>
      </c>
      <c r="O24" s="72"/>
      <c r="P24" s="73"/>
      <c r="Q24" s="73"/>
      <c r="R24" s="85"/>
      <c r="S24" s="45">
        <v>1</v>
      </c>
      <c r="T24" s="45">
        <v>0</v>
      </c>
      <c r="U24" s="46">
        <v>0</v>
      </c>
      <c r="V24" s="46">
        <v>0.070547</v>
      </c>
      <c r="W24" s="46">
        <v>0.01221</v>
      </c>
      <c r="X24" s="46">
        <v>0.002678</v>
      </c>
      <c r="Y24" s="46">
        <v>0</v>
      </c>
      <c r="Z24" s="46">
        <v>0</v>
      </c>
      <c r="AA24" s="68">
        <v>24</v>
      </c>
      <c r="AB24" s="68"/>
      <c r="AC24" s="69"/>
      <c r="AD24" s="75" t="s">
        <v>1859</v>
      </c>
      <c r="AE24" s="80" t="s">
        <v>2179</v>
      </c>
      <c r="AF24" s="75">
        <v>412</v>
      </c>
      <c r="AG24" s="75">
        <v>15917</v>
      </c>
      <c r="AH24" s="75">
        <v>6803</v>
      </c>
      <c r="AI24" s="75">
        <v>2667</v>
      </c>
      <c r="AJ24" s="75"/>
      <c r="AK24" s="75" t="s">
        <v>2416</v>
      </c>
      <c r="AL24" s="75" t="s">
        <v>2694</v>
      </c>
      <c r="AM24" s="82" t="str">
        <f>HYPERLINK("https://t.co/dnGNS5tPhd")</f>
        <v>https://t.co/dnGNS5tPhd</v>
      </c>
      <c r="AN24" s="75"/>
      <c r="AO24" s="77">
        <v>41775.568020833336</v>
      </c>
      <c r="AP24" s="82" t="str">
        <f>HYPERLINK("https://pbs.twimg.com/profile_banners/2498935975/1645887028")</f>
        <v>https://pbs.twimg.com/profile_banners/2498935975/1645887028</v>
      </c>
      <c r="AQ24" s="75" t="b">
        <v>0</v>
      </c>
      <c r="AR24" s="75" t="b">
        <v>0</v>
      </c>
      <c r="AS24" s="75" t="b">
        <v>1</v>
      </c>
      <c r="AT24" s="75"/>
      <c r="AU24" s="75">
        <v>175</v>
      </c>
      <c r="AV24" s="82" t="str">
        <f>HYPERLINK("https://abs.twimg.com/images/themes/theme1/bg.png")</f>
        <v>https://abs.twimg.com/images/themes/theme1/bg.png</v>
      </c>
      <c r="AW24" s="75" t="b">
        <v>1</v>
      </c>
      <c r="AX24" s="75" t="s">
        <v>2845</v>
      </c>
      <c r="AY24" s="82" t="str">
        <f>HYPERLINK("https://twitter.com/euinrussia")</f>
        <v>https://twitter.com/euinrussia</v>
      </c>
      <c r="AZ24" s="75" t="s">
        <v>65</v>
      </c>
      <c r="BA24" s="75" t="str">
        <f>REPLACE(INDEX(GroupVertices[Group],MATCH(Vertices[[#This Row],[Vertex]],GroupVertices[Vertex],0)),1,1,"")</f>
        <v>6</v>
      </c>
      <c r="BB24" s="45"/>
      <c r="BC24" s="46"/>
      <c r="BD24" s="45"/>
      <c r="BE24" s="46"/>
      <c r="BF24" s="45"/>
      <c r="BG24" s="46"/>
      <c r="BH24" s="45"/>
      <c r="BI24" s="46"/>
      <c r="BJ24" s="45"/>
      <c r="BK24" s="45"/>
      <c r="BL24" s="45"/>
      <c r="BM24" s="45"/>
      <c r="BN24" s="45"/>
      <c r="BO24" s="45"/>
      <c r="BP24" s="45"/>
      <c r="BQ24" s="45"/>
      <c r="BR24" s="45"/>
      <c r="BS24" s="45"/>
      <c r="BT24" s="45"/>
      <c r="BU24" s="2"/>
    </row>
    <row r="25" spans="1:73" ht="15">
      <c r="A25" s="61" t="s">
        <v>442</v>
      </c>
      <c r="B25" s="62"/>
      <c r="C25" s="62"/>
      <c r="D25" s="63">
        <v>100</v>
      </c>
      <c r="E25" s="65"/>
      <c r="F25" s="99" t="str">
        <f>HYPERLINK("https://pbs.twimg.com/profile_images/981181819046498304/vh0U7PS5_normal.jpg")</f>
        <v>https://pbs.twimg.com/profile_images/981181819046498304/vh0U7PS5_normal.jpg</v>
      </c>
      <c r="G25" s="62"/>
      <c r="H25" s="66" t="s">
        <v>442</v>
      </c>
      <c r="I25" s="67"/>
      <c r="J25" s="67"/>
      <c r="K25" s="66" t="s">
        <v>2867</v>
      </c>
      <c r="L25" s="70">
        <v>1</v>
      </c>
      <c r="M25" s="71">
        <v>3803.528076171875</v>
      </c>
      <c r="N25" s="71">
        <v>8842.8955078125</v>
      </c>
      <c r="O25" s="72"/>
      <c r="P25" s="73"/>
      <c r="Q25" s="73"/>
      <c r="R25" s="85"/>
      <c r="S25" s="45">
        <v>1</v>
      </c>
      <c r="T25" s="45">
        <v>0</v>
      </c>
      <c r="U25" s="46">
        <v>0</v>
      </c>
      <c r="V25" s="46">
        <v>0.070547</v>
      </c>
      <c r="W25" s="46">
        <v>0.01221</v>
      </c>
      <c r="X25" s="46">
        <v>0.002678</v>
      </c>
      <c r="Y25" s="46">
        <v>0</v>
      </c>
      <c r="Z25" s="46">
        <v>0</v>
      </c>
      <c r="AA25" s="68">
        <v>25</v>
      </c>
      <c r="AB25" s="68"/>
      <c r="AC25" s="69"/>
      <c r="AD25" s="75" t="s">
        <v>1860</v>
      </c>
      <c r="AE25" s="80" t="s">
        <v>2180</v>
      </c>
      <c r="AF25" s="75">
        <v>653</v>
      </c>
      <c r="AG25" s="75">
        <v>18530</v>
      </c>
      <c r="AH25" s="75">
        <v>5153</v>
      </c>
      <c r="AI25" s="75">
        <v>7768</v>
      </c>
      <c r="AJ25" s="75"/>
      <c r="AK25" s="75" t="s">
        <v>2417</v>
      </c>
      <c r="AL25" s="75" t="s">
        <v>2695</v>
      </c>
      <c r="AM25" s="82" t="str">
        <f>HYPERLINK("https://t.co/QttxpnUIAs")</f>
        <v>https://t.co/QttxpnUIAs</v>
      </c>
      <c r="AN25" s="75"/>
      <c r="AO25" s="77">
        <v>42157.597337962965</v>
      </c>
      <c r="AP25" s="82" t="str">
        <f>HYPERLINK("https://pbs.twimg.com/profile_banners/3306657923/1624980747")</f>
        <v>https://pbs.twimg.com/profile_banners/3306657923/1624980747</v>
      </c>
      <c r="AQ25" s="75" t="b">
        <v>0</v>
      </c>
      <c r="AR25" s="75" t="b">
        <v>0</v>
      </c>
      <c r="AS25" s="75" t="b">
        <v>1</v>
      </c>
      <c r="AT25" s="75"/>
      <c r="AU25" s="75">
        <v>372</v>
      </c>
      <c r="AV25" s="82" t="str">
        <f>HYPERLINK("https://abs.twimg.com/images/themes/theme1/bg.png")</f>
        <v>https://abs.twimg.com/images/themes/theme1/bg.png</v>
      </c>
      <c r="AW25" s="75" t="b">
        <v>1</v>
      </c>
      <c r="AX25" s="75" t="s">
        <v>2845</v>
      </c>
      <c r="AY25" s="82" t="str">
        <f>HYPERLINK("https://twitter.com/rusmission_eu")</f>
        <v>https://twitter.com/rusmission_eu</v>
      </c>
      <c r="AZ25" s="75" t="s">
        <v>65</v>
      </c>
      <c r="BA25" s="75" t="str">
        <f>REPLACE(INDEX(GroupVertices[Group],MATCH(Vertices[[#This Row],[Vertex]],GroupVertices[Vertex],0)),1,1,"")</f>
        <v>6</v>
      </c>
      <c r="BB25" s="45"/>
      <c r="BC25" s="46"/>
      <c r="BD25" s="45"/>
      <c r="BE25" s="46"/>
      <c r="BF25" s="45"/>
      <c r="BG25" s="46"/>
      <c r="BH25" s="45"/>
      <c r="BI25" s="46"/>
      <c r="BJ25" s="45"/>
      <c r="BK25" s="45"/>
      <c r="BL25" s="45"/>
      <c r="BM25" s="45"/>
      <c r="BN25" s="45"/>
      <c r="BO25" s="45"/>
      <c r="BP25" s="45"/>
      <c r="BQ25" s="45"/>
      <c r="BR25" s="45"/>
      <c r="BS25" s="45"/>
      <c r="BT25" s="45"/>
      <c r="BU25" s="2"/>
    </row>
    <row r="26" spans="1:73" ht="15">
      <c r="A26" s="61" t="s">
        <v>443</v>
      </c>
      <c r="B26" s="62"/>
      <c r="C26" s="62"/>
      <c r="D26" s="63">
        <v>100</v>
      </c>
      <c r="E26" s="65"/>
      <c r="F26" s="99" t="str">
        <f>HYPERLINK("https://pbs.twimg.com/profile_images/1566724820515131393/Fn20Xu8K_normal.jpg")</f>
        <v>https://pbs.twimg.com/profile_images/1566724820515131393/Fn20Xu8K_normal.jpg</v>
      </c>
      <c r="G26" s="62"/>
      <c r="H26" s="66" t="s">
        <v>443</v>
      </c>
      <c r="I26" s="67"/>
      <c r="J26" s="67"/>
      <c r="K26" s="66" t="s">
        <v>2868</v>
      </c>
      <c r="L26" s="70">
        <v>1</v>
      </c>
      <c r="M26" s="71">
        <v>3915.986083984375</v>
      </c>
      <c r="N26" s="71">
        <v>6753.8486328125</v>
      </c>
      <c r="O26" s="72"/>
      <c r="P26" s="73"/>
      <c r="Q26" s="73"/>
      <c r="R26" s="85"/>
      <c r="S26" s="45">
        <v>1</v>
      </c>
      <c r="T26" s="45">
        <v>0</v>
      </c>
      <c r="U26" s="46">
        <v>0</v>
      </c>
      <c r="V26" s="46">
        <v>0.070547</v>
      </c>
      <c r="W26" s="46">
        <v>0.01221</v>
      </c>
      <c r="X26" s="46">
        <v>0.002678</v>
      </c>
      <c r="Y26" s="46">
        <v>0</v>
      </c>
      <c r="Z26" s="46">
        <v>0</v>
      </c>
      <c r="AA26" s="68">
        <v>26</v>
      </c>
      <c r="AB26" s="68"/>
      <c r="AC26" s="69"/>
      <c r="AD26" s="75" t="s">
        <v>1861</v>
      </c>
      <c r="AE26" s="80" t="s">
        <v>2181</v>
      </c>
      <c r="AF26" s="75">
        <v>1443</v>
      </c>
      <c r="AG26" s="75">
        <v>556918</v>
      </c>
      <c r="AH26" s="75">
        <v>69213</v>
      </c>
      <c r="AI26" s="75">
        <v>22488</v>
      </c>
      <c r="AJ26" s="75"/>
      <c r="AK26" s="75" t="s">
        <v>2418</v>
      </c>
      <c r="AL26" s="75" t="s">
        <v>2696</v>
      </c>
      <c r="AM26" s="82" t="str">
        <f>HYPERLINK("https://t.co/SDlu6xFN9Y")</f>
        <v>https://t.co/SDlu6xFN9Y</v>
      </c>
      <c r="AN26" s="75"/>
      <c r="AO26" s="77">
        <v>40595.53150462963</v>
      </c>
      <c r="AP26" s="82" t="str">
        <f>HYPERLINK("https://pbs.twimg.com/profile_banners/255471924/1604577773")</f>
        <v>https://pbs.twimg.com/profile_banners/255471924/1604577773</v>
      </c>
      <c r="AQ26" s="75" t="b">
        <v>0</v>
      </c>
      <c r="AR26" s="75" t="b">
        <v>0</v>
      </c>
      <c r="AS26" s="75" t="b">
        <v>1</v>
      </c>
      <c r="AT26" s="75"/>
      <c r="AU26" s="75">
        <v>5299</v>
      </c>
      <c r="AV26" s="82" t="str">
        <f>HYPERLINK("https://abs.twimg.com/images/themes/theme7/bg.gif")</f>
        <v>https://abs.twimg.com/images/themes/theme7/bg.gif</v>
      </c>
      <c r="AW26" s="75" t="b">
        <v>1</v>
      </c>
      <c r="AX26" s="75" t="s">
        <v>2845</v>
      </c>
      <c r="AY26" s="82" t="str">
        <f>HYPERLINK("https://twitter.com/mfa_russia")</f>
        <v>https://twitter.com/mfa_russia</v>
      </c>
      <c r="AZ26" s="75" t="s">
        <v>65</v>
      </c>
      <c r="BA26" s="75" t="str">
        <f>REPLACE(INDEX(GroupVertices[Group],MATCH(Vertices[[#This Row],[Vertex]],GroupVertices[Vertex],0)),1,1,"")</f>
        <v>6</v>
      </c>
      <c r="BB26" s="45"/>
      <c r="BC26" s="46"/>
      <c r="BD26" s="45"/>
      <c r="BE26" s="46"/>
      <c r="BF26" s="45"/>
      <c r="BG26" s="46"/>
      <c r="BH26" s="45"/>
      <c r="BI26" s="46"/>
      <c r="BJ26" s="45"/>
      <c r="BK26" s="45"/>
      <c r="BL26" s="45"/>
      <c r="BM26" s="45"/>
      <c r="BN26" s="45"/>
      <c r="BO26" s="45"/>
      <c r="BP26" s="45"/>
      <c r="BQ26" s="45"/>
      <c r="BR26" s="45"/>
      <c r="BS26" s="45"/>
      <c r="BT26" s="45"/>
      <c r="BU26" s="2"/>
    </row>
    <row r="27" spans="1:73" ht="15">
      <c r="A27" s="61" t="s">
        <v>444</v>
      </c>
      <c r="B27" s="62"/>
      <c r="C27" s="62"/>
      <c r="D27" s="63">
        <v>100</v>
      </c>
      <c r="E27" s="65"/>
      <c r="F27" s="99" t="str">
        <f>HYPERLINK("https://pbs.twimg.com/profile_images/1497658889642266625/FcLPAOOL_normal.jpg")</f>
        <v>https://pbs.twimg.com/profile_images/1497658889642266625/FcLPAOOL_normal.jpg</v>
      </c>
      <c r="G27" s="62"/>
      <c r="H27" s="66" t="s">
        <v>444</v>
      </c>
      <c r="I27" s="67"/>
      <c r="J27" s="67"/>
      <c r="K27" s="66" t="s">
        <v>2869</v>
      </c>
      <c r="L27" s="70">
        <v>1</v>
      </c>
      <c r="M27" s="71">
        <v>4340.8857421875</v>
      </c>
      <c r="N27" s="71">
        <v>8950.0859375</v>
      </c>
      <c r="O27" s="72"/>
      <c r="P27" s="73"/>
      <c r="Q27" s="73"/>
      <c r="R27" s="85"/>
      <c r="S27" s="45">
        <v>1</v>
      </c>
      <c r="T27" s="45">
        <v>0</v>
      </c>
      <c r="U27" s="46">
        <v>0</v>
      </c>
      <c r="V27" s="46">
        <v>0.070547</v>
      </c>
      <c r="W27" s="46">
        <v>0.01221</v>
      </c>
      <c r="X27" s="46">
        <v>0.002678</v>
      </c>
      <c r="Y27" s="46">
        <v>0</v>
      </c>
      <c r="Z27" s="46">
        <v>0</v>
      </c>
      <c r="AA27" s="68">
        <v>27</v>
      </c>
      <c r="AB27" s="68"/>
      <c r="AC27" s="69"/>
      <c r="AD27" s="75" t="s">
        <v>1862</v>
      </c>
      <c r="AE27" s="80" t="s">
        <v>2182</v>
      </c>
      <c r="AF27" s="75">
        <v>1101</v>
      </c>
      <c r="AG27" s="75">
        <v>2618</v>
      </c>
      <c r="AH27" s="75">
        <v>99873</v>
      </c>
      <c r="AI27" s="75">
        <v>19548</v>
      </c>
      <c r="AJ27" s="75"/>
      <c r="AK27" s="75" t="s">
        <v>2419</v>
      </c>
      <c r="AL27" s="75"/>
      <c r="AM27" s="75"/>
      <c r="AN27" s="75"/>
      <c r="AO27" s="77">
        <v>41543.78084490741</v>
      </c>
      <c r="AP27" s="82" t="str">
        <f>HYPERLINK("https://pbs.twimg.com/profile_banners/1908805122/1645724597")</f>
        <v>https://pbs.twimg.com/profile_banners/1908805122/1645724597</v>
      </c>
      <c r="AQ27" s="75" t="b">
        <v>1</v>
      </c>
      <c r="AR27" s="75" t="b">
        <v>0</v>
      </c>
      <c r="AS27" s="75" t="b">
        <v>1</v>
      </c>
      <c r="AT27" s="75"/>
      <c r="AU27" s="75">
        <v>20</v>
      </c>
      <c r="AV27" s="82" t="str">
        <f>HYPERLINK("https://abs.twimg.com/images/themes/theme1/bg.png")</f>
        <v>https://abs.twimg.com/images/themes/theme1/bg.png</v>
      </c>
      <c r="AW27" s="75" t="b">
        <v>0</v>
      </c>
      <c r="AX27" s="75" t="s">
        <v>2845</v>
      </c>
      <c r="AY27" s="82" t="str">
        <f>HYPERLINK("https://twitter.com/mgcanmore")</f>
        <v>https://twitter.com/mgcanmore</v>
      </c>
      <c r="AZ27" s="75" t="s">
        <v>65</v>
      </c>
      <c r="BA27" s="75" t="str">
        <f>REPLACE(INDEX(GroupVertices[Group],MATCH(Vertices[[#This Row],[Vertex]],GroupVertices[Vertex],0)),1,1,"")</f>
        <v>6</v>
      </c>
      <c r="BB27" s="45"/>
      <c r="BC27" s="46"/>
      <c r="BD27" s="45"/>
      <c r="BE27" s="46"/>
      <c r="BF27" s="45"/>
      <c r="BG27" s="46"/>
      <c r="BH27" s="45"/>
      <c r="BI27" s="46"/>
      <c r="BJ27" s="45"/>
      <c r="BK27" s="45"/>
      <c r="BL27" s="45"/>
      <c r="BM27" s="45"/>
      <c r="BN27" s="45"/>
      <c r="BO27" s="45"/>
      <c r="BP27" s="45"/>
      <c r="BQ27" s="45"/>
      <c r="BR27" s="45"/>
      <c r="BS27" s="45"/>
      <c r="BT27" s="45"/>
      <c r="BU27" s="2"/>
    </row>
    <row r="28" spans="1:73" ht="15">
      <c r="A28" s="61" t="s">
        <v>445</v>
      </c>
      <c r="B28" s="62"/>
      <c r="C28" s="62"/>
      <c r="D28" s="63">
        <v>100</v>
      </c>
      <c r="E28" s="65"/>
      <c r="F28" s="99" t="str">
        <f>HYPERLINK("https://pbs.twimg.com/profile_images/1206577792151896065/ciW7kZyw_normal.jpg")</f>
        <v>https://pbs.twimg.com/profile_images/1206577792151896065/ciW7kZyw_normal.jpg</v>
      </c>
      <c r="G28" s="62"/>
      <c r="H28" s="66" t="s">
        <v>445</v>
      </c>
      <c r="I28" s="67"/>
      <c r="J28" s="67"/>
      <c r="K28" s="66" t="s">
        <v>2870</v>
      </c>
      <c r="L28" s="70">
        <v>1</v>
      </c>
      <c r="M28" s="71">
        <v>4332.3583984375</v>
      </c>
      <c r="N28" s="71">
        <v>6839.52734375</v>
      </c>
      <c r="O28" s="72"/>
      <c r="P28" s="73"/>
      <c r="Q28" s="73"/>
      <c r="R28" s="85"/>
      <c r="S28" s="45">
        <v>1</v>
      </c>
      <c r="T28" s="45">
        <v>0</v>
      </c>
      <c r="U28" s="46">
        <v>0</v>
      </c>
      <c r="V28" s="46">
        <v>0.070547</v>
      </c>
      <c r="W28" s="46">
        <v>0.01221</v>
      </c>
      <c r="X28" s="46">
        <v>0.002678</v>
      </c>
      <c r="Y28" s="46">
        <v>0</v>
      </c>
      <c r="Z28" s="46">
        <v>0</v>
      </c>
      <c r="AA28" s="68">
        <v>28</v>
      </c>
      <c r="AB28" s="68"/>
      <c r="AC28" s="69"/>
      <c r="AD28" s="75" t="s">
        <v>1863</v>
      </c>
      <c r="AE28" s="80" t="s">
        <v>1678</v>
      </c>
      <c r="AF28" s="75">
        <v>267</v>
      </c>
      <c r="AG28" s="75">
        <v>372</v>
      </c>
      <c r="AH28" s="75">
        <v>4941</v>
      </c>
      <c r="AI28" s="75">
        <v>57182</v>
      </c>
      <c r="AJ28" s="75"/>
      <c r="AK28" s="75" t="s">
        <v>2420</v>
      </c>
      <c r="AL28" s="75" t="s">
        <v>2697</v>
      </c>
      <c r="AM28" s="75"/>
      <c r="AN28" s="75"/>
      <c r="AO28" s="77">
        <v>39920.937789351854</v>
      </c>
      <c r="AP28" s="82" t="str">
        <f>HYPERLINK("https://pbs.twimg.com/profile_banners/32628809/1662060537")</f>
        <v>https://pbs.twimg.com/profile_banners/32628809/1662060537</v>
      </c>
      <c r="AQ28" s="75" t="b">
        <v>0</v>
      </c>
      <c r="AR28" s="75" t="b">
        <v>0</v>
      </c>
      <c r="AS28" s="75" t="b">
        <v>0</v>
      </c>
      <c r="AT28" s="75"/>
      <c r="AU28" s="75">
        <v>9</v>
      </c>
      <c r="AV28" s="82" t="str">
        <f>HYPERLINK("https://abs.twimg.com/images/themes/theme9/bg.gif")</f>
        <v>https://abs.twimg.com/images/themes/theme9/bg.gif</v>
      </c>
      <c r="AW28" s="75" t="b">
        <v>0</v>
      </c>
      <c r="AX28" s="75" t="s">
        <v>2845</v>
      </c>
      <c r="AY28" s="82" t="str">
        <f>HYPERLINK("https://twitter.com/kartoen")</f>
        <v>https://twitter.com/kartoen</v>
      </c>
      <c r="AZ28" s="75" t="s">
        <v>65</v>
      </c>
      <c r="BA28" s="75" t="str">
        <f>REPLACE(INDEX(GroupVertices[Group],MATCH(Vertices[[#This Row],[Vertex]],GroupVertices[Vertex],0)),1,1,"")</f>
        <v>6</v>
      </c>
      <c r="BB28" s="45"/>
      <c r="BC28" s="46"/>
      <c r="BD28" s="45"/>
      <c r="BE28" s="46"/>
      <c r="BF28" s="45"/>
      <c r="BG28" s="46"/>
      <c r="BH28" s="45"/>
      <c r="BI28" s="46"/>
      <c r="BJ28" s="45"/>
      <c r="BK28" s="45"/>
      <c r="BL28" s="45"/>
      <c r="BM28" s="45"/>
      <c r="BN28" s="45"/>
      <c r="BO28" s="45"/>
      <c r="BP28" s="45"/>
      <c r="BQ28" s="45"/>
      <c r="BR28" s="45"/>
      <c r="BS28" s="45"/>
      <c r="BT28" s="45"/>
      <c r="BU28" s="2"/>
    </row>
    <row r="29" spans="1:73" ht="15">
      <c r="A29" s="61" t="s">
        <v>446</v>
      </c>
      <c r="B29" s="62"/>
      <c r="C29" s="62"/>
      <c r="D29" s="63">
        <v>761.1111106060606</v>
      </c>
      <c r="E29" s="65"/>
      <c r="F29" s="99" t="str">
        <f>HYPERLINK("https://pbs.twimg.com/profile_images/1566777565091700737/kEuLiW2C_normal.jpg")</f>
        <v>https://pbs.twimg.com/profile_images/1566777565091700737/kEuLiW2C_normal.jpg</v>
      </c>
      <c r="G29" s="62"/>
      <c r="H29" s="66" t="s">
        <v>446</v>
      </c>
      <c r="I29" s="67"/>
      <c r="J29" s="67"/>
      <c r="K29" s="66" t="s">
        <v>2871</v>
      </c>
      <c r="L29" s="70">
        <v>970.7955706087602</v>
      </c>
      <c r="M29" s="71">
        <v>4167.63037109375</v>
      </c>
      <c r="N29" s="71">
        <v>9327.2724609375</v>
      </c>
      <c r="O29" s="72"/>
      <c r="P29" s="73"/>
      <c r="Q29" s="73"/>
      <c r="R29" s="85"/>
      <c r="S29" s="45">
        <v>2</v>
      </c>
      <c r="T29" s="45">
        <v>0</v>
      </c>
      <c r="U29" s="46">
        <v>436.333333</v>
      </c>
      <c r="V29" s="46">
        <v>0.091427</v>
      </c>
      <c r="W29" s="46">
        <v>0.054814</v>
      </c>
      <c r="X29" s="46">
        <v>0.002738</v>
      </c>
      <c r="Y29" s="46">
        <v>0</v>
      </c>
      <c r="Z29" s="46">
        <v>0</v>
      </c>
      <c r="AA29" s="68">
        <v>29</v>
      </c>
      <c r="AB29" s="68"/>
      <c r="AC29" s="69"/>
      <c r="AD29" s="75" t="s">
        <v>1864</v>
      </c>
      <c r="AE29" s="80" t="s">
        <v>2183</v>
      </c>
      <c r="AF29" s="75">
        <v>842</v>
      </c>
      <c r="AG29" s="75">
        <v>33201</v>
      </c>
      <c r="AH29" s="75">
        <v>9711</v>
      </c>
      <c r="AI29" s="75">
        <v>1955</v>
      </c>
      <c r="AJ29" s="75"/>
      <c r="AK29" s="75" t="s">
        <v>2421</v>
      </c>
      <c r="AL29" s="75" t="s">
        <v>2698</v>
      </c>
      <c r="AM29" s="82" t="str">
        <f>HYPERLINK("https://t.co/JzM6oynlQ2")</f>
        <v>https://t.co/JzM6oynlQ2</v>
      </c>
      <c r="AN29" s="75"/>
      <c r="AO29" s="77">
        <v>40968.35674768518</v>
      </c>
      <c r="AP29" s="82" t="str">
        <f>HYPERLINK("https://pbs.twimg.com/profile_banners/508588196/1522845480")</f>
        <v>https://pbs.twimg.com/profile_banners/508588196/1522845480</v>
      </c>
      <c r="AQ29" s="75" t="b">
        <v>0</v>
      </c>
      <c r="AR29" s="75" t="b">
        <v>0</v>
      </c>
      <c r="AS29" s="75" t="b">
        <v>1</v>
      </c>
      <c r="AT29" s="75"/>
      <c r="AU29" s="75">
        <v>319</v>
      </c>
      <c r="AV29" s="82" t="str">
        <f>HYPERLINK("https://abs.twimg.com/images/themes/theme1/bg.png")</f>
        <v>https://abs.twimg.com/images/themes/theme1/bg.png</v>
      </c>
      <c r="AW29" s="75" t="b">
        <v>1</v>
      </c>
      <c r="AX29" s="75" t="s">
        <v>2845</v>
      </c>
      <c r="AY29" s="82" t="str">
        <f>HYPERLINK("https://twitter.com/rusembitaly")</f>
        <v>https://twitter.com/rusembitaly</v>
      </c>
      <c r="AZ29" s="75" t="s">
        <v>65</v>
      </c>
      <c r="BA29" s="75" t="str">
        <f>REPLACE(INDEX(GroupVertices[Group],MATCH(Vertices[[#This Row],[Vertex]],GroupVertices[Vertex],0)),1,1,"")</f>
        <v>6</v>
      </c>
      <c r="BB29" s="45"/>
      <c r="BC29" s="46"/>
      <c r="BD29" s="45"/>
      <c r="BE29" s="46"/>
      <c r="BF29" s="45"/>
      <c r="BG29" s="46"/>
      <c r="BH29" s="45"/>
      <c r="BI29" s="46"/>
      <c r="BJ29" s="45"/>
      <c r="BK29" s="45"/>
      <c r="BL29" s="45"/>
      <c r="BM29" s="45"/>
      <c r="BN29" s="45"/>
      <c r="BO29" s="45"/>
      <c r="BP29" s="45"/>
      <c r="BQ29" s="45"/>
      <c r="BR29" s="45"/>
      <c r="BS29" s="45"/>
      <c r="BT29" s="45"/>
      <c r="BU29" s="2"/>
    </row>
    <row r="30" spans="1:73" ht="15">
      <c r="A30" s="61" t="s">
        <v>447</v>
      </c>
      <c r="B30" s="62"/>
      <c r="C30" s="62"/>
      <c r="D30" s="63">
        <v>1000</v>
      </c>
      <c r="E30" s="65"/>
      <c r="F30" s="99" t="str">
        <f>HYPERLINK("https://pbs.twimg.com/profile_images/1151477036545925121/sUDOL-vE_normal.png")</f>
        <v>https://pbs.twimg.com/profile_images/1151477036545925121/sUDOL-vE_normal.png</v>
      </c>
      <c r="G30" s="62"/>
      <c r="H30" s="66" t="s">
        <v>447</v>
      </c>
      <c r="I30" s="67"/>
      <c r="J30" s="67"/>
      <c r="K30" s="66" t="s">
        <v>2872</v>
      </c>
      <c r="L30" s="70">
        <v>7137.049973953902</v>
      </c>
      <c r="M30" s="71">
        <v>1196.1043701171875</v>
      </c>
      <c r="N30" s="71">
        <v>7071.30126953125</v>
      </c>
      <c r="O30" s="72"/>
      <c r="P30" s="73"/>
      <c r="Q30" s="73"/>
      <c r="R30" s="85"/>
      <c r="S30" s="45">
        <v>6</v>
      </c>
      <c r="T30" s="45">
        <v>0</v>
      </c>
      <c r="U30" s="46">
        <v>3210.673016</v>
      </c>
      <c r="V30" s="46">
        <v>0.117404</v>
      </c>
      <c r="W30" s="46">
        <v>0.210867</v>
      </c>
      <c r="X30" s="46">
        <v>0.003188</v>
      </c>
      <c r="Y30" s="46">
        <v>0</v>
      </c>
      <c r="Z30" s="46">
        <v>0</v>
      </c>
      <c r="AA30" s="68">
        <v>30</v>
      </c>
      <c r="AB30" s="68"/>
      <c r="AC30" s="69"/>
      <c r="AD30" s="75" t="s">
        <v>1865</v>
      </c>
      <c r="AE30" s="80" t="s">
        <v>1702</v>
      </c>
      <c r="AF30" s="75">
        <v>223</v>
      </c>
      <c r="AG30" s="75">
        <v>1283040</v>
      </c>
      <c r="AH30" s="75">
        <v>3651</v>
      </c>
      <c r="AI30" s="75">
        <v>405</v>
      </c>
      <c r="AJ30" s="75"/>
      <c r="AK30" s="75" t="s">
        <v>2422</v>
      </c>
      <c r="AL30" s="75"/>
      <c r="AM30" s="82" t="str">
        <f>HYPERLINK("https://t.co/8uHLOdVOrB")</f>
        <v>https://t.co/8uHLOdVOrB</v>
      </c>
      <c r="AN30" s="75"/>
      <c r="AO30" s="77">
        <v>43649.339270833334</v>
      </c>
      <c r="AP30" s="82" t="str">
        <f>HYPERLINK("https://pbs.twimg.com/profile_banners/1146329871418843136/1662474646")</f>
        <v>https://pbs.twimg.com/profile_banners/1146329871418843136/1662474646</v>
      </c>
      <c r="AQ30" s="75" t="b">
        <v>1</v>
      </c>
      <c r="AR30" s="75" t="b">
        <v>0</v>
      </c>
      <c r="AS30" s="75" t="b">
        <v>1</v>
      </c>
      <c r="AT30" s="75"/>
      <c r="AU30" s="75">
        <v>6063</v>
      </c>
      <c r="AV30" s="75"/>
      <c r="AW30" s="75" t="b">
        <v>1</v>
      </c>
      <c r="AX30" s="75" t="s">
        <v>2845</v>
      </c>
      <c r="AY30" s="82" t="str">
        <f>HYPERLINK("https://twitter.com/vonderleyen")</f>
        <v>https://twitter.com/vonderleyen</v>
      </c>
      <c r="AZ30" s="75" t="s">
        <v>65</v>
      </c>
      <c r="BA30" s="75" t="str">
        <f>REPLACE(INDEX(GroupVertices[Group],MATCH(Vertices[[#This Row],[Vertex]],GroupVertices[Vertex],0)),1,1,"")</f>
        <v>1</v>
      </c>
      <c r="BB30" s="45"/>
      <c r="BC30" s="46"/>
      <c r="BD30" s="45"/>
      <c r="BE30" s="46"/>
      <c r="BF30" s="45"/>
      <c r="BG30" s="46"/>
      <c r="BH30" s="45"/>
      <c r="BI30" s="46"/>
      <c r="BJ30" s="45"/>
      <c r="BK30" s="45"/>
      <c r="BL30" s="45"/>
      <c r="BM30" s="45"/>
      <c r="BN30" s="45"/>
      <c r="BO30" s="45"/>
      <c r="BP30" s="45"/>
      <c r="BQ30" s="45"/>
      <c r="BR30" s="45"/>
      <c r="BS30" s="45"/>
      <c r="BT30" s="45"/>
      <c r="BU30" s="2"/>
    </row>
    <row r="31" spans="1:73" ht="15">
      <c r="A31" s="61" t="s">
        <v>263</v>
      </c>
      <c r="B31" s="62"/>
      <c r="C31" s="62"/>
      <c r="D31" s="63">
        <v>209.0909090909091</v>
      </c>
      <c r="E31" s="65"/>
      <c r="F31" s="99" t="str">
        <f>HYPERLINK("https://pbs.twimg.com/profile_images/1555624780270686213/QJRJ38A1_normal.jpg")</f>
        <v>https://pbs.twimg.com/profile_images/1555624780270686213/QJRJ38A1_normal.jpg</v>
      </c>
      <c r="G31" s="62"/>
      <c r="H31" s="66" t="s">
        <v>263</v>
      </c>
      <c r="I31" s="67"/>
      <c r="J31" s="67"/>
      <c r="K31" s="66" t="s">
        <v>2873</v>
      </c>
      <c r="L31" s="70">
        <v>161.02738228534727</v>
      </c>
      <c r="M31" s="71">
        <v>4103.89794921875</v>
      </c>
      <c r="N31" s="71">
        <v>1744.109619140625</v>
      </c>
      <c r="O31" s="72"/>
      <c r="P31" s="73"/>
      <c r="Q31" s="73"/>
      <c r="R31" s="85"/>
      <c r="S31" s="45">
        <v>1</v>
      </c>
      <c r="T31" s="45">
        <v>10</v>
      </c>
      <c r="U31" s="46">
        <v>72</v>
      </c>
      <c r="V31" s="46">
        <v>0.027523</v>
      </c>
      <c r="W31" s="46">
        <v>0</v>
      </c>
      <c r="X31" s="46">
        <v>0.006313</v>
      </c>
      <c r="Y31" s="46">
        <v>0</v>
      </c>
      <c r="Z31" s="46">
        <v>0</v>
      </c>
      <c r="AA31" s="68">
        <v>31</v>
      </c>
      <c r="AB31" s="68"/>
      <c r="AC31" s="69"/>
      <c r="AD31" s="75" t="s">
        <v>1866</v>
      </c>
      <c r="AE31" s="80" t="s">
        <v>2184</v>
      </c>
      <c r="AF31" s="75">
        <v>77</v>
      </c>
      <c r="AG31" s="75">
        <v>5</v>
      </c>
      <c r="AH31" s="75">
        <v>247</v>
      </c>
      <c r="AI31" s="75">
        <v>444</v>
      </c>
      <c r="AJ31" s="75"/>
      <c r="AK31" s="75" t="s">
        <v>2423</v>
      </c>
      <c r="AL31" s="75" t="s">
        <v>2699</v>
      </c>
      <c r="AM31" s="75"/>
      <c r="AN31" s="75"/>
      <c r="AO31" s="77">
        <v>44778.76888888889</v>
      </c>
      <c r="AP31" s="82" t="str">
        <f>HYPERLINK("https://pbs.twimg.com/profile_banners/1555621226063622144/1659724865")</f>
        <v>https://pbs.twimg.com/profile_banners/1555621226063622144/1659724865</v>
      </c>
      <c r="AQ31" s="75" t="b">
        <v>1</v>
      </c>
      <c r="AR31" s="75" t="b">
        <v>0</v>
      </c>
      <c r="AS31" s="75" t="b">
        <v>0</v>
      </c>
      <c r="AT31" s="75"/>
      <c r="AU31" s="75">
        <v>0</v>
      </c>
      <c r="AV31" s="75"/>
      <c r="AW31" s="75" t="b">
        <v>0</v>
      </c>
      <c r="AX31" s="75" t="s">
        <v>2845</v>
      </c>
      <c r="AY31" s="82" t="str">
        <f>HYPERLINK("https://twitter.com/oliverswift65")</f>
        <v>https://twitter.com/oliverswift65</v>
      </c>
      <c r="AZ31" s="75" t="s">
        <v>66</v>
      </c>
      <c r="BA31" s="75" t="str">
        <f>REPLACE(INDEX(GroupVertices[Group],MATCH(Vertices[[#This Row],[Vertex]],GroupVertices[Vertex],0)),1,1,"")</f>
        <v>8</v>
      </c>
      <c r="BB31" s="45">
        <v>1</v>
      </c>
      <c r="BC31" s="46">
        <v>0.6666666666666666</v>
      </c>
      <c r="BD31" s="45">
        <v>0</v>
      </c>
      <c r="BE31" s="46">
        <v>0</v>
      </c>
      <c r="BF31" s="45">
        <v>0</v>
      </c>
      <c r="BG31" s="46">
        <v>0</v>
      </c>
      <c r="BH31" s="45">
        <v>149</v>
      </c>
      <c r="BI31" s="46">
        <v>99.33333333333333</v>
      </c>
      <c r="BJ31" s="45">
        <v>150</v>
      </c>
      <c r="BK31" s="45"/>
      <c r="BL31" s="45"/>
      <c r="BM31" s="45"/>
      <c r="BN31" s="45"/>
      <c r="BO31" s="45" t="s">
        <v>4411</v>
      </c>
      <c r="BP31" s="45" t="s">
        <v>4425</v>
      </c>
      <c r="BQ31" s="110" t="s">
        <v>4450</v>
      </c>
      <c r="BR31" s="110" t="s">
        <v>4541</v>
      </c>
      <c r="BS31" s="110" t="s">
        <v>4246</v>
      </c>
      <c r="BT31" s="110" t="s">
        <v>4246</v>
      </c>
      <c r="BU31" s="2"/>
    </row>
    <row r="32" spans="1:73" ht="15">
      <c r="A32" s="61" t="s">
        <v>448</v>
      </c>
      <c r="B32" s="62"/>
      <c r="C32" s="62"/>
      <c r="D32" s="63">
        <v>100</v>
      </c>
      <c r="E32" s="65"/>
      <c r="F32" s="99" t="str">
        <f>HYPERLINK("https://pbs.twimg.com/profile_images/800047983047933952/xPDVvjGe_normal.jpg")</f>
        <v>https://pbs.twimg.com/profile_images/800047983047933952/xPDVvjGe_normal.jpg</v>
      </c>
      <c r="G32" s="62"/>
      <c r="H32" s="66" t="s">
        <v>448</v>
      </c>
      <c r="I32" s="67"/>
      <c r="J32" s="67"/>
      <c r="K32" s="66" t="s">
        <v>2874</v>
      </c>
      <c r="L32" s="70">
        <v>1</v>
      </c>
      <c r="M32" s="71">
        <v>4065.093017578125</v>
      </c>
      <c r="N32" s="71">
        <v>640.9615478515625</v>
      </c>
      <c r="O32" s="72"/>
      <c r="P32" s="73"/>
      <c r="Q32" s="73"/>
      <c r="R32" s="85"/>
      <c r="S32" s="45">
        <v>1</v>
      </c>
      <c r="T32" s="45">
        <v>0</v>
      </c>
      <c r="U32" s="46">
        <v>0</v>
      </c>
      <c r="V32" s="46">
        <v>0.014571</v>
      </c>
      <c r="W32" s="46">
        <v>0</v>
      </c>
      <c r="X32" s="46">
        <v>0.002686</v>
      </c>
      <c r="Y32" s="46">
        <v>0</v>
      </c>
      <c r="Z32" s="46">
        <v>0</v>
      </c>
      <c r="AA32" s="68">
        <v>32</v>
      </c>
      <c r="AB32" s="68"/>
      <c r="AC32" s="69"/>
      <c r="AD32" s="75" t="s">
        <v>1867</v>
      </c>
      <c r="AE32" s="80" t="s">
        <v>2185</v>
      </c>
      <c r="AF32" s="75">
        <v>556</v>
      </c>
      <c r="AG32" s="75">
        <v>6018</v>
      </c>
      <c r="AH32" s="75">
        <v>6053</v>
      </c>
      <c r="AI32" s="75">
        <v>456</v>
      </c>
      <c r="AJ32" s="75"/>
      <c r="AK32" s="75" t="s">
        <v>2424</v>
      </c>
      <c r="AL32" s="75" t="s">
        <v>2700</v>
      </c>
      <c r="AM32" s="82" t="str">
        <f>HYPERLINK("https://t.co/fExTDc9pcR")</f>
        <v>https://t.co/fExTDc9pcR</v>
      </c>
      <c r="AN32" s="75"/>
      <c r="AO32" s="77">
        <v>40727.600127314814</v>
      </c>
      <c r="AP32" s="82" t="str">
        <f>HYPERLINK("https://pbs.twimg.com/profile_banners/328509911/1473009285")</f>
        <v>https://pbs.twimg.com/profile_banners/328509911/1473009285</v>
      </c>
      <c r="AQ32" s="75" t="b">
        <v>0</v>
      </c>
      <c r="AR32" s="75" t="b">
        <v>0</v>
      </c>
      <c r="AS32" s="75" t="b">
        <v>1</v>
      </c>
      <c r="AT32" s="75"/>
      <c r="AU32" s="75">
        <v>81</v>
      </c>
      <c r="AV32" s="82" t="str">
        <f>HYPERLINK("https://abs.twimg.com/images/themes/theme2/bg.gif")</f>
        <v>https://abs.twimg.com/images/themes/theme2/bg.gif</v>
      </c>
      <c r="AW32" s="75" t="b">
        <v>1</v>
      </c>
      <c r="AX32" s="75" t="s">
        <v>2845</v>
      </c>
      <c r="AY32" s="82" t="str">
        <f>HYPERLINK("https://twitter.com/patrickrogere")</f>
        <v>https://twitter.com/patrickrogere</v>
      </c>
      <c r="AZ32" s="75" t="s">
        <v>65</v>
      </c>
      <c r="BA32" s="75" t="str">
        <f>REPLACE(INDEX(GroupVertices[Group],MATCH(Vertices[[#This Row],[Vertex]],GroupVertices[Vertex],0)),1,1,"")</f>
        <v>8</v>
      </c>
      <c r="BB32" s="45"/>
      <c r="BC32" s="46"/>
      <c r="BD32" s="45"/>
      <c r="BE32" s="46"/>
      <c r="BF32" s="45"/>
      <c r="BG32" s="46"/>
      <c r="BH32" s="45"/>
      <c r="BI32" s="46"/>
      <c r="BJ32" s="45"/>
      <c r="BK32" s="45"/>
      <c r="BL32" s="45"/>
      <c r="BM32" s="45"/>
      <c r="BN32" s="45"/>
      <c r="BO32" s="45"/>
      <c r="BP32" s="45"/>
      <c r="BQ32" s="45"/>
      <c r="BR32" s="45"/>
      <c r="BS32" s="45"/>
      <c r="BT32" s="45"/>
      <c r="BU32" s="2"/>
    </row>
    <row r="33" spans="1:73" ht="15">
      <c r="A33" s="61" t="s">
        <v>449</v>
      </c>
      <c r="B33" s="62"/>
      <c r="C33" s="62"/>
      <c r="D33" s="63">
        <v>100</v>
      </c>
      <c r="E33" s="65"/>
      <c r="F33" s="99" t="str">
        <f>HYPERLINK("https://pbs.twimg.com/profile_images/424188255295127553/tyjRw4L2_normal.jpeg")</f>
        <v>https://pbs.twimg.com/profile_images/424188255295127553/tyjRw4L2_normal.jpeg</v>
      </c>
      <c r="G33" s="62"/>
      <c r="H33" s="66" t="s">
        <v>449</v>
      </c>
      <c r="I33" s="67"/>
      <c r="J33" s="67"/>
      <c r="K33" s="66" t="s">
        <v>2875</v>
      </c>
      <c r="L33" s="70">
        <v>1</v>
      </c>
      <c r="M33" s="71">
        <v>4013.31201171875</v>
      </c>
      <c r="N33" s="71">
        <v>2820.230712890625</v>
      </c>
      <c r="O33" s="72"/>
      <c r="P33" s="73"/>
      <c r="Q33" s="73"/>
      <c r="R33" s="85"/>
      <c r="S33" s="45">
        <v>1</v>
      </c>
      <c r="T33" s="45">
        <v>0</v>
      </c>
      <c r="U33" s="46">
        <v>0</v>
      </c>
      <c r="V33" s="46">
        <v>0.014571</v>
      </c>
      <c r="W33" s="46">
        <v>0</v>
      </c>
      <c r="X33" s="46">
        <v>0.002686</v>
      </c>
      <c r="Y33" s="46">
        <v>0</v>
      </c>
      <c r="Z33" s="46">
        <v>0</v>
      </c>
      <c r="AA33" s="68">
        <v>33</v>
      </c>
      <c r="AB33" s="68"/>
      <c r="AC33" s="69"/>
      <c r="AD33" s="75" t="s">
        <v>1868</v>
      </c>
      <c r="AE33" s="80" t="s">
        <v>2186</v>
      </c>
      <c r="AF33" s="75">
        <v>1995</v>
      </c>
      <c r="AG33" s="75">
        <v>7214</v>
      </c>
      <c r="AH33" s="75">
        <v>2344</v>
      </c>
      <c r="AI33" s="75">
        <v>242</v>
      </c>
      <c r="AJ33" s="75"/>
      <c r="AK33" s="75" t="s">
        <v>2425</v>
      </c>
      <c r="AL33" s="75" t="s">
        <v>2700</v>
      </c>
      <c r="AM33" s="82" t="str">
        <f>HYPERLINK("http://t.co/EgRoKYP9OM")</f>
        <v>http://t.co/EgRoKYP9OM</v>
      </c>
      <c r="AN33" s="75"/>
      <c r="AO33" s="77">
        <v>41439.38917824074</v>
      </c>
      <c r="AP33" s="82" t="str">
        <f>HYPERLINK("https://pbs.twimg.com/profile_banners/1515882512/1390917332")</f>
        <v>https://pbs.twimg.com/profile_banners/1515882512/1390917332</v>
      </c>
      <c r="AQ33" s="75" t="b">
        <v>1</v>
      </c>
      <c r="AR33" s="75" t="b">
        <v>0</v>
      </c>
      <c r="AS33" s="75" t="b">
        <v>1</v>
      </c>
      <c r="AT33" s="75"/>
      <c r="AU33" s="75">
        <v>51</v>
      </c>
      <c r="AV33" s="82" t="str">
        <f>HYPERLINK("https://abs.twimg.com/images/themes/theme1/bg.png")</f>
        <v>https://abs.twimg.com/images/themes/theme1/bg.png</v>
      </c>
      <c r="AW33" s="75" t="b">
        <v>0</v>
      </c>
      <c r="AX33" s="75" t="s">
        <v>2845</v>
      </c>
      <c r="AY33" s="82" t="str">
        <f>HYPERLINK("https://twitter.com/loiklfp")</f>
        <v>https://twitter.com/loiklfp</v>
      </c>
      <c r="AZ33" s="75" t="s">
        <v>65</v>
      </c>
      <c r="BA33" s="75" t="str">
        <f>REPLACE(INDEX(GroupVertices[Group],MATCH(Vertices[[#This Row],[Vertex]],GroupVertices[Vertex],0)),1,1,"")</f>
        <v>8</v>
      </c>
      <c r="BB33" s="45"/>
      <c r="BC33" s="46"/>
      <c r="BD33" s="45"/>
      <c r="BE33" s="46"/>
      <c r="BF33" s="45"/>
      <c r="BG33" s="46"/>
      <c r="BH33" s="45"/>
      <c r="BI33" s="46"/>
      <c r="BJ33" s="45"/>
      <c r="BK33" s="45"/>
      <c r="BL33" s="45"/>
      <c r="BM33" s="45"/>
      <c r="BN33" s="45"/>
      <c r="BO33" s="45"/>
      <c r="BP33" s="45"/>
      <c r="BQ33" s="45"/>
      <c r="BR33" s="45"/>
      <c r="BS33" s="45"/>
      <c r="BT33" s="45"/>
      <c r="BU33" s="2"/>
    </row>
    <row r="34" spans="1:73" ht="15">
      <c r="A34" s="61" t="s">
        <v>450</v>
      </c>
      <c r="B34" s="62"/>
      <c r="C34" s="62"/>
      <c r="D34" s="63">
        <v>100</v>
      </c>
      <c r="E34" s="65"/>
      <c r="F34" s="99" t="str">
        <f>HYPERLINK("https://pbs.twimg.com/profile_images/1447770802733133825/aO07XNyA_normal.jpg")</f>
        <v>https://pbs.twimg.com/profile_images/1447770802733133825/aO07XNyA_normal.jpg</v>
      </c>
      <c r="G34" s="62"/>
      <c r="H34" s="66" t="s">
        <v>450</v>
      </c>
      <c r="I34" s="67"/>
      <c r="J34" s="67"/>
      <c r="K34" s="66" t="s">
        <v>2876</v>
      </c>
      <c r="L34" s="70">
        <v>1</v>
      </c>
      <c r="M34" s="71">
        <v>3835.343994140625</v>
      </c>
      <c r="N34" s="71">
        <v>973.0114135742188</v>
      </c>
      <c r="O34" s="72"/>
      <c r="P34" s="73"/>
      <c r="Q34" s="73"/>
      <c r="R34" s="85"/>
      <c r="S34" s="45">
        <v>1</v>
      </c>
      <c r="T34" s="45">
        <v>0</v>
      </c>
      <c r="U34" s="46">
        <v>0</v>
      </c>
      <c r="V34" s="46">
        <v>0.014571</v>
      </c>
      <c r="W34" s="46">
        <v>0</v>
      </c>
      <c r="X34" s="46">
        <v>0.002686</v>
      </c>
      <c r="Y34" s="46">
        <v>0</v>
      </c>
      <c r="Z34" s="46">
        <v>0</v>
      </c>
      <c r="AA34" s="68">
        <v>34</v>
      </c>
      <c r="AB34" s="68"/>
      <c r="AC34" s="69"/>
      <c r="AD34" s="75" t="s">
        <v>1869</v>
      </c>
      <c r="AE34" s="80" t="s">
        <v>2187</v>
      </c>
      <c r="AF34" s="75">
        <v>18877</v>
      </c>
      <c r="AG34" s="75">
        <v>79787</v>
      </c>
      <c r="AH34" s="75">
        <v>34904</v>
      </c>
      <c r="AI34" s="75">
        <v>11681</v>
      </c>
      <c r="AJ34" s="75"/>
      <c r="AK34" s="75" t="s">
        <v>2426</v>
      </c>
      <c r="AL34" s="75" t="s">
        <v>2701</v>
      </c>
      <c r="AM34" s="82" t="str">
        <f>HYPERLINK("https://t.co/65vqHVWccD")</f>
        <v>https://t.co/65vqHVWccD</v>
      </c>
      <c r="AN34" s="75"/>
      <c r="AO34" s="77">
        <v>40011.59174768518</v>
      </c>
      <c r="AP34" s="82" t="str">
        <f>HYPERLINK("https://pbs.twimg.com/profile_banners/57652561/1652509919")</f>
        <v>https://pbs.twimg.com/profile_banners/57652561/1652509919</v>
      </c>
      <c r="AQ34" s="75" t="b">
        <v>1</v>
      </c>
      <c r="AR34" s="75" t="b">
        <v>0</v>
      </c>
      <c r="AS34" s="75" t="b">
        <v>1</v>
      </c>
      <c r="AT34" s="75"/>
      <c r="AU34" s="75">
        <v>391</v>
      </c>
      <c r="AV34" s="82" t="str">
        <f>HYPERLINK("https://abs.twimg.com/images/themes/theme1/bg.png")</f>
        <v>https://abs.twimg.com/images/themes/theme1/bg.png</v>
      </c>
      <c r="AW34" s="75" t="b">
        <v>0</v>
      </c>
      <c r="AX34" s="75" t="s">
        <v>2845</v>
      </c>
      <c r="AY34" s="82" t="str">
        <f>HYPERLINK("https://twitter.com/francoisedegois")</f>
        <v>https://twitter.com/francoisedegois</v>
      </c>
      <c r="AZ34" s="75" t="s">
        <v>65</v>
      </c>
      <c r="BA34" s="75" t="str">
        <f>REPLACE(INDEX(GroupVertices[Group],MATCH(Vertices[[#This Row],[Vertex]],GroupVertices[Vertex],0)),1,1,"")</f>
        <v>8</v>
      </c>
      <c r="BB34" s="45"/>
      <c r="BC34" s="46"/>
      <c r="BD34" s="45"/>
      <c r="BE34" s="46"/>
      <c r="BF34" s="45"/>
      <c r="BG34" s="46"/>
      <c r="BH34" s="45"/>
      <c r="BI34" s="46"/>
      <c r="BJ34" s="45"/>
      <c r="BK34" s="45"/>
      <c r="BL34" s="45"/>
      <c r="BM34" s="45"/>
      <c r="BN34" s="45"/>
      <c r="BO34" s="45"/>
      <c r="BP34" s="45"/>
      <c r="BQ34" s="45"/>
      <c r="BR34" s="45"/>
      <c r="BS34" s="45"/>
      <c r="BT34" s="45"/>
      <c r="BU34" s="2"/>
    </row>
    <row r="35" spans="1:73" ht="15">
      <c r="A35" s="61" t="s">
        <v>451</v>
      </c>
      <c r="B35" s="62"/>
      <c r="C35" s="62"/>
      <c r="D35" s="63">
        <v>100</v>
      </c>
      <c r="E35" s="65"/>
      <c r="F35" s="99" t="str">
        <f>HYPERLINK("https://pbs.twimg.com/profile_images/1954024866/image_normal.jpg")</f>
        <v>https://pbs.twimg.com/profile_images/1954024866/image_normal.jpg</v>
      </c>
      <c r="G35" s="62"/>
      <c r="H35" s="66" t="s">
        <v>451</v>
      </c>
      <c r="I35" s="67"/>
      <c r="J35" s="67"/>
      <c r="K35" s="66" t="s">
        <v>2877</v>
      </c>
      <c r="L35" s="70">
        <v>1</v>
      </c>
      <c r="M35" s="71">
        <v>3731.334228515625</v>
      </c>
      <c r="N35" s="71">
        <v>1666.045166015625</v>
      </c>
      <c r="O35" s="72"/>
      <c r="P35" s="73"/>
      <c r="Q35" s="73"/>
      <c r="R35" s="85"/>
      <c r="S35" s="45">
        <v>1</v>
      </c>
      <c r="T35" s="45">
        <v>0</v>
      </c>
      <c r="U35" s="46">
        <v>0</v>
      </c>
      <c r="V35" s="46">
        <v>0.014571</v>
      </c>
      <c r="W35" s="46">
        <v>0</v>
      </c>
      <c r="X35" s="46">
        <v>0.002686</v>
      </c>
      <c r="Y35" s="46">
        <v>0</v>
      </c>
      <c r="Z35" s="46">
        <v>0</v>
      </c>
      <c r="AA35" s="68">
        <v>35</v>
      </c>
      <c r="AB35" s="68"/>
      <c r="AC35" s="69"/>
      <c r="AD35" s="75" t="s">
        <v>1870</v>
      </c>
      <c r="AE35" s="80" t="s">
        <v>2188</v>
      </c>
      <c r="AF35" s="75">
        <v>363</v>
      </c>
      <c r="AG35" s="75">
        <v>71476</v>
      </c>
      <c r="AH35" s="75">
        <v>42485</v>
      </c>
      <c r="AI35" s="75">
        <v>931</v>
      </c>
      <c r="AJ35" s="75"/>
      <c r="AK35" s="82" t="str">
        <f>HYPERLINK("https://t.co/LUacLT0Zxx")</f>
        <v>https://t.co/LUacLT0Zxx</v>
      </c>
      <c r="AL35" s="75" t="s">
        <v>2702</v>
      </c>
      <c r="AM35" s="82" t="str">
        <f>HYPERLINK("http://t.co/LCgplcBPMF")</f>
        <v>http://t.co/LCgplcBPMF</v>
      </c>
      <c r="AN35" s="75"/>
      <c r="AO35" s="77">
        <v>40893.86565972222</v>
      </c>
      <c r="AP35" s="82" t="str">
        <f>HYPERLINK("https://pbs.twimg.com/profile_banners/438635797/1464784222")</f>
        <v>https://pbs.twimg.com/profile_banners/438635797/1464784222</v>
      </c>
      <c r="AQ35" s="75" t="b">
        <v>1</v>
      </c>
      <c r="AR35" s="75" t="b">
        <v>0</v>
      </c>
      <c r="AS35" s="75" t="b">
        <v>1</v>
      </c>
      <c r="AT35" s="75"/>
      <c r="AU35" s="75">
        <v>411</v>
      </c>
      <c r="AV35" s="82" t="str">
        <f>HYPERLINK("https://abs.twimg.com/images/themes/theme1/bg.png")</f>
        <v>https://abs.twimg.com/images/themes/theme1/bg.png</v>
      </c>
      <c r="AW35" s="75" t="b">
        <v>0</v>
      </c>
      <c r="AX35" s="75" t="s">
        <v>2845</v>
      </c>
      <c r="AY35" s="82" t="str">
        <f>HYPERLINK("https://twitter.com/bilgerphilippe")</f>
        <v>https://twitter.com/bilgerphilippe</v>
      </c>
      <c r="AZ35" s="75" t="s">
        <v>65</v>
      </c>
      <c r="BA35" s="75" t="str">
        <f>REPLACE(INDEX(GroupVertices[Group],MATCH(Vertices[[#This Row],[Vertex]],GroupVertices[Vertex],0)),1,1,"")</f>
        <v>8</v>
      </c>
      <c r="BB35" s="45"/>
      <c r="BC35" s="46"/>
      <c r="BD35" s="45"/>
      <c r="BE35" s="46"/>
      <c r="BF35" s="45"/>
      <c r="BG35" s="46"/>
      <c r="BH35" s="45"/>
      <c r="BI35" s="46"/>
      <c r="BJ35" s="45"/>
      <c r="BK35" s="45"/>
      <c r="BL35" s="45"/>
      <c r="BM35" s="45"/>
      <c r="BN35" s="45"/>
      <c r="BO35" s="45"/>
      <c r="BP35" s="45"/>
      <c r="BQ35" s="45"/>
      <c r="BR35" s="45"/>
      <c r="BS35" s="45"/>
      <c r="BT35" s="45"/>
      <c r="BU35" s="2"/>
    </row>
    <row r="36" spans="1:73" ht="15">
      <c r="A36" s="61" t="s">
        <v>452</v>
      </c>
      <c r="B36" s="62"/>
      <c r="C36" s="62"/>
      <c r="D36" s="63">
        <v>100</v>
      </c>
      <c r="E36" s="65"/>
      <c r="F36" s="99" t="str">
        <f>HYPERLINK("https://pbs.twimg.com/profile_images/1022614358914949120/POsZ9mLN_normal.jpg")</f>
        <v>https://pbs.twimg.com/profile_images/1022614358914949120/POsZ9mLN_normal.jpg</v>
      </c>
      <c r="G36" s="62"/>
      <c r="H36" s="66" t="s">
        <v>452</v>
      </c>
      <c r="I36" s="67"/>
      <c r="J36" s="67"/>
      <c r="K36" s="66" t="s">
        <v>2878</v>
      </c>
      <c r="L36" s="70">
        <v>1</v>
      </c>
      <c r="M36" s="71">
        <v>4312.99853515625</v>
      </c>
      <c r="N36" s="71">
        <v>824.80078125</v>
      </c>
      <c r="O36" s="72"/>
      <c r="P36" s="73"/>
      <c r="Q36" s="73"/>
      <c r="R36" s="85"/>
      <c r="S36" s="45">
        <v>1</v>
      </c>
      <c r="T36" s="45">
        <v>0</v>
      </c>
      <c r="U36" s="46">
        <v>0</v>
      </c>
      <c r="V36" s="46">
        <v>0.014571</v>
      </c>
      <c r="W36" s="46">
        <v>0</v>
      </c>
      <c r="X36" s="46">
        <v>0.002686</v>
      </c>
      <c r="Y36" s="46">
        <v>0</v>
      </c>
      <c r="Z36" s="46">
        <v>0</v>
      </c>
      <c r="AA36" s="68">
        <v>36</v>
      </c>
      <c r="AB36" s="68"/>
      <c r="AC36" s="69"/>
      <c r="AD36" s="75" t="s">
        <v>1871</v>
      </c>
      <c r="AE36" s="80" t="s">
        <v>2189</v>
      </c>
      <c r="AF36" s="75">
        <v>2464</v>
      </c>
      <c r="AG36" s="75">
        <v>264875</v>
      </c>
      <c r="AH36" s="75">
        <v>36911</v>
      </c>
      <c r="AI36" s="75">
        <v>3442</v>
      </c>
      <c r="AJ36" s="75"/>
      <c r="AK36" s="75" t="s">
        <v>2427</v>
      </c>
      <c r="AL36" s="75" t="s">
        <v>2700</v>
      </c>
      <c r="AM36" s="82" t="str">
        <f>HYPERLINK("https://t.co/vnyGdzF6eu")</f>
        <v>https://t.co/vnyGdzF6eu</v>
      </c>
      <c r="AN36" s="75"/>
      <c r="AO36" s="77">
        <v>40726.71471064815</v>
      </c>
      <c r="AP36" s="82" t="str">
        <f>HYPERLINK("https://pbs.twimg.com/profile_banners/328057281/1553885358")</f>
        <v>https://pbs.twimg.com/profile_banners/328057281/1553885358</v>
      </c>
      <c r="AQ36" s="75" t="b">
        <v>0</v>
      </c>
      <c r="AR36" s="75" t="b">
        <v>0</v>
      </c>
      <c r="AS36" s="75" t="b">
        <v>1</v>
      </c>
      <c r="AT36" s="75"/>
      <c r="AU36" s="75">
        <v>763</v>
      </c>
      <c r="AV36" s="82" t="str">
        <f>HYPERLINK("https://abs.twimg.com/images/themes/theme1/bg.png")</f>
        <v>https://abs.twimg.com/images/themes/theme1/bg.png</v>
      </c>
      <c r="AW36" s="75" t="b">
        <v>1</v>
      </c>
      <c r="AX36" s="75" t="s">
        <v>2845</v>
      </c>
      <c r="AY36" s="82" t="str">
        <f>HYPERLINK("https://twitter.com/cecile2menibus")</f>
        <v>https://twitter.com/cecile2menibus</v>
      </c>
      <c r="AZ36" s="75" t="s">
        <v>65</v>
      </c>
      <c r="BA36" s="75" t="str">
        <f>REPLACE(INDEX(GroupVertices[Group],MATCH(Vertices[[#This Row],[Vertex]],GroupVertices[Vertex],0)),1,1,"")</f>
        <v>8</v>
      </c>
      <c r="BB36" s="45"/>
      <c r="BC36" s="46"/>
      <c r="BD36" s="45"/>
      <c r="BE36" s="46"/>
      <c r="BF36" s="45"/>
      <c r="BG36" s="46"/>
      <c r="BH36" s="45"/>
      <c r="BI36" s="46"/>
      <c r="BJ36" s="45"/>
      <c r="BK36" s="45"/>
      <c r="BL36" s="45"/>
      <c r="BM36" s="45"/>
      <c r="BN36" s="45"/>
      <c r="BO36" s="45"/>
      <c r="BP36" s="45"/>
      <c r="BQ36" s="45"/>
      <c r="BR36" s="45"/>
      <c r="BS36" s="45"/>
      <c r="BT36" s="45"/>
      <c r="BU36" s="2"/>
    </row>
    <row r="37" spans="1:73" ht="15">
      <c r="A37" s="61" t="s">
        <v>453</v>
      </c>
      <c r="B37" s="62"/>
      <c r="C37" s="62"/>
      <c r="D37" s="63">
        <v>100</v>
      </c>
      <c r="E37" s="65"/>
      <c r="F37" s="99" t="str">
        <f>HYPERLINK("https://pbs.twimg.com/profile_images/1126523257933508613/uQVPLrPx_normal.jpg")</f>
        <v>https://pbs.twimg.com/profile_images/1126523257933508613/uQVPLrPx_normal.jpg</v>
      </c>
      <c r="G37" s="62"/>
      <c r="H37" s="66" t="s">
        <v>453</v>
      </c>
      <c r="I37" s="67"/>
      <c r="J37" s="67"/>
      <c r="K37" s="66" t="s">
        <v>2879</v>
      </c>
      <c r="L37" s="70">
        <v>1</v>
      </c>
      <c r="M37" s="71">
        <v>4267.43017578125</v>
      </c>
      <c r="N37" s="71">
        <v>2741.2685546875</v>
      </c>
      <c r="O37" s="72"/>
      <c r="P37" s="73"/>
      <c r="Q37" s="73"/>
      <c r="R37" s="85"/>
      <c r="S37" s="45">
        <v>1</v>
      </c>
      <c r="T37" s="45">
        <v>0</v>
      </c>
      <c r="U37" s="46">
        <v>0</v>
      </c>
      <c r="V37" s="46">
        <v>0.014571</v>
      </c>
      <c r="W37" s="46">
        <v>0</v>
      </c>
      <c r="X37" s="46">
        <v>0.002686</v>
      </c>
      <c r="Y37" s="46">
        <v>0</v>
      </c>
      <c r="Z37" s="46">
        <v>0</v>
      </c>
      <c r="AA37" s="68">
        <v>37</v>
      </c>
      <c r="AB37" s="68"/>
      <c r="AC37" s="69"/>
      <c r="AD37" s="75" t="s">
        <v>1872</v>
      </c>
      <c r="AE37" s="80" t="s">
        <v>2190</v>
      </c>
      <c r="AF37" s="75">
        <v>10619</v>
      </c>
      <c r="AG37" s="75">
        <v>12792</v>
      </c>
      <c r="AH37" s="75">
        <v>13774</v>
      </c>
      <c r="AI37" s="75">
        <v>30550</v>
      </c>
      <c r="AJ37" s="75"/>
      <c r="AK37" s="75" t="s">
        <v>2428</v>
      </c>
      <c r="AL37" s="75" t="s">
        <v>2702</v>
      </c>
      <c r="AM37" s="75"/>
      <c r="AN37" s="75"/>
      <c r="AO37" s="77">
        <v>40396.60451388889</v>
      </c>
      <c r="AP37" s="82" t="str">
        <f>HYPERLINK("https://pbs.twimg.com/profile_banners/175406312/1574703412")</f>
        <v>https://pbs.twimg.com/profile_banners/175406312/1574703412</v>
      </c>
      <c r="AQ37" s="75" t="b">
        <v>1</v>
      </c>
      <c r="AR37" s="75" t="b">
        <v>0</v>
      </c>
      <c r="AS37" s="75" t="b">
        <v>1</v>
      </c>
      <c r="AT37" s="75"/>
      <c r="AU37" s="75">
        <v>49</v>
      </c>
      <c r="AV37" s="82" t="str">
        <f>HYPERLINK("https://abs.twimg.com/images/themes/theme1/bg.png")</f>
        <v>https://abs.twimg.com/images/themes/theme1/bg.png</v>
      </c>
      <c r="AW37" s="75" t="b">
        <v>0</v>
      </c>
      <c r="AX37" s="75" t="s">
        <v>2845</v>
      </c>
      <c r="AY37" s="82" t="str">
        <f>HYPERLINK("https://twitter.com/phdavidmtb")</f>
        <v>https://twitter.com/phdavidmtb</v>
      </c>
      <c r="AZ37" s="75" t="s">
        <v>65</v>
      </c>
      <c r="BA37" s="75" t="str">
        <f>REPLACE(INDEX(GroupVertices[Group],MATCH(Vertices[[#This Row],[Vertex]],GroupVertices[Vertex],0)),1,1,"")</f>
        <v>8</v>
      </c>
      <c r="BB37" s="45"/>
      <c r="BC37" s="46"/>
      <c r="BD37" s="45"/>
      <c r="BE37" s="46"/>
      <c r="BF37" s="45"/>
      <c r="BG37" s="46"/>
      <c r="BH37" s="45"/>
      <c r="BI37" s="46"/>
      <c r="BJ37" s="45"/>
      <c r="BK37" s="45"/>
      <c r="BL37" s="45"/>
      <c r="BM37" s="45"/>
      <c r="BN37" s="45"/>
      <c r="BO37" s="45"/>
      <c r="BP37" s="45"/>
      <c r="BQ37" s="45"/>
      <c r="BR37" s="45"/>
      <c r="BS37" s="45"/>
      <c r="BT37" s="45"/>
      <c r="BU37" s="2"/>
    </row>
    <row r="38" spans="1:73" ht="15">
      <c r="A38" s="61" t="s">
        <v>454</v>
      </c>
      <c r="B38" s="62"/>
      <c r="C38" s="62"/>
      <c r="D38" s="63">
        <v>100</v>
      </c>
      <c r="E38" s="65"/>
      <c r="F38" s="99" t="str">
        <f>HYPERLINK("https://pbs.twimg.com/profile_images/937703669671358464/coELnFW1_normal.jpg")</f>
        <v>https://pbs.twimg.com/profile_images/937703669671358464/coELnFW1_normal.jpg</v>
      </c>
      <c r="G38" s="62"/>
      <c r="H38" s="66" t="s">
        <v>454</v>
      </c>
      <c r="I38" s="67"/>
      <c r="J38" s="67"/>
      <c r="K38" s="66" t="s">
        <v>2880</v>
      </c>
      <c r="L38" s="70">
        <v>1</v>
      </c>
      <c r="M38" s="71">
        <v>3801.55517578125</v>
      </c>
      <c r="N38" s="71">
        <v>2395.541748046875</v>
      </c>
      <c r="O38" s="72"/>
      <c r="P38" s="73"/>
      <c r="Q38" s="73"/>
      <c r="R38" s="85"/>
      <c r="S38" s="45">
        <v>1</v>
      </c>
      <c r="T38" s="45">
        <v>0</v>
      </c>
      <c r="U38" s="46">
        <v>0</v>
      </c>
      <c r="V38" s="46">
        <v>0.014571</v>
      </c>
      <c r="W38" s="46">
        <v>0</v>
      </c>
      <c r="X38" s="46">
        <v>0.002686</v>
      </c>
      <c r="Y38" s="46">
        <v>0</v>
      </c>
      <c r="Z38" s="46">
        <v>0</v>
      </c>
      <c r="AA38" s="68">
        <v>38</v>
      </c>
      <c r="AB38" s="68"/>
      <c r="AC38" s="69"/>
      <c r="AD38" s="75" t="s">
        <v>1873</v>
      </c>
      <c r="AE38" s="80" t="s">
        <v>1679</v>
      </c>
      <c r="AF38" s="75">
        <v>7474</v>
      </c>
      <c r="AG38" s="75">
        <v>119176</v>
      </c>
      <c r="AH38" s="75">
        <v>147364</v>
      </c>
      <c r="AI38" s="75">
        <v>2638</v>
      </c>
      <c r="AJ38" s="75"/>
      <c r="AK38" s="75" t="s">
        <v>2429</v>
      </c>
      <c r="AL38" s="75" t="s">
        <v>2685</v>
      </c>
      <c r="AM38" s="82" t="str">
        <f>HYPERLINK("https://t.co/lQoZ8JCtPz")</f>
        <v>https://t.co/lQoZ8JCtPz</v>
      </c>
      <c r="AN38" s="75"/>
      <c r="AO38" s="77">
        <v>39659.367731481485</v>
      </c>
      <c r="AP38" s="82" t="str">
        <f>HYPERLINK("https://pbs.twimg.com/profile_banners/15658101/1662967878")</f>
        <v>https://pbs.twimg.com/profile_banners/15658101/1662967878</v>
      </c>
      <c r="AQ38" s="75" t="b">
        <v>0</v>
      </c>
      <c r="AR38" s="75" t="b">
        <v>0</v>
      </c>
      <c r="AS38" s="75" t="b">
        <v>1</v>
      </c>
      <c r="AT38" s="75"/>
      <c r="AU38" s="75">
        <v>853</v>
      </c>
      <c r="AV38" s="82" t="str">
        <f>HYPERLINK("https://abs.twimg.com/images/themes/theme1/bg.png")</f>
        <v>https://abs.twimg.com/images/themes/theme1/bg.png</v>
      </c>
      <c r="AW38" s="75" t="b">
        <v>0</v>
      </c>
      <c r="AX38" s="75" t="s">
        <v>2845</v>
      </c>
      <c r="AY38" s="82" t="str">
        <f>HYPERLINK("https://twitter.com/sudradio")</f>
        <v>https://twitter.com/sudradio</v>
      </c>
      <c r="AZ38" s="75" t="s">
        <v>65</v>
      </c>
      <c r="BA38" s="75" t="str">
        <f>REPLACE(INDEX(GroupVertices[Group],MATCH(Vertices[[#This Row],[Vertex]],GroupVertices[Vertex],0)),1,1,"")</f>
        <v>8</v>
      </c>
      <c r="BB38" s="45"/>
      <c r="BC38" s="46"/>
      <c r="BD38" s="45"/>
      <c r="BE38" s="46"/>
      <c r="BF38" s="45"/>
      <c r="BG38" s="46"/>
      <c r="BH38" s="45"/>
      <c r="BI38" s="46"/>
      <c r="BJ38" s="45"/>
      <c r="BK38" s="45"/>
      <c r="BL38" s="45"/>
      <c r="BM38" s="45"/>
      <c r="BN38" s="45"/>
      <c r="BO38" s="45"/>
      <c r="BP38" s="45"/>
      <c r="BQ38" s="45"/>
      <c r="BR38" s="45"/>
      <c r="BS38" s="45"/>
      <c r="BT38" s="45"/>
      <c r="BU38" s="2"/>
    </row>
    <row r="39" spans="1:73" ht="15">
      <c r="A39" s="61" t="s">
        <v>455</v>
      </c>
      <c r="B39" s="62"/>
      <c r="C39" s="62"/>
      <c r="D39" s="63">
        <v>100</v>
      </c>
      <c r="E39" s="65"/>
      <c r="F39" s="99" t="str">
        <f>HYPERLINK("https://pbs.twimg.com/profile_images/967226810491686912/KQckYYC6_normal.jpg")</f>
        <v>https://pbs.twimg.com/profile_images/967226810491686912/KQckYYC6_normal.jpg</v>
      </c>
      <c r="G39" s="62"/>
      <c r="H39" s="66" t="s">
        <v>455</v>
      </c>
      <c r="I39" s="67"/>
      <c r="J39" s="67"/>
      <c r="K39" s="66" t="s">
        <v>2881</v>
      </c>
      <c r="L39" s="70">
        <v>1</v>
      </c>
      <c r="M39" s="71">
        <v>4462.96826171875</v>
      </c>
      <c r="N39" s="71">
        <v>1439.0484619140625</v>
      </c>
      <c r="O39" s="72"/>
      <c r="P39" s="73"/>
      <c r="Q39" s="73"/>
      <c r="R39" s="85"/>
      <c r="S39" s="45">
        <v>1</v>
      </c>
      <c r="T39" s="45">
        <v>0</v>
      </c>
      <c r="U39" s="46">
        <v>0</v>
      </c>
      <c r="V39" s="46">
        <v>0.014571</v>
      </c>
      <c r="W39" s="46">
        <v>0</v>
      </c>
      <c r="X39" s="46">
        <v>0.002686</v>
      </c>
      <c r="Y39" s="46">
        <v>0</v>
      </c>
      <c r="Z39" s="46">
        <v>0</v>
      </c>
      <c r="AA39" s="68">
        <v>39</v>
      </c>
      <c r="AB39" s="68"/>
      <c r="AC39" s="69"/>
      <c r="AD39" s="75" t="s">
        <v>1874</v>
      </c>
      <c r="AE39" s="80" t="s">
        <v>2191</v>
      </c>
      <c r="AF39" s="75">
        <v>785</v>
      </c>
      <c r="AG39" s="75">
        <v>528822</v>
      </c>
      <c r="AH39" s="75">
        <v>24250</v>
      </c>
      <c r="AI39" s="75">
        <v>2250</v>
      </c>
      <c r="AJ39" s="75"/>
      <c r="AK39" s="75" t="s">
        <v>2430</v>
      </c>
      <c r="AL39" s="75" t="s">
        <v>2703</v>
      </c>
      <c r="AM39" s="75"/>
      <c r="AN39" s="75"/>
      <c r="AO39" s="77">
        <v>40794.19520833333</v>
      </c>
      <c r="AP39" s="82" t="str">
        <f>HYPERLINK("https://pbs.twimg.com/profile_banners/369914677/1519439818")</f>
        <v>https://pbs.twimg.com/profile_banners/369914677/1519439818</v>
      </c>
      <c r="AQ39" s="75" t="b">
        <v>1</v>
      </c>
      <c r="AR39" s="75" t="b">
        <v>0</v>
      </c>
      <c r="AS39" s="75" t="b">
        <v>1</v>
      </c>
      <c r="AT39" s="75"/>
      <c r="AU39" s="75">
        <v>2578</v>
      </c>
      <c r="AV39" s="82" t="str">
        <f>HYPERLINK("https://abs.twimg.com/images/themes/theme1/bg.png")</f>
        <v>https://abs.twimg.com/images/themes/theme1/bg.png</v>
      </c>
      <c r="AW39" s="75" t="b">
        <v>1</v>
      </c>
      <c r="AX39" s="75" t="s">
        <v>2845</v>
      </c>
      <c r="AY39" s="82" t="str">
        <f>HYPERLINK("https://twitter.com/jmaphatie")</f>
        <v>https://twitter.com/jmaphatie</v>
      </c>
      <c r="AZ39" s="75" t="s">
        <v>65</v>
      </c>
      <c r="BA39" s="75" t="str">
        <f>REPLACE(INDEX(GroupVertices[Group],MATCH(Vertices[[#This Row],[Vertex]],GroupVertices[Vertex],0)),1,1,"")</f>
        <v>8</v>
      </c>
      <c r="BB39" s="45"/>
      <c r="BC39" s="46"/>
      <c r="BD39" s="45"/>
      <c r="BE39" s="46"/>
      <c r="BF39" s="45"/>
      <c r="BG39" s="46"/>
      <c r="BH39" s="45"/>
      <c r="BI39" s="46"/>
      <c r="BJ39" s="45"/>
      <c r="BK39" s="45"/>
      <c r="BL39" s="45"/>
      <c r="BM39" s="45"/>
      <c r="BN39" s="45"/>
      <c r="BO39" s="45"/>
      <c r="BP39" s="45"/>
      <c r="BQ39" s="45"/>
      <c r="BR39" s="45"/>
      <c r="BS39" s="45"/>
      <c r="BT39" s="45"/>
      <c r="BU39" s="2"/>
    </row>
    <row r="40" spans="1:73" ht="15">
      <c r="A40" s="61" t="s">
        <v>456</v>
      </c>
      <c r="B40" s="62"/>
      <c r="C40" s="62"/>
      <c r="D40" s="63">
        <v>100</v>
      </c>
      <c r="E40" s="65"/>
      <c r="F40" s="99" t="str">
        <f>HYPERLINK("https://pbs.twimg.com/profile_images/1033013335200018433/R3sHIU1e_normal.jpg")</f>
        <v>https://pbs.twimg.com/profile_images/1033013335200018433/R3sHIU1e_normal.jpg</v>
      </c>
      <c r="G40" s="62"/>
      <c r="H40" s="66" t="s">
        <v>456</v>
      </c>
      <c r="I40" s="67"/>
      <c r="J40" s="67"/>
      <c r="K40" s="66" t="s">
        <v>2882</v>
      </c>
      <c r="L40" s="70">
        <v>1</v>
      </c>
      <c r="M40" s="71">
        <v>4445.0732421875</v>
      </c>
      <c r="N40" s="71">
        <v>2195.924560546875</v>
      </c>
      <c r="O40" s="72"/>
      <c r="P40" s="73"/>
      <c r="Q40" s="73"/>
      <c r="R40" s="85"/>
      <c r="S40" s="45">
        <v>1</v>
      </c>
      <c r="T40" s="45">
        <v>0</v>
      </c>
      <c r="U40" s="46">
        <v>0</v>
      </c>
      <c r="V40" s="46">
        <v>0.014571</v>
      </c>
      <c r="W40" s="46">
        <v>0</v>
      </c>
      <c r="X40" s="46">
        <v>0.002686</v>
      </c>
      <c r="Y40" s="46">
        <v>0</v>
      </c>
      <c r="Z40" s="46">
        <v>0</v>
      </c>
      <c r="AA40" s="68">
        <v>40</v>
      </c>
      <c r="AB40" s="68"/>
      <c r="AC40" s="69"/>
      <c r="AD40" s="75" t="s">
        <v>1875</v>
      </c>
      <c r="AE40" s="80" t="s">
        <v>1680</v>
      </c>
      <c r="AF40" s="75">
        <v>1244</v>
      </c>
      <c r="AG40" s="75">
        <v>47388</v>
      </c>
      <c r="AH40" s="75">
        <v>21834</v>
      </c>
      <c r="AI40" s="75">
        <v>524</v>
      </c>
      <c r="AJ40" s="75"/>
      <c r="AK40" s="75" t="s">
        <v>2431</v>
      </c>
      <c r="AL40" s="75" t="s">
        <v>2685</v>
      </c>
      <c r="AM40" s="82" t="str">
        <f>HYPERLINK("https://t.co/WudbFIRy6M")</f>
        <v>https://t.co/WudbFIRy6M</v>
      </c>
      <c r="AN40" s="75"/>
      <c r="AO40" s="77">
        <v>42599.71055555555</v>
      </c>
      <c r="AP40" s="82" t="str">
        <f>HYPERLINK("https://pbs.twimg.com/profile_banners/765957157175058432/1535122523")</f>
        <v>https://pbs.twimg.com/profile_banners/765957157175058432/1535122523</v>
      </c>
      <c r="AQ40" s="75" t="b">
        <v>0</v>
      </c>
      <c r="AR40" s="75" t="b">
        <v>0</v>
      </c>
      <c r="AS40" s="75" t="b">
        <v>1</v>
      </c>
      <c r="AT40" s="75"/>
      <c r="AU40" s="75">
        <v>267</v>
      </c>
      <c r="AV40" s="82" t="str">
        <f>HYPERLINK("https://abs.twimg.com/images/themes/theme1/bg.png")</f>
        <v>https://abs.twimg.com/images/themes/theme1/bg.png</v>
      </c>
      <c r="AW40" s="75" t="b">
        <v>1</v>
      </c>
      <c r="AX40" s="75" t="s">
        <v>2845</v>
      </c>
      <c r="AY40" s="82" t="str">
        <f>HYPERLINK("https://twitter.com/24hpujadas")</f>
        <v>https://twitter.com/24hpujadas</v>
      </c>
      <c r="AZ40" s="75" t="s">
        <v>65</v>
      </c>
      <c r="BA40" s="75" t="str">
        <f>REPLACE(INDEX(GroupVertices[Group],MATCH(Vertices[[#This Row],[Vertex]],GroupVertices[Vertex],0)),1,1,"")</f>
        <v>8</v>
      </c>
      <c r="BB40" s="45"/>
      <c r="BC40" s="46"/>
      <c r="BD40" s="45"/>
      <c r="BE40" s="46"/>
      <c r="BF40" s="45"/>
      <c r="BG40" s="46"/>
      <c r="BH40" s="45"/>
      <c r="BI40" s="46"/>
      <c r="BJ40" s="45"/>
      <c r="BK40" s="45"/>
      <c r="BL40" s="45"/>
      <c r="BM40" s="45"/>
      <c r="BN40" s="45"/>
      <c r="BO40" s="45"/>
      <c r="BP40" s="45"/>
      <c r="BQ40" s="45"/>
      <c r="BR40" s="45"/>
      <c r="BS40" s="45"/>
      <c r="BT40" s="45"/>
      <c r="BU40" s="2"/>
    </row>
    <row r="41" spans="1:73" ht="15">
      <c r="A41" s="61" t="s">
        <v>264</v>
      </c>
      <c r="B41" s="62"/>
      <c r="C41" s="62"/>
      <c r="D41" s="63">
        <v>100</v>
      </c>
      <c r="E41" s="65"/>
      <c r="F41" s="99" t="str">
        <f>HYPERLINK("https://pbs.twimg.com/profile_images/1560136186999586817/4eoADy9B_normal.jpg")</f>
        <v>https://pbs.twimg.com/profile_images/1560136186999586817/4eoADy9B_normal.jpg</v>
      </c>
      <c r="G41" s="62"/>
      <c r="H41" s="66" t="s">
        <v>264</v>
      </c>
      <c r="I41" s="67"/>
      <c r="J41" s="67"/>
      <c r="K41" s="66" t="s">
        <v>2883</v>
      </c>
      <c r="L41" s="70">
        <v>1</v>
      </c>
      <c r="M41" s="71">
        <v>1225.4871826171875</v>
      </c>
      <c r="N41" s="71">
        <v>1698.548095703125</v>
      </c>
      <c r="O41" s="72"/>
      <c r="P41" s="73"/>
      <c r="Q41" s="73"/>
      <c r="R41" s="85"/>
      <c r="S41" s="45">
        <v>1</v>
      </c>
      <c r="T41" s="45">
        <v>1</v>
      </c>
      <c r="U41" s="46">
        <v>0</v>
      </c>
      <c r="V41" s="46">
        <v>0</v>
      </c>
      <c r="W41" s="46">
        <v>0</v>
      </c>
      <c r="X41" s="46">
        <v>0.003049</v>
      </c>
      <c r="Y41" s="46">
        <v>0</v>
      </c>
      <c r="Z41" s="46">
        <v>0</v>
      </c>
      <c r="AA41" s="68">
        <v>41</v>
      </c>
      <c r="AB41" s="68"/>
      <c r="AC41" s="69"/>
      <c r="AD41" s="75" t="s">
        <v>1876</v>
      </c>
      <c r="AE41" s="80" t="s">
        <v>2192</v>
      </c>
      <c r="AF41" s="75">
        <v>297</v>
      </c>
      <c r="AG41" s="75">
        <v>70</v>
      </c>
      <c r="AH41" s="75">
        <v>1601</v>
      </c>
      <c r="AI41" s="75">
        <v>4170</v>
      </c>
      <c r="AJ41" s="75"/>
      <c r="AK41" s="75"/>
      <c r="AL41" s="75" t="s">
        <v>2685</v>
      </c>
      <c r="AM41" s="75"/>
      <c r="AN41" s="75"/>
      <c r="AO41" s="77">
        <v>44774.62918981481</v>
      </c>
      <c r="AP41" s="82" t="str">
        <f>HYPERLINK("https://pbs.twimg.com/profile_banners/1554121187768389635/1660772022")</f>
        <v>https://pbs.twimg.com/profile_banners/1554121187768389635/1660772022</v>
      </c>
      <c r="AQ41" s="75" t="b">
        <v>1</v>
      </c>
      <c r="AR41" s="75" t="b">
        <v>0</v>
      </c>
      <c r="AS41" s="75" t="b">
        <v>0</v>
      </c>
      <c r="AT41" s="75"/>
      <c r="AU41" s="75">
        <v>0</v>
      </c>
      <c r="AV41" s="75"/>
      <c r="AW41" s="75" t="b">
        <v>0</v>
      </c>
      <c r="AX41" s="75" t="s">
        <v>2845</v>
      </c>
      <c r="AY41" s="82" t="str">
        <f>HYPERLINK("https://twitter.com/lecureuil33")</f>
        <v>https://twitter.com/lecureuil33</v>
      </c>
      <c r="AZ41" s="75" t="s">
        <v>66</v>
      </c>
      <c r="BA41" s="75" t="str">
        <f>REPLACE(INDEX(GroupVertices[Group],MATCH(Vertices[[#This Row],[Vertex]],GroupVertices[Vertex],0)),1,1,"")</f>
        <v>2</v>
      </c>
      <c r="BB41" s="45">
        <v>0</v>
      </c>
      <c r="BC41" s="46">
        <v>0</v>
      </c>
      <c r="BD41" s="45">
        <v>0</v>
      </c>
      <c r="BE41" s="46">
        <v>0</v>
      </c>
      <c r="BF41" s="45">
        <v>0</v>
      </c>
      <c r="BG41" s="46">
        <v>0</v>
      </c>
      <c r="BH41" s="45">
        <v>3</v>
      </c>
      <c r="BI41" s="46">
        <v>100</v>
      </c>
      <c r="BJ41" s="45">
        <v>3</v>
      </c>
      <c r="BK41" s="45" t="s">
        <v>3974</v>
      </c>
      <c r="BL41" s="45" t="s">
        <v>3974</v>
      </c>
      <c r="BM41" s="45" t="s">
        <v>783</v>
      </c>
      <c r="BN41" s="45" t="s">
        <v>783</v>
      </c>
      <c r="BO41" s="45" t="s">
        <v>800</v>
      </c>
      <c r="BP41" s="45" t="s">
        <v>800</v>
      </c>
      <c r="BQ41" s="110" t="s">
        <v>4451</v>
      </c>
      <c r="BR41" s="110" t="s">
        <v>4451</v>
      </c>
      <c r="BS41" s="110" t="s">
        <v>4572</v>
      </c>
      <c r="BT41" s="110" t="s">
        <v>4572</v>
      </c>
      <c r="BU41" s="2"/>
    </row>
    <row r="42" spans="1:73" ht="15">
      <c r="A42" s="61" t="s">
        <v>265</v>
      </c>
      <c r="B42" s="62"/>
      <c r="C42" s="62"/>
      <c r="D42" s="63">
        <v>401.5151515151515</v>
      </c>
      <c r="E42" s="65"/>
      <c r="F42" s="99" t="str">
        <f>HYPERLINK("https://pbs.twimg.com/profile_images/1557002146314424320/pRFYxJzk_normal.jpg")</f>
        <v>https://pbs.twimg.com/profile_images/1557002146314424320/pRFYxJzk_normal.jpg</v>
      </c>
      <c r="G42" s="62"/>
      <c r="H42" s="66" t="s">
        <v>265</v>
      </c>
      <c r="I42" s="67"/>
      <c r="J42" s="67"/>
      <c r="K42" s="66" t="s">
        <v>2884</v>
      </c>
      <c r="L42" s="70">
        <v>443.2979038164459</v>
      </c>
      <c r="M42" s="71">
        <v>6616.33349609375</v>
      </c>
      <c r="N42" s="71">
        <v>6026.48486328125</v>
      </c>
      <c r="O42" s="72"/>
      <c r="P42" s="73"/>
      <c r="Q42" s="73"/>
      <c r="R42" s="85"/>
      <c r="S42" s="45">
        <v>1</v>
      </c>
      <c r="T42" s="45">
        <v>3</v>
      </c>
      <c r="U42" s="46">
        <v>199</v>
      </c>
      <c r="V42" s="46">
        <v>0.069468</v>
      </c>
      <c r="W42" s="46">
        <v>0.011931</v>
      </c>
      <c r="X42" s="46">
        <v>0.003285</v>
      </c>
      <c r="Y42" s="46">
        <v>0.25</v>
      </c>
      <c r="Z42" s="46">
        <v>0</v>
      </c>
      <c r="AA42" s="68">
        <v>42</v>
      </c>
      <c r="AB42" s="68"/>
      <c r="AC42" s="69"/>
      <c r="AD42" s="75" t="s">
        <v>1877</v>
      </c>
      <c r="AE42" s="80" t="s">
        <v>2193</v>
      </c>
      <c r="AF42" s="75">
        <v>2994</v>
      </c>
      <c r="AG42" s="75">
        <v>4062</v>
      </c>
      <c r="AH42" s="75">
        <v>8822</v>
      </c>
      <c r="AI42" s="75">
        <v>14455</v>
      </c>
      <c r="AJ42" s="75"/>
      <c r="AK42" s="75" t="s">
        <v>2432</v>
      </c>
      <c r="AL42" s="75" t="s">
        <v>2704</v>
      </c>
      <c r="AM42" s="82" t="str">
        <f>HYPERLINK("https://t.co/DUF5Sz1uYV")</f>
        <v>https://t.co/DUF5Sz1uYV</v>
      </c>
      <c r="AN42" s="75"/>
      <c r="AO42" s="77">
        <v>42295.757210648146</v>
      </c>
      <c r="AP42" s="82" t="str">
        <f>HYPERLINK("https://pbs.twimg.com/profile_banners/3988805686/1662279384")</f>
        <v>https://pbs.twimg.com/profile_banners/3988805686/1662279384</v>
      </c>
      <c r="AQ42" s="75" t="b">
        <v>0</v>
      </c>
      <c r="AR42" s="75" t="b">
        <v>0</v>
      </c>
      <c r="AS42" s="75" t="b">
        <v>1</v>
      </c>
      <c r="AT42" s="75"/>
      <c r="AU42" s="75">
        <v>109</v>
      </c>
      <c r="AV42" s="82" t="str">
        <f>HYPERLINK("https://abs.twimg.com/images/themes/theme1/bg.png")</f>
        <v>https://abs.twimg.com/images/themes/theme1/bg.png</v>
      </c>
      <c r="AW42" s="75" t="b">
        <v>0</v>
      </c>
      <c r="AX42" s="75" t="s">
        <v>2845</v>
      </c>
      <c r="AY42" s="82" t="str">
        <f>HYPERLINK("https://twitter.com/chakhoyanandrew")</f>
        <v>https://twitter.com/chakhoyanandrew</v>
      </c>
      <c r="AZ42" s="75" t="s">
        <v>66</v>
      </c>
      <c r="BA42" s="75" t="str">
        <f>REPLACE(INDEX(GroupVertices[Group],MATCH(Vertices[[#This Row],[Vertex]],GroupVertices[Vertex],0)),1,1,"")</f>
        <v>16</v>
      </c>
      <c r="BB42" s="45">
        <v>0</v>
      </c>
      <c r="BC42" s="46">
        <v>0</v>
      </c>
      <c r="BD42" s="45">
        <v>1</v>
      </c>
      <c r="BE42" s="46">
        <v>6.25</v>
      </c>
      <c r="BF42" s="45">
        <v>0</v>
      </c>
      <c r="BG42" s="46">
        <v>0</v>
      </c>
      <c r="BH42" s="45">
        <v>15</v>
      </c>
      <c r="BI42" s="46">
        <v>93.75</v>
      </c>
      <c r="BJ42" s="45">
        <v>16</v>
      </c>
      <c r="BK42" s="45"/>
      <c r="BL42" s="45"/>
      <c r="BM42" s="45"/>
      <c r="BN42" s="45"/>
      <c r="BO42" s="45" t="s">
        <v>801</v>
      </c>
      <c r="BP42" s="45" t="s">
        <v>801</v>
      </c>
      <c r="BQ42" s="110" t="s">
        <v>4116</v>
      </c>
      <c r="BR42" s="110" t="s">
        <v>4116</v>
      </c>
      <c r="BS42" s="110" t="s">
        <v>4254</v>
      </c>
      <c r="BT42" s="110" t="s">
        <v>4254</v>
      </c>
      <c r="BU42" s="2"/>
    </row>
    <row r="43" spans="1:73" ht="15">
      <c r="A43" s="61" t="s">
        <v>457</v>
      </c>
      <c r="B43" s="62"/>
      <c r="C43" s="62"/>
      <c r="D43" s="63">
        <v>100</v>
      </c>
      <c r="E43" s="65"/>
      <c r="F43" s="99" t="str">
        <f>HYPERLINK("https://pbs.twimg.com/profile_images/578946882342277120/XKbYZo_f_normal.jpeg")</f>
        <v>https://pbs.twimg.com/profile_images/578946882342277120/XKbYZo_f_normal.jpeg</v>
      </c>
      <c r="G43" s="62"/>
      <c r="H43" s="66" t="s">
        <v>457</v>
      </c>
      <c r="I43" s="67"/>
      <c r="J43" s="67"/>
      <c r="K43" s="66" t="s">
        <v>2885</v>
      </c>
      <c r="L43" s="70">
        <v>1</v>
      </c>
      <c r="M43" s="71">
        <v>6624.80126953125</v>
      </c>
      <c r="N43" s="71">
        <v>7242.865234375</v>
      </c>
      <c r="O43" s="72"/>
      <c r="P43" s="73"/>
      <c r="Q43" s="73"/>
      <c r="R43" s="85"/>
      <c r="S43" s="45">
        <v>2</v>
      </c>
      <c r="T43" s="45">
        <v>0</v>
      </c>
      <c r="U43" s="46">
        <v>0</v>
      </c>
      <c r="V43" s="46">
        <v>0.057019</v>
      </c>
      <c r="W43" s="46">
        <v>0.004234</v>
      </c>
      <c r="X43" s="46">
        <v>0.002838</v>
      </c>
      <c r="Y43" s="46">
        <v>0.5</v>
      </c>
      <c r="Z43" s="46">
        <v>0</v>
      </c>
      <c r="AA43" s="68">
        <v>43</v>
      </c>
      <c r="AB43" s="68"/>
      <c r="AC43" s="69"/>
      <c r="AD43" s="75" t="s">
        <v>1878</v>
      </c>
      <c r="AE43" s="80" t="s">
        <v>2194</v>
      </c>
      <c r="AF43" s="75">
        <v>4151</v>
      </c>
      <c r="AG43" s="75">
        <v>66655</v>
      </c>
      <c r="AH43" s="75">
        <v>68047</v>
      </c>
      <c r="AI43" s="75">
        <v>4252</v>
      </c>
      <c r="AJ43" s="75"/>
      <c r="AK43" s="75" t="s">
        <v>2433</v>
      </c>
      <c r="AL43" s="75" t="s">
        <v>2705</v>
      </c>
      <c r="AM43" s="82" t="str">
        <f>HYPERLINK("http://t.co/usiT5zyC5H")</f>
        <v>http://t.co/usiT5zyC5H</v>
      </c>
      <c r="AN43" s="75"/>
      <c r="AO43" s="77">
        <v>39694.60712962963</v>
      </c>
      <c r="AP43" s="82" t="str">
        <f>HYPERLINK("https://pbs.twimg.com/profile_banners/16113700/1426868372")</f>
        <v>https://pbs.twimg.com/profile_banners/16113700/1426868372</v>
      </c>
      <c r="AQ43" s="75" t="b">
        <v>0</v>
      </c>
      <c r="AR43" s="75" t="b">
        <v>0</v>
      </c>
      <c r="AS43" s="75" t="b">
        <v>0</v>
      </c>
      <c r="AT43" s="75"/>
      <c r="AU43" s="75">
        <v>1043</v>
      </c>
      <c r="AV43" s="82" t="str">
        <f>HYPERLINK("https://abs.twimg.com/images/themes/theme1/bg.png")</f>
        <v>https://abs.twimg.com/images/themes/theme1/bg.png</v>
      </c>
      <c r="AW43" s="75" t="b">
        <v>1</v>
      </c>
      <c r="AX43" s="75" t="s">
        <v>2845</v>
      </c>
      <c r="AY43" s="82" t="str">
        <f>HYPERLINK("https://twitter.com/charliespiering")</f>
        <v>https://twitter.com/charliespiering</v>
      </c>
      <c r="AZ43" s="75" t="s">
        <v>65</v>
      </c>
      <c r="BA43" s="75" t="str">
        <f>REPLACE(INDEX(GroupVertices[Group],MATCH(Vertices[[#This Row],[Vertex]],GroupVertices[Vertex],0)),1,1,"")</f>
        <v>16</v>
      </c>
      <c r="BB43" s="45"/>
      <c r="BC43" s="46"/>
      <c r="BD43" s="45"/>
      <c r="BE43" s="46"/>
      <c r="BF43" s="45"/>
      <c r="BG43" s="46"/>
      <c r="BH43" s="45"/>
      <c r="BI43" s="46"/>
      <c r="BJ43" s="45"/>
      <c r="BK43" s="45"/>
      <c r="BL43" s="45"/>
      <c r="BM43" s="45"/>
      <c r="BN43" s="45"/>
      <c r="BO43" s="45"/>
      <c r="BP43" s="45"/>
      <c r="BQ43" s="45"/>
      <c r="BR43" s="45"/>
      <c r="BS43" s="45"/>
      <c r="BT43" s="45"/>
      <c r="BU43" s="2"/>
    </row>
    <row r="44" spans="1:73" ht="15">
      <c r="A44" s="61" t="s">
        <v>266</v>
      </c>
      <c r="B44" s="62"/>
      <c r="C44" s="62"/>
      <c r="D44" s="63">
        <v>401.5151515151515</v>
      </c>
      <c r="E44" s="65"/>
      <c r="F44" s="99" t="str">
        <f>HYPERLINK("https://pbs.twimg.com/profile_images/1528823152347860994/4_DegFeW_normal.jpg")</f>
        <v>https://pbs.twimg.com/profile_images/1528823152347860994/4_DegFeW_normal.jpg</v>
      </c>
      <c r="G44" s="62"/>
      <c r="H44" s="66" t="s">
        <v>266</v>
      </c>
      <c r="I44" s="67"/>
      <c r="J44" s="67"/>
      <c r="K44" s="66" t="s">
        <v>2886</v>
      </c>
      <c r="L44" s="70">
        <v>443.2979038164459</v>
      </c>
      <c r="M44" s="71">
        <v>6684.9658203125</v>
      </c>
      <c r="N44" s="71">
        <v>6503.0615234375</v>
      </c>
      <c r="O44" s="72"/>
      <c r="P44" s="73"/>
      <c r="Q44" s="73"/>
      <c r="R44" s="85"/>
      <c r="S44" s="45">
        <v>0</v>
      </c>
      <c r="T44" s="45">
        <v>4</v>
      </c>
      <c r="U44" s="46">
        <v>199</v>
      </c>
      <c r="V44" s="46">
        <v>0.069468</v>
      </c>
      <c r="W44" s="46">
        <v>0.011931</v>
      </c>
      <c r="X44" s="46">
        <v>0.003285</v>
      </c>
      <c r="Y44" s="46">
        <v>0.25</v>
      </c>
      <c r="Z44" s="46">
        <v>0</v>
      </c>
      <c r="AA44" s="68">
        <v>44</v>
      </c>
      <c r="AB44" s="68"/>
      <c r="AC44" s="69"/>
      <c r="AD44" s="75" t="s">
        <v>1879</v>
      </c>
      <c r="AE44" s="80" t="s">
        <v>2195</v>
      </c>
      <c r="AF44" s="75">
        <v>173</v>
      </c>
      <c r="AG44" s="75">
        <v>76</v>
      </c>
      <c r="AH44" s="75">
        <v>598</v>
      </c>
      <c r="AI44" s="75">
        <v>8929</v>
      </c>
      <c r="AJ44" s="75"/>
      <c r="AK44" s="75" t="s">
        <v>2434</v>
      </c>
      <c r="AL44" s="75" t="s">
        <v>2706</v>
      </c>
      <c r="AM44" s="75"/>
      <c r="AN44" s="75"/>
      <c r="AO44" s="77">
        <v>41615.53790509259</v>
      </c>
      <c r="AP44" s="82" t="str">
        <f>HYPERLINK("https://pbs.twimg.com/profile_banners/2234475194/1649448395")</f>
        <v>https://pbs.twimg.com/profile_banners/2234475194/1649448395</v>
      </c>
      <c r="AQ44" s="75" t="b">
        <v>0</v>
      </c>
      <c r="AR44" s="75" t="b">
        <v>0</v>
      </c>
      <c r="AS44" s="75" t="b">
        <v>1</v>
      </c>
      <c r="AT44" s="75"/>
      <c r="AU44" s="75">
        <v>0</v>
      </c>
      <c r="AV44" s="82" t="str">
        <f>HYPERLINK("https://abs.twimg.com/images/themes/theme10/bg.gif")</f>
        <v>https://abs.twimg.com/images/themes/theme10/bg.gif</v>
      </c>
      <c r="AW44" s="75" t="b">
        <v>0</v>
      </c>
      <c r="AX44" s="75" t="s">
        <v>2845</v>
      </c>
      <c r="AY44" s="82" t="str">
        <f>HYPERLINK("https://twitter.com/syanyakernytska")</f>
        <v>https://twitter.com/syanyakernytska</v>
      </c>
      <c r="AZ44" s="75" t="s">
        <v>66</v>
      </c>
      <c r="BA44" s="75" t="str">
        <f>REPLACE(INDEX(GroupVertices[Group],MATCH(Vertices[[#This Row],[Vertex]],GroupVertices[Vertex],0)),1,1,"")</f>
        <v>16</v>
      </c>
      <c r="BB44" s="45">
        <v>0</v>
      </c>
      <c r="BC44" s="46">
        <v>0</v>
      </c>
      <c r="BD44" s="45">
        <v>1</v>
      </c>
      <c r="BE44" s="46">
        <v>6.25</v>
      </c>
      <c r="BF44" s="45">
        <v>0</v>
      </c>
      <c r="BG44" s="46">
        <v>0</v>
      </c>
      <c r="BH44" s="45">
        <v>15</v>
      </c>
      <c r="BI44" s="46">
        <v>93.75</v>
      </c>
      <c r="BJ44" s="45">
        <v>16</v>
      </c>
      <c r="BK44" s="45"/>
      <c r="BL44" s="45"/>
      <c r="BM44" s="45"/>
      <c r="BN44" s="45"/>
      <c r="BO44" s="45" t="s">
        <v>801</v>
      </c>
      <c r="BP44" s="45" t="s">
        <v>801</v>
      </c>
      <c r="BQ44" s="110" t="s">
        <v>4116</v>
      </c>
      <c r="BR44" s="110" t="s">
        <v>4116</v>
      </c>
      <c r="BS44" s="110" t="s">
        <v>4254</v>
      </c>
      <c r="BT44" s="110" t="s">
        <v>4254</v>
      </c>
      <c r="BU44" s="2"/>
    </row>
    <row r="45" spans="1:73" ht="15">
      <c r="A45" s="61" t="s">
        <v>458</v>
      </c>
      <c r="B45" s="62"/>
      <c r="C45" s="62"/>
      <c r="D45" s="63">
        <v>1000</v>
      </c>
      <c r="E45" s="65"/>
      <c r="F45" s="99" t="str">
        <f>HYPERLINK("https://pbs.twimg.com/profile_images/1380530524779859970/TfwVAbyX_normal.jpg")</f>
        <v>https://pbs.twimg.com/profile_images/1380530524779859970/TfwVAbyX_normal.jpg</v>
      </c>
      <c r="G45" s="62"/>
      <c r="H45" s="66" t="s">
        <v>458</v>
      </c>
      <c r="I45" s="67"/>
      <c r="J45" s="67"/>
      <c r="K45" s="66" t="s">
        <v>2887</v>
      </c>
      <c r="L45" s="70">
        <v>1743.5203848848926</v>
      </c>
      <c r="M45" s="71">
        <v>6828.58544921875</v>
      </c>
      <c r="N45" s="71">
        <v>5768.65380859375</v>
      </c>
      <c r="O45" s="72"/>
      <c r="P45" s="73"/>
      <c r="Q45" s="73"/>
      <c r="R45" s="85"/>
      <c r="S45" s="45">
        <v>3</v>
      </c>
      <c r="T45" s="45">
        <v>0</v>
      </c>
      <c r="U45" s="46">
        <v>784</v>
      </c>
      <c r="V45" s="46">
        <v>0.087891</v>
      </c>
      <c r="W45" s="46">
        <v>0.046838</v>
      </c>
      <c r="X45" s="46">
        <v>0.002898</v>
      </c>
      <c r="Y45" s="46">
        <v>0.16666666666666666</v>
      </c>
      <c r="Z45" s="46">
        <v>0</v>
      </c>
      <c r="AA45" s="68">
        <v>45</v>
      </c>
      <c r="AB45" s="68"/>
      <c r="AC45" s="69"/>
      <c r="AD45" s="75" t="s">
        <v>1880</v>
      </c>
      <c r="AE45" s="80" t="s">
        <v>2196</v>
      </c>
      <c r="AF45" s="75">
        <v>12</v>
      </c>
      <c r="AG45" s="75">
        <v>25374578</v>
      </c>
      <c r="AH45" s="75">
        <v>4021</v>
      </c>
      <c r="AI45" s="75">
        <v>1</v>
      </c>
      <c r="AJ45" s="75"/>
      <c r="AK45" s="75" t="s">
        <v>2435</v>
      </c>
      <c r="AL45" s="75"/>
      <c r="AM45" s="82" t="str">
        <f>HYPERLINK("https://t.co/MzB1JWfbJ0")</f>
        <v>https://t.co/MzB1JWfbJ0</v>
      </c>
      <c r="AN45" s="75"/>
      <c r="AO45" s="77">
        <v>44209.02578703704</v>
      </c>
      <c r="AP45" s="82" t="str">
        <f>HYPERLINK("https://pbs.twimg.com/profile_banners/1349149096909668363/1663251844")</f>
        <v>https://pbs.twimg.com/profile_banners/1349149096909668363/1663251844</v>
      </c>
      <c r="AQ45" s="75" t="b">
        <v>1</v>
      </c>
      <c r="AR45" s="75" t="b">
        <v>0</v>
      </c>
      <c r="AS45" s="75" t="b">
        <v>0</v>
      </c>
      <c r="AT45" s="75"/>
      <c r="AU45" s="75">
        <v>19863</v>
      </c>
      <c r="AV45" s="75"/>
      <c r="AW45" s="75" t="b">
        <v>1</v>
      </c>
      <c r="AX45" s="75" t="s">
        <v>2845</v>
      </c>
      <c r="AY45" s="82" t="str">
        <f>HYPERLINK("https://twitter.com/potus")</f>
        <v>https://twitter.com/potus</v>
      </c>
      <c r="AZ45" s="75" t="s">
        <v>65</v>
      </c>
      <c r="BA45" s="75" t="str">
        <f>REPLACE(INDEX(GroupVertices[Group],MATCH(Vertices[[#This Row],[Vertex]],GroupVertices[Vertex],0)),1,1,"")</f>
        <v>16</v>
      </c>
      <c r="BB45" s="45"/>
      <c r="BC45" s="46"/>
      <c r="BD45" s="45"/>
      <c r="BE45" s="46"/>
      <c r="BF45" s="45"/>
      <c r="BG45" s="46"/>
      <c r="BH45" s="45"/>
      <c r="BI45" s="46"/>
      <c r="BJ45" s="45"/>
      <c r="BK45" s="45"/>
      <c r="BL45" s="45"/>
      <c r="BM45" s="45"/>
      <c r="BN45" s="45"/>
      <c r="BO45" s="45"/>
      <c r="BP45" s="45"/>
      <c r="BQ45" s="45"/>
      <c r="BR45" s="45"/>
      <c r="BS45" s="45"/>
      <c r="BT45" s="45"/>
      <c r="BU45" s="2"/>
    </row>
    <row r="46" spans="1:73" ht="15">
      <c r="A46" s="61" t="s">
        <v>459</v>
      </c>
      <c r="B46" s="62"/>
      <c r="C46" s="62"/>
      <c r="D46" s="63">
        <v>100</v>
      </c>
      <c r="E46" s="65"/>
      <c r="F46" s="99" t="str">
        <f>HYPERLINK("https://pbs.twimg.com/profile_images/1507604337110896644/uSw65Rzn_normal.jpg")</f>
        <v>https://pbs.twimg.com/profile_images/1507604337110896644/uSw65Rzn_normal.jpg</v>
      </c>
      <c r="G46" s="62"/>
      <c r="H46" s="66" t="s">
        <v>459</v>
      </c>
      <c r="I46" s="67"/>
      <c r="J46" s="67"/>
      <c r="K46" s="66" t="s">
        <v>2888</v>
      </c>
      <c r="L46" s="70">
        <v>1</v>
      </c>
      <c r="M46" s="71">
        <v>6438.38037109375</v>
      </c>
      <c r="N46" s="71">
        <v>5951.837890625</v>
      </c>
      <c r="O46" s="72"/>
      <c r="P46" s="73"/>
      <c r="Q46" s="73"/>
      <c r="R46" s="85"/>
      <c r="S46" s="45">
        <v>2</v>
      </c>
      <c r="T46" s="45">
        <v>0</v>
      </c>
      <c r="U46" s="46">
        <v>0</v>
      </c>
      <c r="V46" s="46">
        <v>0.057019</v>
      </c>
      <c r="W46" s="46">
        <v>0.004234</v>
      </c>
      <c r="X46" s="46">
        <v>0.002838</v>
      </c>
      <c r="Y46" s="46">
        <v>0.5</v>
      </c>
      <c r="Z46" s="46">
        <v>0</v>
      </c>
      <c r="AA46" s="68">
        <v>46</v>
      </c>
      <c r="AB46" s="68"/>
      <c r="AC46" s="69"/>
      <c r="AD46" s="75" t="s">
        <v>1881</v>
      </c>
      <c r="AE46" s="80" t="s">
        <v>1681</v>
      </c>
      <c r="AF46" s="75">
        <v>1492</v>
      </c>
      <c r="AG46" s="75">
        <v>7194</v>
      </c>
      <c r="AH46" s="75">
        <v>4589</v>
      </c>
      <c r="AI46" s="75">
        <v>2940</v>
      </c>
      <c r="AJ46" s="75"/>
      <c r="AK46" s="75" t="s">
        <v>2436</v>
      </c>
      <c r="AL46" s="75" t="s">
        <v>2707</v>
      </c>
      <c r="AM46" s="82" t="str">
        <f>HYPERLINK("https://t.co/23wSssF49G")</f>
        <v>https://t.co/23wSssF49G</v>
      </c>
      <c r="AN46" s="75"/>
      <c r="AO46" s="77">
        <v>44275.83773148148</v>
      </c>
      <c r="AP46" s="82" t="str">
        <f>HYPERLINK("https://pbs.twimg.com/profile_banners/1373365280508809219/1660167511")</f>
        <v>https://pbs.twimg.com/profile_banners/1373365280508809219/1660167511</v>
      </c>
      <c r="AQ46" s="75" t="b">
        <v>1</v>
      </c>
      <c r="AR46" s="75" t="b">
        <v>0</v>
      </c>
      <c r="AS46" s="75" t="b">
        <v>1</v>
      </c>
      <c r="AT46" s="75"/>
      <c r="AU46" s="75">
        <v>67</v>
      </c>
      <c r="AV46" s="75"/>
      <c r="AW46" s="75" t="b">
        <v>1</v>
      </c>
      <c r="AX46" s="75" t="s">
        <v>2845</v>
      </c>
      <c r="AY46" s="82" t="str">
        <f>HYPERLINK("https://twitter.com/davidgiglioca")</f>
        <v>https://twitter.com/davidgiglioca</v>
      </c>
      <c r="AZ46" s="75" t="s">
        <v>65</v>
      </c>
      <c r="BA46" s="75" t="str">
        <f>REPLACE(INDEX(GroupVertices[Group],MATCH(Vertices[[#This Row],[Vertex]],GroupVertices[Vertex],0)),1,1,"")</f>
        <v>16</v>
      </c>
      <c r="BB46" s="45"/>
      <c r="BC46" s="46"/>
      <c r="BD46" s="45"/>
      <c r="BE46" s="46"/>
      <c r="BF46" s="45"/>
      <c r="BG46" s="46"/>
      <c r="BH46" s="45"/>
      <c r="BI46" s="46"/>
      <c r="BJ46" s="45"/>
      <c r="BK46" s="45"/>
      <c r="BL46" s="45"/>
      <c r="BM46" s="45"/>
      <c r="BN46" s="45"/>
      <c r="BO46" s="45"/>
      <c r="BP46" s="45"/>
      <c r="BQ46" s="45"/>
      <c r="BR46" s="45"/>
      <c r="BS46" s="45"/>
      <c r="BT46" s="45"/>
      <c r="BU46" s="2"/>
    </row>
    <row r="47" spans="1:73" ht="15">
      <c r="A47" s="61" t="s">
        <v>267</v>
      </c>
      <c r="B47" s="62"/>
      <c r="C47" s="62"/>
      <c r="D47" s="63">
        <v>100</v>
      </c>
      <c r="E47" s="65"/>
      <c r="F47" s="99" t="str">
        <f>HYPERLINK("https://pbs.twimg.com/profile_images/1563498584858710019/oftq_1a6_normal.jpg")</f>
        <v>https://pbs.twimg.com/profile_images/1563498584858710019/oftq_1a6_normal.jpg</v>
      </c>
      <c r="G47" s="62"/>
      <c r="H47" s="66" t="s">
        <v>267</v>
      </c>
      <c r="I47" s="67"/>
      <c r="J47" s="67"/>
      <c r="K47" s="66" t="s">
        <v>2889</v>
      </c>
      <c r="L47" s="70">
        <v>1</v>
      </c>
      <c r="M47" s="71">
        <v>5902.35498046875</v>
      </c>
      <c r="N47" s="71">
        <v>2371.5576171875</v>
      </c>
      <c r="O47" s="72"/>
      <c r="P47" s="73"/>
      <c r="Q47" s="73"/>
      <c r="R47" s="85"/>
      <c r="S47" s="45">
        <v>0</v>
      </c>
      <c r="T47" s="45">
        <v>1</v>
      </c>
      <c r="U47" s="46">
        <v>0</v>
      </c>
      <c r="V47" s="46">
        <v>0.00699</v>
      </c>
      <c r="W47" s="46">
        <v>0</v>
      </c>
      <c r="X47" s="46">
        <v>0.002722</v>
      </c>
      <c r="Y47" s="46">
        <v>0</v>
      </c>
      <c r="Z47" s="46">
        <v>0</v>
      </c>
      <c r="AA47" s="68">
        <v>47</v>
      </c>
      <c r="AB47" s="68"/>
      <c r="AC47" s="69"/>
      <c r="AD47" s="75" t="s">
        <v>1882</v>
      </c>
      <c r="AE47" s="80" t="s">
        <v>2197</v>
      </c>
      <c r="AF47" s="75">
        <v>263</v>
      </c>
      <c r="AG47" s="75">
        <v>220</v>
      </c>
      <c r="AH47" s="75">
        <v>4255</v>
      </c>
      <c r="AI47" s="75">
        <v>6144</v>
      </c>
      <c r="AJ47" s="75"/>
      <c r="AK47" s="75" t="s">
        <v>2437</v>
      </c>
      <c r="AL47" s="75"/>
      <c r="AM47" s="75"/>
      <c r="AN47" s="75"/>
      <c r="AO47" s="77">
        <v>44800.50351851852</v>
      </c>
      <c r="AP47" s="75"/>
      <c r="AQ47" s="75" t="b">
        <v>1</v>
      </c>
      <c r="AR47" s="75" t="b">
        <v>0</v>
      </c>
      <c r="AS47" s="75" t="b">
        <v>0</v>
      </c>
      <c r="AT47" s="75"/>
      <c r="AU47" s="75">
        <v>0</v>
      </c>
      <c r="AV47" s="75"/>
      <c r="AW47" s="75" t="b">
        <v>0</v>
      </c>
      <c r="AX47" s="75" t="s">
        <v>2845</v>
      </c>
      <c r="AY47" s="82" t="str">
        <f>HYPERLINK("https://twitter.com/therealrsbonn")</f>
        <v>https://twitter.com/therealrsbonn</v>
      </c>
      <c r="AZ47" s="75" t="s">
        <v>66</v>
      </c>
      <c r="BA47" s="75" t="str">
        <f>REPLACE(INDEX(GroupVertices[Group],MATCH(Vertices[[#This Row],[Vertex]],GroupVertices[Vertex],0)),1,1,"")</f>
        <v>19</v>
      </c>
      <c r="BB47" s="45">
        <v>0</v>
      </c>
      <c r="BC47" s="46">
        <v>0</v>
      </c>
      <c r="BD47" s="45">
        <v>2</v>
      </c>
      <c r="BE47" s="46">
        <v>7.407407407407407</v>
      </c>
      <c r="BF47" s="45">
        <v>0</v>
      </c>
      <c r="BG47" s="46">
        <v>0</v>
      </c>
      <c r="BH47" s="45">
        <v>25</v>
      </c>
      <c r="BI47" s="46">
        <v>92.5925925925926</v>
      </c>
      <c r="BJ47" s="45">
        <v>27</v>
      </c>
      <c r="BK47" s="45"/>
      <c r="BL47" s="45"/>
      <c r="BM47" s="45"/>
      <c r="BN47" s="45"/>
      <c r="BO47" s="45" t="s">
        <v>802</v>
      </c>
      <c r="BP47" s="45" t="s">
        <v>802</v>
      </c>
      <c r="BQ47" s="110" t="s">
        <v>4452</v>
      </c>
      <c r="BR47" s="110" t="s">
        <v>4452</v>
      </c>
      <c r="BS47" s="110" t="s">
        <v>4573</v>
      </c>
      <c r="BT47" s="110" t="s">
        <v>4573</v>
      </c>
      <c r="BU47" s="2"/>
    </row>
    <row r="48" spans="1:73" ht="15">
      <c r="A48" s="61" t="s">
        <v>280</v>
      </c>
      <c r="B48" s="62"/>
      <c r="C48" s="62"/>
      <c r="D48" s="63">
        <v>118.18181818181819</v>
      </c>
      <c r="E48" s="65"/>
      <c r="F48" s="99" t="str">
        <f>HYPERLINK("https://pbs.twimg.com/profile_images/1516704768466501641/yPMLOXlx_normal.jpg")</f>
        <v>https://pbs.twimg.com/profile_images/1516704768466501641/yPMLOXlx_normal.jpg</v>
      </c>
      <c r="G48" s="62"/>
      <c r="H48" s="66" t="s">
        <v>280</v>
      </c>
      <c r="I48" s="67"/>
      <c r="J48" s="67"/>
      <c r="K48" s="66" t="s">
        <v>2890</v>
      </c>
      <c r="L48" s="70">
        <v>27.671230380891213</v>
      </c>
      <c r="M48" s="71">
        <v>5914.04248046875</v>
      </c>
      <c r="N48" s="71">
        <v>2916.375</v>
      </c>
      <c r="O48" s="72"/>
      <c r="P48" s="73"/>
      <c r="Q48" s="73"/>
      <c r="R48" s="85"/>
      <c r="S48" s="45">
        <v>5</v>
      </c>
      <c r="T48" s="45">
        <v>1</v>
      </c>
      <c r="U48" s="46">
        <v>12</v>
      </c>
      <c r="V48" s="46">
        <v>0.012232</v>
      </c>
      <c r="W48" s="46">
        <v>0</v>
      </c>
      <c r="X48" s="46">
        <v>0.004355</v>
      </c>
      <c r="Y48" s="46">
        <v>0</v>
      </c>
      <c r="Z48" s="46">
        <v>0</v>
      </c>
      <c r="AA48" s="68">
        <v>48</v>
      </c>
      <c r="AB48" s="68"/>
      <c r="AC48" s="69"/>
      <c r="AD48" s="75" t="s">
        <v>1883</v>
      </c>
      <c r="AE48" s="80" t="s">
        <v>2198</v>
      </c>
      <c r="AF48" s="75">
        <v>1557</v>
      </c>
      <c r="AG48" s="75">
        <v>696</v>
      </c>
      <c r="AH48" s="75">
        <v>22077</v>
      </c>
      <c r="AI48" s="75">
        <v>11486</v>
      </c>
      <c r="AJ48" s="75"/>
      <c r="AK48" s="75" t="s">
        <v>2438</v>
      </c>
      <c r="AL48" s="75" t="s">
        <v>2708</v>
      </c>
      <c r="AM48" s="82" t="str">
        <f>HYPERLINK("https://t.co/1ycjYpy9Es")</f>
        <v>https://t.co/1ycjYpy9Es</v>
      </c>
      <c r="AN48" s="75"/>
      <c r="AO48" s="77">
        <v>43691.58484953704</v>
      </c>
      <c r="AP48" s="82" t="str">
        <f>HYPERLINK("https://pbs.twimg.com/profile_banners/1161639153169260544/1624381592")</f>
        <v>https://pbs.twimg.com/profile_banners/1161639153169260544/1624381592</v>
      </c>
      <c r="AQ48" s="75" t="b">
        <v>1</v>
      </c>
      <c r="AR48" s="75" t="b">
        <v>0</v>
      </c>
      <c r="AS48" s="75" t="b">
        <v>0</v>
      </c>
      <c r="AT48" s="75"/>
      <c r="AU48" s="75">
        <v>0</v>
      </c>
      <c r="AV48" s="75"/>
      <c r="AW48" s="75" t="b">
        <v>0</v>
      </c>
      <c r="AX48" s="75" t="s">
        <v>2845</v>
      </c>
      <c r="AY48" s="82" t="str">
        <f>HYPERLINK("https://twitter.com/stegnerralle")</f>
        <v>https://twitter.com/stegnerralle</v>
      </c>
      <c r="AZ48" s="75" t="s">
        <v>66</v>
      </c>
      <c r="BA48" s="75" t="str">
        <f>REPLACE(INDEX(GroupVertices[Group],MATCH(Vertices[[#This Row],[Vertex]],GroupVertices[Vertex],0)),1,1,"")</f>
        <v>19</v>
      </c>
      <c r="BB48" s="45">
        <v>0</v>
      </c>
      <c r="BC48" s="46">
        <v>0</v>
      </c>
      <c r="BD48" s="45">
        <v>2</v>
      </c>
      <c r="BE48" s="46">
        <v>3.278688524590164</v>
      </c>
      <c r="BF48" s="45">
        <v>0</v>
      </c>
      <c r="BG48" s="46">
        <v>0</v>
      </c>
      <c r="BH48" s="45">
        <v>59</v>
      </c>
      <c r="BI48" s="46">
        <v>96.72131147540983</v>
      </c>
      <c r="BJ48" s="45">
        <v>61</v>
      </c>
      <c r="BK48" s="45"/>
      <c r="BL48" s="45"/>
      <c r="BM48" s="45"/>
      <c r="BN48" s="45"/>
      <c r="BO48" s="45" t="s">
        <v>4084</v>
      </c>
      <c r="BP48" s="45" t="s">
        <v>4426</v>
      </c>
      <c r="BQ48" s="110" t="s">
        <v>4119</v>
      </c>
      <c r="BR48" s="110" t="s">
        <v>4542</v>
      </c>
      <c r="BS48" s="110" t="s">
        <v>4257</v>
      </c>
      <c r="BT48" s="110" t="s">
        <v>4257</v>
      </c>
      <c r="BU48" s="2"/>
    </row>
    <row r="49" spans="1:73" ht="15">
      <c r="A49" s="61" t="s">
        <v>268</v>
      </c>
      <c r="B49" s="62"/>
      <c r="C49" s="62"/>
      <c r="D49" s="63">
        <v>100</v>
      </c>
      <c r="E49" s="65"/>
      <c r="F49" s="99" t="str">
        <f>HYPERLINK("https://pbs.twimg.com/profile_images/1567115155158319104/ACrkwAIB_normal.jpg")</f>
        <v>https://pbs.twimg.com/profile_images/1567115155158319104/ACrkwAIB_normal.jpg</v>
      </c>
      <c r="G49" s="62"/>
      <c r="H49" s="66" t="s">
        <v>268</v>
      </c>
      <c r="I49" s="67"/>
      <c r="J49" s="67"/>
      <c r="K49" s="66" t="s">
        <v>2891</v>
      </c>
      <c r="L49" s="70">
        <v>1</v>
      </c>
      <c r="M49" s="71">
        <v>5633.5830078125</v>
      </c>
      <c r="N49" s="71">
        <v>2939.079833984375</v>
      </c>
      <c r="O49" s="72"/>
      <c r="P49" s="73"/>
      <c r="Q49" s="73"/>
      <c r="R49" s="85"/>
      <c r="S49" s="45">
        <v>0</v>
      </c>
      <c r="T49" s="45">
        <v>1</v>
      </c>
      <c r="U49" s="46">
        <v>0</v>
      </c>
      <c r="V49" s="46">
        <v>0.00699</v>
      </c>
      <c r="W49" s="46">
        <v>0</v>
      </c>
      <c r="X49" s="46">
        <v>0.002722</v>
      </c>
      <c r="Y49" s="46">
        <v>0</v>
      </c>
      <c r="Z49" s="46">
        <v>0</v>
      </c>
      <c r="AA49" s="68">
        <v>49</v>
      </c>
      <c r="AB49" s="68"/>
      <c r="AC49" s="69"/>
      <c r="AD49" s="75" t="s">
        <v>1884</v>
      </c>
      <c r="AE49" s="80" t="s">
        <v>2199</v>
      </c>
      <c r="AF49" s="75">
        <v>418</v>
      </c>
      <c r="AG49" s="75">
        <v>276</v>
      </c>
      <c r="AH49" s="75">
        <v>3951</v>
      </c>
      <c r="AI49" s="75">
        <v>10716</v>
      </c>
      <c r="AJ49" s="75"/>
      <c r="AK49" s="75" t="s">
        <v>2439</v>
      </c>
      <c r="AL49" s="75" t="s">
        <v>2709</v>
      </c>
      <c r="AM49" s="75"/>
      <c r="AN49" s="75"/>
      <c r="AO49" s="77">
        <v>44676.589641203704</v>
      </c>
      <c r="AP49" s="82" t="str">
        <f>HYPERLINK("https://pbs.twimg.com/profile_banners/1518592836828123138/1656086820")</f>
        <v>https://pbs.twimg.com/profile_banners/1518592836828123138/1656086820</v>
      </c>
      <c r="AQ49" s="75" t="b">
        <v>1</v>
      </c>
      <c r="AR49" s="75" t="b">
        <v>0</v>
      </c>
      <c r="AS49" s="75" t="b">
        <v>0</v>
      </c>
      <c r="AT49" s="75"/>
      <c r="AU49" s="75">
        <v>0</v>
      </c>
      <c r="AV49" s="75"/>
      <c r="AW49" s="75" t="b">
        <v>0</v>
      </c>
      <c r="AX49" s="75" t="s">
        <v>2845</v>
      </c>
      <c r="AY49" s="82" t="str">
        <f>HYPERLINK("https://twitter.com/1984_is_near")</f>
        <v>https://twitter.com/1984_is_near</v>
      </c>
      <c r="AZ49" s="75" t="s">
        <v>66</v>
      </c>
      <c r="BA49" s="75" t="str">
        <f>REPLACE(INDEX(GroupVertices[Group],MATCH(Vertices[[#This Row],[Vertex]],GroupVertices[Vertex],0)),1,1,"")</f>
        <v>19</v>
      </c>
      <c r="BB49" s="45">
        <v>0</v>
      </c>
      <c r="BC49" s="46">
        <v>0</v>
      </c>
      <c r="BD49" s="45">
        <v>2</v>
      </c>
      <c r="BE49" s="46">
        <v>7.407407407407407</v>
      </c>
      <c r="BF49" s="45">
        <v>0</v>
      </c>
      <c r="BG49" s="46">
        <v>0</v>
      </c>
      <c r="BH49" s="45">
        <v>25</v>
      </c>
      <c r="BI49" s="46">
        <v>92.5925925925926</v>
      </c>
      <c r="BJ49" s="45">
        <v>27</v>
      </c>
      <c r="BK49" s="45"/>
      <c r="BL49" s="45"/>
      <c r="BM49" s="45"/>
      <c r="BN49" s="45"/>
      <c r="BO49" s="45" t="s">
        <v>802</v>
      </c>
      <c r="BP49" s="45" t="s">
        <v>802</v>
      </c>
      <c r="BQ49" s="110" t="s">
        <v>4452</v>
      </c>
      <c r="BR49" s="110" t="s">
        <v>4452</v>
      </c>
      <c r="BS49" s="110" t="s">
        <v>4573</v>
      </c>
      <c r="BT49" s="110" t="s">
        <v>4573</v>
      </c>
      <c r="BU49" s="2"/>
    </row>
    <row r="50" spans="1:73" ht="15">
      <c r="A50" s="61" t="s">
        <v>269</v>
      </c>
      <c r="B50" s="62"/>
      <c r="C50" s="62"/>
      <c r="D50" s="63">
        <v>101.81818181818181</v>
      </c>
      <c r="E50" s="65"/>
      <c r="F50" s="99" t="str">
        <f>HYPERLINK("https://pbs.twimg.com/profile_images/1518153481152040960/I1pAoulk_normal.jpg")</f>
        <v>https://pbs.twimg.com/profile_images/1518153481152040960/I1pAoulk_normal.jpg</v>
      </c>
      <c r="G50" s="62"/>
      <c r="H50" s="66" t="s">
        <v>269</v>
      </c>
      <c r="I50" s="67"/>
      <c r="J50" s="67"/>
      <c r="K50" s="66" t="s">
        <v>2892</v>
      </c>
      <c r="L50" s="70">
        <v>3.6671230380891213</v>
      </c>
      <c r="M50" s="71">
        <v>4706.84619140625</v>
      </c>
      <c r="N50" s="71">
        <v>5747.37109375</v>
      </c>
      <c r="O50" s="72"/>
      <c r="P50" s="73"/>
      <c r="Q50" s="73"/>
      <c r="R50" s="85"/>
      <c r="S50" s="45">
        <v>0</v>
      </c>
      <c r="T50" s="45">
        <v>4</v>
      </c>
      <c r="U50" s="46">
        <v>1.2</v>
      </c>
      <c r="V50" s="46">
        <v>0.014985</v>
      </c>
      <c r="W50" s="46">
        <v>8E-06</v>
      </c>
      <c r="X50" s="46">
        <v>0.002942</v>
      </c>
      <c r="Y50" s="46">
        <v>0.25</v>
      </c>
      <c r="Z50" s="46">
        <v>0</v>
      </c>
      <c r="AA50" s="68">
        <v>50</v>
      </c>
      <c r="AB50" s="68"/>
      <c r="AC50" s="69"/>
      <c r="AD50" s="75" t="s">
        <v>1885</v>
      </c>
      <c r="AE50" s="80" t="s">
        <v>2200</v>
      </c>
      <c r="AF50" s="75">
        <v>650</v>
      </c>
      <c r="AG50" s="75">
        <v>776</v>
      </c>
      <c r="AH50" s="75">
        <v>53739</v>
      </c>
      <c r="AI50" s="75">
        <v>9462</v>
      </c>
      <c r="AJ50" s="75"/>
      <c r="AK50" s="75" t="s">
        <v>2440</v>
      </c>
      <c r="AL50" s="75"/>
      <c r="AM50" s="75"/>
      <c r="AN50" s="75"/>
      <c r="AO50" s="77">
        <v>41439.49523148148</v>
      </c>
      <c r="AP50" s="82" t="str">
        <f>HYPERLINK("https://pbs.twimg.com/profile_banners/1516187430/1657361744")</f>
        <v>https://pbs.twimg.com/profile_banners/1516187430/1657361744</v>
      </c>
      <c r="AQ50" s="75" t="b">
        <v>1</v>
      </c>
      <c r="AR50" s="75" t="b">
        <v>0</v>
      </c>
      <c r="AS50" s="75" t="b">
        <v>0</v>
      </c>
      <c r="AT50" s="75"/>
      <c r="AU50" s="75">
        <v>3</v>
      </c>
      <c r="AV50" s="82" t="str">
        <f>HYPERLINK("https://abs.twimg.com/images/themes/theme1/bg.png")</f>
        <v>https://abs.twimg.com/images/themes/theme1/bg.png</v>
      </c>
      <c r="AW50" s="75" t="b">
        <v>0</v>
      </c>
      <c r="AX50" s="75" t="s">
        <v>2845</v>
      </c>
      <c r="AY50" s="82" t="str">
        <f>HYPERLINK("https://twitter.com/phacotte")</f>
        <v>https://twitter.com/phacotte</v>
      </c>
      <c r="AZ50" s="75" t="s">
        <v>66</v>
      </c>
      <c r="BA50" s="75" t="str">
        <f>REPLACE(INDEX(GroupVertices[Group],MATCH(Vertices[[#This Row],[Vertex]],GroupVertices[Vertex],0)),1,1,"")</f>
        <v>10</v>
      </c>
      <c r="BB50" s="45">
        <v>0</v>
      </c>
      <c r="BC50" s="46">
        <v>0</v>
      </c>
      <c r="BD50" s="45">
        <v>1</v>
      </c>
      <c r="BE50" s="46">
        <v>2.7777777777777777</v>
      </c>
      <c r="BF50" s="45">
        <v>0</v>
      </c>
      <c r="BG50" s="46">
        <v>0</v>
      </c>
      <c r="BH50" s="45">
        <v>35</v>
      </c>
      <c r="BI50" s="46">
        <v>97.22222222222223</v>
      </c>
      <c r="BJ50" s="45">
        <v>36</v>
      </c>
      <c r="BK50" s="45"/>
      <c r="BL50" s="45"/>
      <c r="BM50" s="45"/>
      <c r="BN50" s="45"/>
      <c r="BO50" s="45" t="s">
        <v>792</v>
      </c>
      <c r="BP50" s="45" t="s">
        <v>792</v>
      </c>
      <c r="BQ50" s="110" t="s">
        <v>4110</v>
      </c>
      <c r="BR50" s="110" t="s">
        <v>4110</v>
      </c>
      <c r="BS50" s="110" t="s">
        <v>4248</v>
      </c>
      <c r="BT50" s="110" t="s">
        <v>4248</v>
      </c>
      <c r="BU50" s="2"/>
    </row>
    <row r="51" spans="1:73" ht="15">
      <c r="A51" s="61" t="s">
        <v>270</v>
      </c>
      <c r="B51" s="62"/>
      <c r="C51" s="62"/>
      <c r="D51" s="63">
        <v>100</v>
      </c>
      <c r="E51" s="65"/>
      <c r="F51" s="99" t="str">
        <f>HYPERLINK("https://pbs.twimg.com/profile_images/1519731497179262978/wbHntGeY_normal.jpg")</f>
        <v>https://pbs.twimg.com/profile_images/1519731497179262978/wbHntGeY_normal.jpg</v>
      </c>
      <c r="G51" s="62"/>
      <c r="H51" s="66" t="s">
        <v>270</v>
      </c>
      <c r="I51" s="67"/>
      <c r="J51" s="67"/>
      <c r="K51" s="66" t="s">
        <v>2893</v>
      </c>
      <c r="L51" s="70">
        <v>1</v>
      </c>
      <c r="M51" s="71">
        <v>8328.435546875</v>
      </c>
      <c r="N51" s="71">
        <v>7242.865234375</v>
      </c>
      <c r="O51" s="72"/>
      <c r="P51" s="73"/>
      <c r="Q51" s="73"/>
      <c r="R51" s="85"/>
      <c r="S51" s="45">
        <v>1</v>
      </c>
      <c r="T51" s="45">
        <v>1</v>
      </c>
      <c r="U51" s="46">
        <v>0</v>
      </c>
      <c r="V51" s="46">
        <v>0.006116</v>
      </c>
      <c r="W51" s="46">
        <v>0</v>
      </c>
      <c r="X51" s="46">
        <v>0.003049</v>
      </c>
      <c r="Y51" s="46">
        <v>0.5</v>
      </c>
      <c r="Z51" s="46">
        <v>0</v>
      </c>
      <c r="AA51" s="68">
        <v>51</v>
      </c>
      <c r="AB51" s="68"/>
      <c r="AC51" s="69"/>
      <c r="AD51" s="75" t="s">
        <v>1886</v>
      </c>
      <c r="AE51" s="80" t="s">
        <v>2201</v>
      </c>
      <c r="AF51" s="75">
        <v>0</v>
      </c>
      <c r="AG51" s="75">
        <v>1</v>
      </c>
      <c r="AH51" s="75">
        <v>42</v>
      </c>
      <c r="AI51" s="75">
        <v>0</v>
      </c>
      <c r="AJ51" s="75"/>
      <c r="AK51" s="75" t="s">
        <v>2441</v>
      </c>
      <c r="AL51" s="75"/>
      <c r="AM51" s="75"/>
      <c r="AN51" s="75"/>
      <c r="AO51" s="77">
        <v>44679.7309837963</v>
      </c>
      <c r="AP51" s="75"/>
      <c r="AQ51" s="75" t="b">
        <v>1</v>
      </c>
      <c r="AR51" s="75" t="b">
        <v>0</v>
      </c>
      <c r="AS51" s="75" t="b">
        <v>0</v>
      </c>
      <c r="AT51" s="75"/>
      <c r="AU51" s="75">
        <v>0</v>
      </c>
      <c r="AV51" s="75"/>
      <c r="AW51" s="75" t="b">
        <v>0</v>
      </c>
      <c r="AX51" s="75" t="s">
        <v>2845</v>
      </c>
      <c r="AY51" s="82" t="str">
        <f>HYPERLINK("https://twitter.com/markwol64553906")</f>
        <v>https://twitter.com/markwol64553906</v>
      </c>
      <c r="AZ51" s="75" t="s">
        <v>66</v>
      </c>
      <c r="BA51" s="75" t="str">
        <f>REPLACE(INDEX(GroupVertices[Group],MATCH(Vertices[[#This Row],[Vertex]],GroupVertices[Vertex],0)),1,1,"")</f>
        <v>38</v>
      </c>
      <c r="BB51" s="45">
        <v>0</v>
      </c>
      <c r="BC51" s="46">
        <v>0</v>
      </c>
      <c r="BD51" s="45">
        <v>0</v>
      </c>
      <c r="BE51" s="46">
        <v>0</v>
      </c>
      <c r="BF51" s="45">
        <v>0</v>
      </c>
      <c r="BG51" s="46">
        <v>0</v>
      </c>
      <c r="BH51" s="45">
        <v>12</v>
      </c>
      <c r="BI51" s="46">
        <v>100</v>
      </c>
      <c r="BJ51" s="45">
        <v>12</v>
      </c>
      <c r="BK51" s="45"/>
      <c r="BL51" s="45"/>
      <c r="BM51" s="45"/>
      <c r="BN51" s="45"/>
      <c r="BO51" s="45" t="s">
        <v>803</v>
      </c>
      <c r="BP51" s="45" t="s">
        <v>803</v>
      </c>
      <c r="BQ51" s="110" t="s">
        <v>4131</v>
      </c>
      <c r="BR51" s="110" t="s">
        <v>4131</v>
      </c>
      <c r="BS51" s="110" t="s">
        <v>4263</v>
      </c>
      <c r="BT51" s="110" t="s">
        <v>4263</v>
      </c>
      <c r="BU51" s="2"/>
    </row>
    <row r="52" spans="1:73" ht="15">
      <c r="A52" s="61" t="s">
        <v>461</v>
      </c>
      <c r="B52" s="62"/>
      <c r="C52" s="62"/>
      <c r="D52" s="63">
        <v>100</v>
      </c>
      <c r="E52" s="65"/>
      <c r="F52" s="99" t="str">
        <f>HYPERLINK("https://pbs.twimg.com/profile_images/1508401972327727105/nreV-afY_normal.jpg")</f>
        <v>https://pbs.twimg.com/profile_images/1508401972327727105/nreV-afY_normal.jpg</v>
      </c>
      <c r="G52" s="62"/>
      <c r="H52" s="66" t="s">
        <v>461</v>
      </c>
      <c r="I52" s="67"/>
      <c r="J52" s="67"/>
      <c r="K52" s="66" t="s">
        <v>2894</v>
      </c>
      <c r="L52" s="70">
        <v>1</v>
      </c>
      <c r="M52" s="71">
        <v>8499.150390625</v>
      </c>
      <c r="N52" s="71">
        <v>7242.865234375</v>
      </c>
      <c r="O52" s="72"/>
      <c r="P52" s="73"/>
      <c r="Q52" s="73"/>
      <c r="R52" s="85"/>
      <c r="S52" s="45">
        <v>2</v>
      </c>
      <c r="T52" s="45">
        <v>0</v>
      </c>
      <c r="U52" s="46">
        <v>0</v>
      </c>
      <c r="V52" s="46">
        <v>0.006116</v>
      </c>
      <c r="W52" s="46">
        <v>0</v>
      </c>
      <c r="X52" s="46">
        <v>0.003049</v>
      </c>
      <c r="Y52" s="46">
        <v>0.5</v>
      </c>
      <c r="Z52" s="46">
        <v>0</v>
      </c>
      <c r="AA52" s="68">
        <v>52</v>
      </c>
      <c r="AB52" s="68"/>
      <c r="AC52" s="69"/>
      <c r="AD52" s="75" t="s">
        <v>1887</v>
      </c>
      <c r="AE52" s="80" t="s">
        <v>1682</v>
      </c>
      <c r="AF52" s="75">
        <v>449</v>
      </c>
      <c r="AG52" s="75">
        <v>38059</v>
      </c>
      <c r="AH52" s="75">
        <v>46205</v>
      </c>
      <c r="AI52" s="75">
        <v>71846</v>
      </c>
      <c r="AJ52" s="75"/>
      <c r="AK52" s="75" t="s">
        <v>2442</v>
      </c>
      <c r="AL52" s="75" t="s">
        <v>2691</v>
      </c>
      <c r="AM52" s="82" t="str">
        <f>HYPERLINK("https://t.co/Rgl0Z4CCa6")</f>
        <v>https://t.co/Rgl0Z4CCa6</v>
      </c>
      <c r="AN52" s="75"/>
      <c r="AO52" s="77">
        <v>40183.800891203704</v>
      </c>
      <c r="AP52" s="82" t="str">
        <f>HYPERLINK("https://pbs.twimg.com/profile_banners/102139266/1642416938")</f>
        <v>https://pbs.twimg.com/profile_banners/102139266/1642416938</v>
      </c>
      <c r="AQ52" s="75" t="b">
        <v>0</v>
      </c>
      <c r="AR52" s="75" t="b">
        <v>0</v>
      </c>
      <c r="AS52" s="75" t="b">
        <v>1</v>
      </c>
      <c r="AT52" s="75"/>
      <c r="AU52" s="75">
        <v>82</v>
      </c>
      <c r="AV52" s="82" t="str">
        <f>HYPERLINK("https://abs.twimg.com/images/themes/theme1/bg.png")</f>
        <v>https://abs.twimg.com/images/themes/theme1/bg.png</v>
      </c>
      <c r="AW52" s="75" t="b">
        <v>0</v>
      </c>
      <c r="AX52" s="75" t="s">
        <v>2845</v>
      </c>
      <c r="AY52" s="82" t="str">
        <f>HYPERLINK("https://twitter.com/nixelpixel")</f>
        <v>https://twitter.com/nixelpixel</v>
      </c>
      <c r="AZ52" s="75" t="s">
        <v>65</v>
      </c>
      <c r="BA52" s="75" t="str">
        <f>REPLACE(INDEX(GroupVertices[Group],MATCH(Vertices[[#This Row],[Vertex]],GroupVertices[Vertex],0)),1,1,"")</f>
        <v>38</v>
      </c>
      <c r="BB52" s="45"/>
      <c r="BC52" s="46"/>
      <c r="BD52" s="45"/>
      <c r="BE52" s="46"/>
      <c r="BF52" s="45"/>
      <c r="BG52" s="46"/>
      <c r="BH52" s="45"/>
      <c r="BI52" s="46"/>
      <c r="BJ52" s="45"/>
      <c r="BK52" s="45"/>
      <c r="BL52" s="45"/>
      <c r="BM52" s="45"/>
      <c r="BN52" s="45"/>
      <c r="BO52" s="45"/>
      <c r="BP52" s="45"/>
      <c r="BQ52" s="45"/>
      <c r="BR52" s="45"/>
      <c r="BS52" s="45"/>
      <c r="BT52" s="45"/>
      <c r="BU52" s="2"/>
    </row>
    <row r="53" spans="1:73" ht="15">
      <c r="A53" s="61" t="s">
        <v>271</v>
      </c>
      <c r="B53" s="62"/>
      <c r="C53" s="62"/>
      <c r="D53" s="63">
        <v>100</v>
      </c>
      <c r="E53" s="65"/>
      <c r="F53" s="99" t="str">
        <f>HYPERLINK("https://pbs.twimg.com/profile_images/1424397276470992903/BYxTxkGV_normal.jpg")</f>
        <v>https://pbs.twimg.com/profile_images/1424397276470992903/BYxTxkGV_normal.jpg</v>
      </c>
      <c r="G53" s="62"/>
      <c r="H53" s="66" t="s">
        <v>271</v>
      </c>
      <c r="I53" s="67"/>
      <c r="J53" s="67"/>
      <c r="K53" s="66" t="s">
        <v>2895</v>
      </c>
      <c r="L53" s="70">
        <v>1</v>
      </c>
      <c r="M53" s="71">
        <v>8328.435546875</v>
      </c>
      <c r="N53" s="71">
        <v>6858.28857421875</v>
      </c>
      <c r="O53" s="72"/>
      <c r="P53" s="73"/>
      <c r="Q53" s="73"/>
      <c r="R53" s="85"/>
      <c r="S53" s="45">
        <v>0</v>
      </c>
      <c r="T53" s="45">
        <v>2</v>
      </c>
      <c r="U53" s="46">
        <v>0</v>
      </c>
      <c r="V53" s="46">
        <v>0.006116</v>
      </c>
      <c r="W53" s="46">
        <v>0</v>
      </c>
      <c r="X53" s="46">
        <v>0.003049</v>
      </c>
      <c r="Y53" s="46">
        <v>0.5</v>
      </c>
      <c r="Z53" s="46">
        <v>0</v>
      </c>
      <c r="AA53" s="68">
        <v>53</v>
      </c>
      <c r="AB53" s="68"/>
      <c r="AC53" s="69"/>
      <c r="AD53" s="75" t="s">
        <v>1888</v>
      </c>
      <c r="AE53" s="80" t="s">
        <v>2202</v>
      </c>
      <c r="AF53" s="75">
        <v>19</v>
      </c>
      <c r="AG53" s="75">
        <v>17</v>
      </c>
      <c r="AH53" s="75">
        <v>416</v>
      </c>
      <c r="AI53" s="75">
        <v>521</v>
      </c>
      <c r="AJ53" s="75"/>
      <c r="AK53" s="75" t="s">
        <v>2443</v>
      </c>
      <c r="AL53" s="75" t="s">
        <v>2710</v>
      </c>
      <c r="AM53" s="75"/>
      <c r="AN53" s="75"/>
      <c r="AO53" s="77">
        <v>44416.65775462963</v>
      </c>
      <c r="AP53" s="82" t="str">
        <f>HYPERLINK("https://pbs.twimg.com/profile_banners/1424396711947034624/1628438027")</f>
        <v>https://pbs.twimg.com/profile_banners/1424396711947034624/1628438027</v>
      </c>
      <c r="AQ53" s="75" t="b">
        <v>1</v>
      </c>
      <c r="AR53" s="75" t="b">
        <v>0</v>
      </c>
      <c r="AS53" s="75" t="b">
        <v>0</v>
      </c>
      <c r="AT53" s="75"/>
      <c r="AU53" s="75">
        <v>0</v>
      </c>
      <c r="AV53" s="75"/>
      <c r="AW53" s="75" t="b">
        <v>0</v>
      </c>
      <c r="AX53" s="75" t="s">
        <v>2845</v>
      </c>
      <c r="AY53" s="82" t="str">
        <f>HYPERLINK("https://twitter.com/shxtcowboy")</f>
        <v>https://twitter.com/shxtcowboy</v>
      </c>
      <c r="AZ53" s="75" t="s">
        <v>66</v>
      </c>
      <c r="BA53" s="75" t="str">
        <f>REPLACE(INDEX(GroupVertices[Group],MATCH(Vertices[[#This Row],[Vertex]],GroupVertices[Vertex],0)),1,1,"")</f>
        <v>38</v>
      </c>
      <c r="BB53" s="45">
        <v>0</v>
      </c>
      <c r="BC53" s="46">
        <v>0</v>
      </c>
      <c r="BD53" s="45">
        <v>0</v>
      </c>
      <c r="BE53" s="46">
        <v>0</v>
      </c>
      <c r="BF53" s="45">
        <v>0</v>
      </c>
      <c r="BG53" s="46">
        <v>0</v>
      </c>
      <c r="BH53" s="45">
        <v>12</v>
      </c>
      <c r="BI53" s="46">
        <v>100</v>
      </c>
      <c r="BJ53" s="45">
        <v>12</v>
      </c>
      <c r="BK53" s="45"/>
      <c r="BL53" s="45"/>
      <c r="BM53" s="45"/>
      <c r="BN53" s="45"/>
      <c r="BO53" s="45" t="s">
        <v>803</v>
      </c>
      <c r="BP53" s="45" t="s">
        <v>803</v>
      </c>
      <c r="BQ53" s="110" t="s">
        <v>4131</v>
      </c>
      <c r="BR53" s="110" t="s">
        <v>4131</v>
      </c>
      <c r="BS53" s="110" t="s">
        <v>4263</v>
      </c>
      <c r="BT53" s="110" t="s">
        <v>4263</v>
      </c>
      <c r="BU53" s="2"/>
    </row>
    <row r="54" spans="1:73" ht="15">
      <c r="A54" s="61" t="s">
        <v>272</v>
      </c>
      <c r="B54" s="62"/>
      <c r="C54" s="62"/>
      <c r="D54" s="63">
        <v>100</v>
      </c>
      <c r="E54" s="65"/>
      <c r="F54" s="99" t="str">
        <f>HYPERLINK("https://pbs.twimg.com/profile_images/1466090085032603648/C5YhkJ5q_normal.jpg")</f>
        <v>https://pbs.twimg.com/profile_images/1466090085032603648/C5YhkJ5q_normal.jpg</v>
      </c>
      <c r="G54" s="62"/>
      <c r="H54" s="66" t="s">
        <v>272</v>
      </c>
      <c r="I54" s="67"/>
      <c r="J54" s="67"/>
      <c r="K54" s="66" t="s">
        <v>2896</v>
      </c>
      <c r="L54" s="70">
        <v>1</v>
      </c>
      <c r="M54" s="71">
        <v>8913.7431640625</v>
      </c>
      <c r="N54" s="71">
        <v>7242.865234375</v>
      </c>
      <c r="O54" s="72"/>
      <c r="P54" s="73"/>
      <c r="Q54" s="73"/>
      <c r="R54" s="85"/>
      <c r="S54" s="45">
        <v>0</v>
      </c>
      <c r="T54" s="45">
        <v>1</v>
      </c>
      <c r="U54" s="46">
        <v>0</v>
      </c>
      <c r="V54" s="46">
        <v>0.004077</v>
      </c>
      <c r="W54" s="46">
        <v>0</v>
      </c>
      <c r="X54" s="46">
        <v>0.00285</v>
      </c>
      <c r="Y54" s="46">
        <v>0</v>
      </c>
      <c r="Z54" s="46">
        <v>0</v>
      </c>
      <c r="AA54" s="68">
        <v>54</v>
      </c>
      <c r="AB54" s="68"/>
      <c r="AC54" s="69"/>
      <c r="AD54" s="75" t="s">
        <v>1889</v>
      </c>
      <c r="AE54" s="80" t="s">
        <v>2203</v>
      </c>
      <c r="AF54" s="75">
        <v>1801</v>
      </c>
      <c r="AG54" s="75">
        <v>2079</v>
      </c>
      <c r="AH54" s="75">
        <v>4445</v>
      </c>
      <c r="AI54" s="75">
        <v>3913</v>
      </c>
      <c r="AJ54" s="75"/>
      <c r="AK54" s="75" t="s">
        <v>2444</v>
      </c>
      <c r="AL54" s="75" t="s">
        <v>2711</v>
      </c>
      <c r="AM54" s="82" t="str">
        <f>HYPERLINK("https://t.co/JAcS5HHSGx")</f>
        <v>https://t.co/JAcS5HHSGx</v>
      </c>
      <c r="AN54" s="75"/>
      <c r="AO54" s="77">
        <v>41459.68206018519</v>
      </c>
      <c r="AP54" s="82" t="str">
        <f>HYPERLINK("https://pbs.twimg.com/profile_banners/1568514918/1645739951")</f>
        <v>https://pbs.twimg.com/profile_banners/1568514918/1645739951</v>
      </c>
      <c r="AQ54" s="75" t="b">
        <v>1</v>
      </c>
      <c r="AR54" s="75" t="b">
        <v>0</v>
      </c>
      <c r="AS54" s="75" t="b">
        <v>1</v>
      </c>
      <c r="AT54" s="75"/>
      <c r="AU54" s="75">
        <v>5</v>
      </c>
      <c r="AV54" s="82" t="str">
        <f>HYPERLINK("https://abs.twimg.com/images/themes/theme1/bg.png")</f>
        <v>https://abs.twimg.com/images/themes/theme1/bg.png</v>
      </c>
      <c r="AW54" s="75" t="b">
        <v>0</v>
      </c>
      <c r="AX54" s="75" t="s">
        <v>2845</v>
      </c>
      <c r="AY54" s="82" t="str">
        <f>HYPERLINK("https://twitter.com/benkutowski")</f>
        <v>https://twitter.com/benkutowski</v>
      </c>
      <c r="AZ54" s="75" t="s">
        <v>66</v>
      </c>
      <c r="BA54" s="75" t="str">
        <f>REPLACE(INDEX(GroupVertices[Group],MATCH(Vertices[[#This Row],[Vertex]],GroupVertices[Vertex],0)),1,1,"")</f>
        <v>37</v>
      </c>
      <c r="BB54" s="45">
        <v>0</v>
      </c>
      <c r="BC54" s="46">
        <v>0</v>
      </c>
      <c r="BD54" s="45">
        <v>0</v>
      </c>
      <c r="BE54" s="46">
        <v>0</v>
      </c>
      <c r="BF54" s="45">
        <v>0</v>
      </c>
      <c r="BG54" s="46">
        <v>0</v>
      </c>
      <c r="BH54" s="45">
        <v>3</v>
      </c>
      <c r="BI54" s="46">
        <v>100</v>
      </c>
      <c r="BJ54" s="45">
        <v>3</v>
      </c>
      <c r="BK54" s="45"/>
      <c r="BL54" s="45"/>
      <c r="BM54" s="45"/>
      <c r="BN54" s="45"/>
      <c r="BO54" s="45" t="s">
        <v>804</v>
      </c>
      <c r="BP54" s="45" t="s">
        <v>804</v>
      </c>
      <c r="BQ54" s="110" t="s">
        <v>4453</v>
      </c>
      <c r="BR54" s="110" t="s">
        <v>4453</v>
      </c>
      <c r="BS54" s="110" t="s">
        <v>4574</v>
      </c>
      <c r="BT54" s="110" t="s">
        <v>4574</v>
      </c>
      <c r="BU54" s="2"/>
    </row>
    <row r="55" spans="1:73" ht="15">
      <c r="A55" s="61" t="s">
        <v>462</v>
      </c>
      <c r="B55" s="62"/>
      <c r="C55" s="62"/>
      <c r="D55" s="63">
        <v>103.03030303030303</v>
      </c>
      <c r="E55" s="65"/>
      <c r="F55" s="99" t="str">
        <f>HYPERLINK("https://pbs.twimg.com/profile_images/810142191851016192/Ju6Wj29n_normal.jpg")</f>
        <v>https://pbs.twimg.com/profile_images/810142191851016192/Ju6Wj29n_normal.jpg</v>
      </c>
      <c r="G55" s="62"/>
      <c r="H55" s="66" t="s">
        <v>462</v>
      </c>
      <c r="I55" s="67"/>
      <c r="J55" s="67"/>
      <c r="K55" s="66" t="s">
        <v>2897</v>
      </c>
      <c r="L55" s="70">
        <v>5.445205063481868</v>
      </c>
      <c r="M55" s="71">
        <v>8913.7431640625</v>
      </c>
      <c r="N55" s="71">
        <v>6858.28857421875</v>
      </c>
      <c r="O55" s="72"/>
      <c r="P55" s="73"/>
      <c r="Q55" s="73"/>
      <c r="R55" s="85"/>
      <c r="S55" s="45">
        <v>2</v>
      </c>
      <c r="T55" s="45">
        <v>0</v>
      </c>
      <c r="U55" s="46">
        <v>2</v>
      </c>
      <c r="V55" s="46">
        <v>0.006116</v>
      </c>
      <c r="W55" s="46">
        <v>0</v>
      </c>
      <c r="X55" s="46">
        <v>0.003446</v>
      </c>
      <c r="Y55" s="46">
        <v>0</v>
      </c>
      <c r="Z55" s="46">
        <v>0</v>
      </c>
      <c r="AA55" s="68">
        <v>55</v>
      </c>
      <c r="AB55" s="68"/>
      <c r="AC55" s="69"/>
      <c r="AD55" s="75" t="s">
        <v>1890</v>
      </c>
      <c r="AE55" s="80" t="s">
        <v>1683</v>
      </c>
      <c r="AF55" s="75">
        <v>217</v>
      </c>
      <c r="AG55" s="75">
        <v>128070</v>
      </c>
      <c r="AH55" s="75">
        <v>8022</v>
      </c>
      <c r="AI55" s="75">
        <v>893</v>
      </c>
      <c r="AJ55" s="75"/>
      <c r="AK55" s="75" t="s">
        <v>2445</v>
      </c>
      <c r="AL55" s="75"/>
      <c r="AM55" s="82" t="str">
        <f>HYPERLINK("https://t.co/ByBiX2rXhQ")</f>
        <v>https://t.co/ByBiX2rXhQ</v>
      </c>
      <c r="AN55" s="75"/>
      <c r="AO55" s="77">
        <v>39975.844502314816</v>
      </c>
      <c r="AP55" s="82" t="str">
        <f>HYPERLINK("https://pbs.twimg.com/profile_banners/46479088/1633610929")</f>
        <v>https://pbs.twimg.com/profile_banners/46479088/1633610929</v>
      </c>
      <c r="AQ55" s="75" t="b">
        <v>0</v>
      </c>
      <c r="AR55" s="75" t="b">
        <v>0</v>
      </c>
      <c r="AS55" s="75" t="b">
        <v>1</v>
      </c>
      <c r="AT55" s="75"/>
      <c r="AU55" s="75">
        <v>949</v>
      </c>
      <c r="AV55" s="82" t="str">
        <f>HYPERLINK("https://abs.twimg.com/images/themes/theme1/bg.png")</f>
        <v>https://abs.twimg.com/images/themes/theme1/bg.png</v>
      </c>
      <c r="AW55" s="75" t="b">
        <v>1</v>
      </c>
      <c r="AX55" s="75" t="s">
        <v>2845</v>
      </c>
      <c r="AY55" s="82" t="str">
        <f>HYPERLINK("https://twitter.com/bhl")</f>
        <v>https://twitter.com/bhl</v>
      </c>
      <c r="AZ55" s="75" t="s">
        <v>65</v>
      </c>
      <c r="BA55" s="75" t="str">
        <f>REPLACE(INDEX(GroupVertices[Group],MATCH(Vertices[[#This Row],[Vertex]],GroupVertices[Vertex],0)),1,1,"")</f>
        <v>37</v>
      </c>
      <c r="BB55" s="45"/>
      <c r="BC55" s="46"/>
      <c r="BD55" s="45"/>
      <c r="BE55" s="46"/>
      <c r="BF55" s="45"/>
      <c r="BG55" s="46"/>
      <c r="BH55" s="45"/>
      <c r="BI55" s="46"/>
      <c r="BJ55" s="45"/>
      <c r="BK55" s="45"/>
      <c r="BL55" s="45"/>
      <c r="BM55" s="45"/>
      <c r="BN55" s="45"/>
      <c r="BO55" s="45"/>
      <c r="BP55" s="45"/>
      <c r="BQ55" s="45"/>
      <c r="BR55" s="45"/>
      <c r="BS55" s="45"/>
      <c r="BT55" s="45"/>
      <c r="BU55" s="2"/>
    </row>
    <row r="56" spans="1:73" ht="15">
      <c r="A56" s="61" t="s">
        <v>273</v>
      </c>
      <c r="B56" s="62"/>
      <c r="C56" s="62"/>
      <c r="D56" s="63">
        <v>100</v>
      </c>
      <c r="E56" s="65"/>
      <c r="F56" s="99" t="str">
        <f>HYPERLINK("https://pbs.twimg.com/profile_images/1308352213249597442/Cpmq1oOm_normal.jpg")</f>
        <v>https://pbs.twimg.com/profile_images/1308352213249597442/Cpmq1oOm_normal.jpg</v>
      </c>
      <c r="G56" s="62"/>
      <c r="H56" s="66" t="s">
        <v>273</v>
      </c>
      <c r="I56" s="67"/>
      <c r="J56" s="67"/>
      <c r="K56" s="66" t="s">
        <v>2898</v>
      </c>
      <c r="L56" s="70">
        <v>1</v>
      </c>
      <c r="M56" s="71">
        <v>9084.45703125</v>
      </c>
      <c r="N56" s="71">
        <v>7242.865234375</v>
      </c>
      <c r="O56" s="72"/>
      <c r="P56" s="73"/>
      <c r="Q56" s="73"/>
      <c r="R56" s="85"/>
      <c r="S56" s="45">
        <v>0</v>
      </c>
      <c r="T56" s="45">
        <v>1</v>
      </c>
      <c r="U56" s="46">
        <v>0</v>
      </c>
      <c r="V56" s="46">
        <v>0.004077</v>
      </c>
      <c r="W56" s="46">
        <v>0</v>
      </c>
      <c r="X56" s="46">
        <v>0.00285</v>
      </c>
      <c r="Y56" s="46">
        <v>0</v>
      </c>
      <c r="Z56" s="46">
        <v>0</v>
      </c>
      <c r="AA56" s="68">
        <v>56</v>
      </c>
      <c r="AB56" s="68"/>
      <c r="AC56" s="69"/>
      <c r="AD56" s="75" t="s">
        <v>1891</v>
      </c>
      <c r="AE56" s="80" t="s">
        <v>2204</v>
      </c>
      <c r="AF56" s="75">
        <v>45</v>
      </c>
      <c r="AG56" s="75">
        <v>29</v>
      </c>
      <c r="AH56" s="75">
        <v>4878</v>
      </c>
      <c r="AI56" s="75">
        <v>2632</v>
      </c>
      <c r="AJ56" s="75"/>
      <c r="AK56" s="75" t="s">
        <v>2446</v>
      </c>
      <c r="AL56" s="75"/>
      <c r="AM56" s="75"/>
      <c r="AN56" s="75"/>
      <c r="AO56" s="77">
        <v>44096.4353587963</v>
      </c>
      <c r="AP56" s="82" t="str">
        <f>HYPERLINK("https://pbs.twimg.com/profile_banners/1308352027450396673/1650446887")</f>
        <v>https://pbs.twimg.com/profile_banners/1308352027450396673/1650446887</v>
      </c>
      <c r="AQ56" s="75" t="b">
        <v>1</v>
      </c>
      <c r="AR56" s="75" t="b">
        <v>0</v>
      </c>
      <c r="AS56" s="75" t="b">
        <v>0</v>
      </c>
      <c r="AT56" s="75"/>
      <c r="AU56" s="75">
        <v>0</v>
      </c>
      <c r="AV56" s="75"/>
      <c r="AW56" s="75" t="b">
        <v>0</v>
      </c>
      <c r="AX56" s="75" t="s">
        <v>2845</v>
      </c>
      <c r="AY56" s="82" t="str">
        <f>HYPERLINK("https://twitter.com/nilhrevan")</f>
        <v>https://twitter.com/nilhrevan</v>
      </c>
      <c r="AZ56" s="75" t="s">
        <v>66</v>
      </c>
      <c r="BA56" s="75" t="str">
        <f>REPLACE(INDEX(GroupVertices[Group],MATCH(Vertices[[#This Row],[Vertex]],GroupVertices[Vertex],0)),1,1,"")</f>
        <v>37</v>
      </c>
      <c r="BB56" s="45">
        <v>0</v>
      </c>
      <c r="BC56" s="46">
        <v>0</v>
      </c>
      <c r="BD56" s="45">
        <v>0</v>
      </c>
      <c r="BE56" s="46">
        <v>0</v>
      </c>
      <c r="BF56" s="45">
        <v>0</v>
      </c>
      <c r="BG56" s="46">
        <v>0</v>
      </c>
      <c r="BH56" s="45">
        <v>2</v>
      </c>
      <c r="BI56" s="46">
        <v>100</v>
      </c>
      <c r="BJ56" s="45">
        <v>2</v>
      </c>
      <c r="BK56" s="45"/>
      <c r="BL56" s="45"/>
      <c r="BM56" s="45"/>
      <c r="BN56" s="45"/>
      <c r="BO56" s="45" t="s">
        <v>795</v>
      </c>
      <c r="BP56" s="45" t="s">
        <v>795</v>
      </c>
      <c r="BQ56" s="110" t="s">
        <v>4130</v>
      </c>
      <c r="BR56" s="110" t="s">
        <v>4130</v>
      </c>
      <c r="BS56" s="110" t="s">
        <v>4575</v>
      </c>
      <c r="BT56" s="110" t="s">
        <v>4575</v>
      </c>
      <c r="BU56" s="2"/>
    </row>
    <row r="57" spans="1:73" ht="15">
      <c r="A57" s="61" t="s">
        <v>274</v>
      </c>
      <c r="B57" s="62"/>
      <c r="C57" s="62"/>
      <c r="D57" s="63">
        <v>100</v>
      </c>
      <c r="E57" s="65"/>
      <c r="F57" s="99" t="str">
        <f>HYPERLINK("https://pbs.twimg.com/profile_images/1566170548262129665/uuqxKJyS_normal.jpg")</f>
        <v>https://pbs.twimg.com/profile_images/1566170548262129665/uuqxKJyS_normal.jpg</v>
      </c>
      <c r="G57" s="62"/>
      <c r="H57" s="66" t="s">
        <v>274</v>
      </c>
      <c r="I57" s="67"/>
      <c r="J57" s="67"/>
      <c r="K57" s="66" t="s">
        <v>2899</v>
      </c>
      <c r="L57" s="70">
        <v>1</v>
      </c>
      <c r="M57" s="71">
        <v>1505.9468994140625</v>
      </c>
      <c r="N57" s="71">
        <v>1698.548095703125</v>
      </c>
      <c r="O57" s="72"/>
      <c r="P57" s="73"/>
      <c r="Q57" s="73"/>
      <c r="R57" s="85"/>
      <c r="S57" s="45">
        <v>1</v>
      </c>
      <c r="T57" s="45">
        <v>1</v>
      </c>
      <c r="U57" s="46">
        <v>0</v>
      </c>
      <c r="V57" s="46">
        <v>0</v>
      </c>
      <c r="W57" s="46">
        <v>0</v>
      </c>
      <c r="X57" s="46">
        <v>0.003049</v>
      </c>
      <c r="Y57" s="46">
        <v>0</v>
      </c>
      <c r="Z57" s="46">
        <v>0</v>
      </c>
      <c r="AA57" s="68">
        <v>57</v>
      </c>
      <c r="AB57" s="68"/>
      <c r="AC57" s="69"/>
      <c r="AD57" s="75" t="s">
        <v>1892</v>
      </c>
      <c r="AE57" s="80" t="s">
        <v>2205</v>
      </c>
      <c r="AF57" s="75">
        <v>17</v>
      </c>
      <c r="AG57" s="75">
        <v>13</v>
      </c>
      <c r="AH57" s="75">
        <v>760</v>
      </c>
      <c r="AI57" s="75">
        <v>820</v>
      </c>
      <c r="AJ57" s="75"/>
      <c r="AK57" s="75" t="s">
        <v>2447</v>
      </c>
      <c r="AL57" s="75"/>
      <c r="AM57" s="75"/>
      <c r="AN57" s="75"/>
      <c r="AO57" s="77">
        <v>44807.79931712963</v>
      </c>
      <c r="AP57" s="75"/>
      <c r="AQ57" s="75" t="b">
        <v>1</v>
      </c>
      <c r="AR57" s="75" t="b">
        <v>0</v>
      </c>
      <c r="AS57" s="75" t="b">
        <v>0</v>
      </c>
      <c r="AT57" s="75"/>
      <c r="AU57" s="75">
        <v>5</v>
      </c>
      <c r="AV57" s="75"/>
      <c r="AW57" s="75" t="b">
        <v>0</v>
      </c>
      <c r="AX57" s="75" t="s">
        <v>2845</v>
      </c>
      <c r="AY57" s="82" t="str">
        <f>HYPERLINK("https://twitter.com/thetruth222222")</f>
        <v>https://twitter.com/thetruth222222</v>
      </c>
      <c r="AZ57" s="75" t="s">
        <v>66</v>
      </c>
      <c r="BA57" s="75" t="str">
        <f>REPLACE(INDEX(GroupVertices[Group],MATCH(Vertices[[#This Row],[Vertex]],GroupVertices[Vertex],0)),1,1,"")</f>
        <v>2</v>
      </c>
      <c r="BB57" s="45">
        <v>0</v>
      </c>
      <c r="BC57" s="46">
        <v>0</v>
      </c>
      <c r="BD57" s="45">
        <v>0</v>
      </c>
      <c r="BE57" s="46">
        <v>0</v>
      </c>
      <c r="BF57" s="45">
        <v>0</v>
      </c>
      <c r="BG57" s="46">
        <v>0</v>
      </c>
      <c r="BH57" s="45">
        <v>3</v>
      </c>
      <c r="BI57" s="46">
        <v>100</v>
      </c>
      <c r="BJ57" s="45">
        <v>3</v>
      </c>
      <c r="BK57" s="45" t="s">
        <v>3975</v>
      </c>
      <c r="BL57" s="45" t="s">
        <v>3975</v>
      </c>
      <c r="BM57" s="45" t="s">
        <v>783</v>
      </c>
      <c r="BN57" s="45" t="s">
        <v>783</v>
      </c>
      <c r="BO57" s="45" t="s">
        <v>795</v>
      </c>
      <c r="BP57" s="45" t="s">
        <v>795</v>
      </c>
      <c r="BQ57" s="110" t="s">
        <v>4454</v>
      </c>
      <c r="BR57" s="110" t="s">
        <v>4454</v>
      </c>
      <c r="BS57" s="110" t="s">
        <v>4576</v>
      </c>
      <c r="BT57" s="110" t="s">
        <v>4576</v>
      </c>
      <c r="BU57" s="2"/>
    </row>
    <row r="58" spans="1:73" ht="15">
      <c r="A58" s="61" t="s">
        <v>275</v>
      </c>
      <c r="B58" s="62"/>
      <c r="C58" s="62"/>
      <c r="D58" s="63">
        <v>100</v>
      </c>
      <c r="E58" s="65"/>
      <c r="F58" s="99" t="str">
        <f>HYPERLINK("https://pbs.twimg.com/profile_images/1835702875/bb04141a-9e93-40f1-8a3e-024132ca40a9_normal.png")</f>
        <v>https://pbs.twimg.com/profile_images/1835702875/bb04141a-9e93-40f1-8a3e-024132ca40a9_normal.png</v>
      </c>
      <c r="G58" s="62"/>
      <c r="H58" s="66" t="s">
        <v>275</v>
      </c>
      <c r="I58" s="67"/>
      <c r="J58" s="67"/>
      <c r="K58" s="66" t="s">
        <v>2900</v>
      </c>
      <c r="L58" s="70">
        <v>1</v>
      </c>
      <c r="M58" s="71">
        <v>5925.73095703125</v>
      </c>
      <c r="N58" s="71">
        <v>3461.1923828125</v>
      </c>
      <c r="O58" s="72"/>
      <c r="P58" s="73"/>
      <c r="Q58" s="73"/>
      <c r="R58" s="85"/>
      <c r="S58" s="45">
        <v>0</v>
      </c>
      <c r="T58" s="45">
        <v>1</v>
      </c>
      <c r="U58" s="46">
        <v>0</v>
      </c>
      <c r="V58" s="46">
        <v>0.00699</v>
      </c>
      <c r="W58" s="46">
        <v>0</v>
      </c>
      <c r="X58" s="46">
        <v>0.002722</v>
      </c>
      <c r="Y58" s="46">
        <v>0</v>
      </c>
      <c r="Z58" s="46">
        <v>0</v>
      </c>
      <c r="AA58" s="68">
        <v>58</v>
      </c>
      <c r="AB58" s="68"/>
      <c r="AC58" s="69"/>
      <c r="AD58" s="75" t="s">
        <v>1893</v>
      </c>
      <c r="AE58" s="80" t="s">
        <v>2206</v>
      </c>
      <c r="AF58" s="75">
        <v>929</v>
      </c>
      <c r="AG58" s="75">
        <v>860</v>
      </c>
      <c r="AH58" s="75">
        <v>57631</v>
      </c>
      <c r="AI58" s="75">
        <v>21503</v>
      </c>
      <c r="AJ58" s="75"/>
      <c r="AK58" s="75" t="s">
        <v>2448</v>
      </c>
      <c r="AL58" s="75" t="s">
        <v>2712</v>
      </c>
      <c r="AM58" s="82" t="str">
        <f>HYPERLINK("http://t.co/kI9jlh4p5Z")</f>
        <v>http://t.co/kI9jlh4p5Z</v>
      </c>
      <c r="AN58" s="75"/>
      <c r="AO58" s="77">
        <v>40416.28296296296</v>
      </c>
      <c r="AP58" s="75"/>
      <c r="AQ58" s="75" t="b">
        <v>0</v>
      </c>
      <c r="AR58" s="75" t="b">
        <v>0</v>
      </c>
      <c r="AS58" s="75" t="b">
        <v>0</v>
      </c>
      <c r="AT58" s="75"/>
      <c r="AU58" s="75">
        <v>27</v>
      </c>
      <c r="AV58" s="82" t="str">
        <f>HYPERLINK("https://abs.twimg.com/images/themes/theme15/bg.png")</f>
        <v>https://abs.twimg.com/images/themes/theme15/bg.png</v>
      </c>
      <c r="AW58" s="75" t="b">
        <v>0</v>
      </c>
      <c r="AX58" s="75" t="s">
        <v>2845</v>
      </c>
      <c r="AY58" s="82" t="str">
        <f>HYPERLINK("https://twitter.com/realfantomas")</f>
        <v>https://twitter.com/realfantomas</v>
      </c>
      <c r="AZ58" s="75" t="s">
        <v>66</v>
      </c>
      <c r="BA58" s="75" t="str">
        <f>REPLACE(INDEX(GroupVertices[Group],MATCH(Vertices[[#This Row],[Vertex]],GroupVertices[Vertex],0)),1,1,"")</f>
        <v>19</v>
      </c>
      <c r="BB58" s="45">
        <v>0</v>
      </c>
      <c r="BC58" s="46">
        <v>0</v>
      </c>
      <c r="BD58" s="45">
        <v>0</v>
      </c>
      <c r="BE58" s="46">
        <v>0</v>
      </c>
      <c r="BF58" s="45">
        <v>0</v>
      </c>
      <c r="BG58" s="46">
        <v>0</v>
      </c>
      <c r="BH58" s="45">
        <v>34</v>
      </c>
      <c r="BI58" s="46">
        <v>100</v>
      </c>
      <c r="BJ58" s="45">
        <v>34</v>
      </c>
      <c r="BK58" s="45"/>
      <c r="BL58" s="45"/>
      <c r="BM58" s="45"/>
      <c r="BN58" s="45"/>
      <c r="BO58" s="45" t="s">
        <v>805</v>
      </c>
      <c r="BP58" s="45" t="s">
        <v>805</v>
      </c>
      <c r="BQ58" s="110" t="s">
        <v>4455</v>
      </c>
      <c r="BR58" s="110" t="s">
        <v>4455</v>
      </c>
      <c r="BS58" s="110" t="s">
        <v>4257</v>
      </c>
      <c r="BT58" s="110" t="s">
        <v>4257</v>
      </c>
      <c r="BU58" s="2"/>
    </row>
    <row r="59" spans="1:73" ht="15">
      <c r="A59" s="61" t="s">
        <v>276</v>
      </c>
      <c r="B59" s="62"/>
      <c r="C59" s="62"/>
      <c r="D59" s="63">
        <v>100</v>
      </c>
      <c r="E59" s="65"/>
      <c r="F59" s="99" t="str">
        <f>HYPERLINK("https://pbs.twimg.com/profile_images/1507020421836808193/Bv1yFFuF_normal.jpg")</f>
        <v>https://pbs.twimg.com/profile_images/1507020421836808193/Bv1yFFuF_normal.jpg</v>
      </c>
      <c r="G59" s="62"/>
      <c r="H59" s="66" t="s">
        <v>276</v>
      </c>
      <c r="I59" s="67"/>
      <c r="J59" s="67"/>
      <c r="K59" s="66" t="s">
        <v>2901</v>
      </c>
      <c r="L59" s="70">
        <v>1</v>
      </c>
      <c r="M59" s="71">
        <v>8255.271484375</v>
      </c>
      <c r="N59" s="71">
        <v>2003.0047607421875</v>
      </c>
      <c r="O59" s="72"/>
      <c r="P59" s="73"/>
      <c r="Q59" s="73"/>
      <c r="R59" s="85"/>
      <c r="S59" s="45">
        <v>0</v>
      </c>
      <c r="T59" s="45">
        <v>1</v>
      </c>
      <c r="U59" s="46">
        <v>0</v>
      </c>
      <c r="V59" s="46">
        <v>0.003058</v>
      </c>
      <c r="W59" s="46">
        <v>0</v>
      </c>
      <c r="X59" s="46">
        <v>0.003049</v>
      </c>
      <c r="Y59" s="46">
        <v>0</v>
      </c>
      <c r="Z59" s="46">
        <v>0</v>
      </c>
      <c r="AA59" s="68">
        <v>59</v>
      </c>
      <c r="AB59" s="68"/>
      <c r="AC59" s="69"/>
      <c r="AD59" s="75" t="s">
        <v>1894</v>
      </c>
      <c r="AE59" s="80" t="s">
        <v>2207</v>
      </c>
      <c r="AF59" s="75">
        <v>409</v>
      </c>
      <c r="AG59" s="75">
        <v>208</v>
      </c>
      <c r="AH59" s="75">
        <v>20442</v>
      </c>
      <c r="AI59" s="75">
        <v>23617</v>
      </c>
      <c r="AJ59" s="75"/>
      <c r="AK59" s="75"/>
      <c r="AL59" s="75"/>
      <c r="AM59" s="75"/>
      <c r="AN59" s="75"/>
      <c r="AO59" s="77">
        <v>40984.750625</v>
      </c>
      <c r="AP59" s="82" t="str">
        <f>HYPERLINK("https://pbs.twimg.com/profile_banners/526643802/1648136586")</f>
        <v>https://pbs.twimg.com/profile_banners/526643802/1648136586</v>
      </c>
      <c r="AQ59" s="75" t="b">
        <v>1</v>
      </c>
      <c r="AR59" s="75" t="b">
        <v>0</v>
      </c>
      <c r="AS59" s="75" t="b">
        <v>0</v>
      </c>
      <c r="AT59" s="75"/>
      <c r="AU59" s="75">
        <v>2</v>
      </c>
      <c r="AV59" s="82" t="str">
        <f>HYPERLINK("https://abs.twimg.com/images/themes/theme1/bg.png")</f>
        <v>https://abs.twimg.com/images/themes/theme1/bg.png</v>
      </c>
      <c r="AW59" s="75" t="b">
        <v>0</v>
      </c>
      <c r="AX59" s="75" t="s">
        <v>2845</v>
      </c>
      <c r="AY59" s="82" t="str">
        <f>HYPERLINK("https://twitter.com/miky3881")</f>
        <v>https://twitter.com/miky3881</v>
      </c>
      <c r="AZ59" s="75" t="s">
        <v>66</v>
      </c>
      <c r="BA59" s="75" t="str">
        <f>REPLACE(INDEX(GroupVertices[Group],MATCH(Vertices[[#This Row],[Vertex]],GroupVertices[Vertex],0)),1,1,"")</f>
        <v>57</v>
      </c>
      <c r="BB59" s="45">
        <v>0</v>
      </c>
      <c r="BC59" s="46">
        <v>0</v>
      </c>
      <c r="BD59" s="45">
        <v>0</v>
      </c>
      <c r="BE59" s="46">
        <v>0</v>
      </c>
      <c r="BF59" s="45">
        <v>0</v>
      </c>
      <c r="BG59" s="46">
        <v>0</v>
      </c>
      <c r="BH59" s="45">
        <v>33</v>
      </c>
      <c r="BI59" s="46">
        <v>100</v>
      </c>
      <c r="BJ59" s="45">
        <v>33</v>
      </c>
      <c r="BK59" s="45"/>
      <c r="BL59" s="45"/>
      <c r="BM59" s="45"/>
      <c r="BN59" s="45"/>
      <c r="BO59" s="45" t="s">
        <v>806</v>
      </c>
      <c r="BP59" s="45" t="s">
        <v>806</v>
      </c>
      <c r="BQ59" s="110" t="s">
        <v>4456</v>
      </c>
      <c r="BR59" s="110" t="s">
        <v>4456</v>
      </c>
      <c r="BS59" s="110" t="s">
        <v>4577</v>
      </c>
      <c r="BT59" s="110" t="s">
        <v>4577</v>
      </c>
      <c r="BU59" s="2"/>
    </row>
    <row r="60" spans="1:73" ht="15">
      <c r="A60" s="61" t="s">
        <v>463</v>
      </c>
      <c r="B60" s="62"/>
      <c r="C60" s="62"/>
      <c r="D60" s="63">
        <v>100</v>
      </c>
      <c r="E60" s="65"/>
      <c r="F60" s="99" t="str">
        <f>HYPERLINK("https://pbs.twimg.com/profile_images/1530276896155516928/yqqwdQ7J_normal.jpg")</f>
        <v>https://pbs.twimg.com/profile_images/1530276896155516928/yqqwdQ7J_normal.jpg</v>
      </c>
      <c r="G60" s="62"/>
      <c r="H60" s="66" t="s">
        <v>463</v>
      </c>
      <c r="I60" s="67"/>
      <c r="J60" s="67"/>
      <c r="K60" s="66" t="s">
        <v>2902</v>
      </c>
      <c r="L60" s="70">
        <v>1</v>
      </c>
      <c r="M60" s="71">
        <v>8255.271484375</v>
      </c>
      <c r="N60" s="71">
        <v>2291.4375</v>
      </c>
      <c r="O60" s="72"/>
      <c r="P60" s="73"/>
      <c r="Q60" s="73"/>
      <c r="R60" s="85"/>
      <c r="S60" s="45">
        <v>1</v>
      </c>
      <c r="T60" s="45">
        <v>0</v>
      </c>
      <c r="U60" s="46">
        <v>0</v>
      </c>
      <c r="V60" s="46">
        <v>0.003058</v>
      </c>
      <c r="W60" s="46">
        <v>0</v>
      </c>
      <c r="X60" s="46">
        <v>0.003049</v>
      </c>
      <c r="Y60" s="46">
        <v>0</v>
      </c>
      <c r="Z60" s="46">
        <v>0</v>
      </c>
      <c r="AA60" s="68">
        <v>60</v>
      </c>
      <c r="AB60" s="68"/>
      <c r="AC60" s="69"/>
      <c r="AD60" s="75" t="s">
        <v>1895</v>
      </c>
      <c r="AE60" s="80" t="s">
        <v>1684</v>
      </c>
      <c r="AF60" s="75">
        <v>105</v>
      </c>
      <c r="AG60" s="75">
        <v>2288</v>
      </c>
      <c r="AH60" s="75">
        <v>896</v>
      </c>
      <c r="AI60" s="75">
        <v>943</v>
      </c>
      <c r="AJ60" s="75"/>
      <c r="AK60" s="75" t="s">
        <v>2449</v>
      </c>
      <c r="AL60" s="75"/>
      <c r="AM60" s="75"/>
      <c r="AN60" s="75"/>
      <c r="AO60" s="77">
        <v>44622.63244212963</v>
      </c>
      <c r="AP60" s="75"/>
      <c r="AQ60" s="75" t="b">
        <v>1</v>
      </c>
      <c r="AR60" s="75" t="b">
        <v>0</v>
      </c>
      <c r="AS60" s="75" t="b">
        <v>0</v>
      </c>
      <c r="AT60" s="75"/>
      <c r="AU60" s="75">
        <v>15</v>
      </c>
      <c r="AV60" s="75"/>
      <c r="AW60" s="75" t="b">
        <v>0</v>
      </c>
      <c r="AX60" s="75" t="s">
        <v>2845</v>
      </c>
      <c r="AY60" s="82" t="str">
        <f>HYPERLINK("https://twitter.com/albertofazolo")</f>
        <v>https://twitter.com/albertofazolo</v>
      </c>
      <c r="AZ60" s="75" t="s">
        <v>65</v>
      </c>
      <c r="BA60" s="75" t="str">
        <f>REPLACE(INDEX(GroupVertices[Group],MATCH(Vertices[[#This Row],[Vertex]],GroupVertices[Vertex],0)),1,1,"")</f>
        <v>57</v>
      </c>
      <c r="BB60" s="45"/>
      <c r="BC60" s="46"/>
      <c r="BD60" s="45"/>
      <c r="BE60" s="46"/>
      <c r="BF60" s="45"/>
      <c r="BG60" s="46"/>
      <c r="BH60" s="45"/>
      <c r="BI60" s="46"/>
      <c r="BJ60" s="45"/>
      <c r="BK60" s="45"/>
      <c r="BL60" s="45"/>
      <c r="BM60" s="45"/>
      <c r="BN60" s="45"/>
      <c r="BO60" s="45"/>
      <c r="BP60" s="45"/>
      <c r="BQ60" s="45"/>
      <c r="BR60" s="45"/>
      <c r="BS60" s="45"/>
      <c r="BT60" s="45"/>
      <c r="BU60" s="2"/>
    </row>
    <row r="61" spans="1:73" ht="15">
      <c r="A61" s="61" t="s">
        <v>277</v>
      </c>
      <c r="B61" s="62"/>
      <c r="C61" s="62"/>
      <c r="D61" s="63">
        <v>100</v>
      </c>
      <c r="E61" s="65"/>
      <c r="F61" s="99" t="str">
        <f>HYPERLINK("https://pbs.twimg.com/profile_images/1568323910650707968/_BKm3e_r_normal.jpg")</f>
        <v>https://pbs.twimg.com/profile_images/1568323910650707968/_BKm3e_r_normal.jpg</v>
      </c>
      <c r="G61" s="62"/>
      <c r="H61" s="66" t="s">
        <v>277</v>
      </c>
      <c r="I61" s="67"/>
      <c r="J61" s="67"/>
      <c r="K61" s="66" t="s">
        <v>2903</v>
      </c>
      <c r="L61" s="70">
        <v>1</v>
      </c>
      <c r="M61" s="71">
        <v>8718.640625</v>
      </c>
      <c r="N61" s="71">
        <v>4374.5625</v>
      </c>
      <c r="O61" s="72"/>
      <c r="P61" s="73"/>
      <c r="Q61" s="73"/>
      <c r="R61" s="85"/>
      <c r="S61" s="45">
        <v>0</v>
      </c>
      <c r="T61" s="45">
        <v>1</v>
      </c>
      <c r="U61" s="46">
        <v>0</v>
      </c>
      <c r="V61" s="46">
        <v>0.003058</v>
      </c>
      <c r="W61" s="46">
        <v>0</v>
      </c>
      <c r="X61" s="46">
        <v>0.003049</v>
      </c>
      <c r="Y61" s="46">
        <v>0</v>
      </c>
      <c r="Z61" s="46">
        <v>0</v>
      </c>
      <c r="AA61" s="68">
        <v>61</v>
      </c>
      <c r="AB61" s="68"/>
      <c r="AC61" s="69"/>
      <c r="AD61" s="75" t="s">
        <v>1896</v>
      </c>
      <c r="AE61" s="80" t="s">
        <v>2208</v>
      </c>
      <c r="AF61" s="75">
        <v>872</v>
      </c>
      <c r="AG61" s="75">
        <v>376</v>
      </c>
      <c r="AH61" s="75">
        <v>9233</v>
      </c>
      <c r="AI61" s="75">
        <v>47034</v>
      </c>
      <c r="AJ61" s="75"/>
      <c r="AK61" s="75" t="s">
        <v>2450</v>
      </c>
      <c r="AL61" s="75" t="s">
        <v>2713</v>
      </c>
      <c r="AM61" s="75"/>
      <c r="AN61" s="75"/>
      <c r="AO61" s="77">
        <v>44238.5144212963</v>
      </c>
      <c r="AP61" s="82" t="str">
        <f>HYPERLINK("https://pbs.twimg.com/profile_banners/1359839730989469698/1661153282")</f>
        <v>https://pbs.twimg.com/profile_banners/1359839730989469698/1661153282</v>
      </c>
      <c r="AQ61" s="75" t="b">
        <v>1</v>
      </c>
      <c r="AR61" s="75" t="b">
        <v>0</v>
      </c>
      <c r="AS61" s="75" t="b">
        <v>0</v>
      </c>
      <c r="AT61" s="75"/>
      <c r="AU61" s="75">
        <v>4</v>
      </c>
      <c r="AV61" s="75"/>
      <c r="AW61" s="75" t="b">
        <v>0</v>
      </c>
      <c r="AX61" s="75" t="s">
        <v>2845</v>
      </c>
      <c r="AY61" s="82" t="str">
        <f>HYPERLINK("https://twitter.com/poseidon325_")</f>
        <v>https://twitter.com/poseidon325_</v>
      </c>
      <c r="AZ61" s="75" t="s">
        <v>66</v>
      </c>
      <c r="BA61" s="75" t="str">
        <f>REPLACE(INDEX(GroupVertices[Group],MATCH(Vertices[[#This Row],[Vertex]],GroupVertices[Vertex],0)),1,1,"")</f>
        <v>56</v>
      </c>
      <c r="BB61" s="45">
        <v>0</v>
      </c>
      <c r="BC61" s="46">
        <v>0</v>
      </c>
      <c r="BD61" s="45">
        <v>0</v>
      </c>
      <c r="BE61" s="46">
        <v>0</v>
      </c>
      <c r="BF61" s="45">
        <v>0</v>
      </c>
      <c r="BG61" s="46">
        <v>0</v>
      </c>
      <c r="BH61" s="45">
        <v>2</v>
      </c>
      <c r="BI61" s="46">
        <v>100</v>
      </c>
      <c r="BJ61" s="45">
        <v>2</v>
      </c>
      <c r="BK61" s="45"/>
      <c r="BL61" s="45"/>
      <c r="BM61" s="45"/>
      <c r="BN61" s="45"/>
      <c r="BO61" s="45" t="s">
        <v>795</v>
      </c>
      <c r="BP61" s="45" t="s">
        <v>795</v>
      </c>
      <c r="BQ61" s="110" t="s">
        <v>4457</v>
      </c>
      <c r="BR61" s="110" t="s">
        <v>4457</v>
      </c>
      <c r="BS61" s="110" t="s">
        <v>4578</v>
      </c>
      <c r="BT61" s="110" t="s">
        <v>4578</v>
      </c>
      <c r="BU61" s="2"/>
    </row>
    <row r="62" spans="1:73" ht="15">
      <c r="A62" s="61" t="s">
        <v>464</v>
      </c>
      <c r="B62" s="62"/>
      <c r="C62" s="62"/>
      <c r="D62" s="63">
        <v>100</v>
      </c>
      <c r="E62" s="65"/>
      <c r="F62" s="99" t="str">
        <f>HYPERLINK("https://pbs.twimg.com/profile_images/1549655906295730177/Kwjzo1BJ_normal.jpg")</f>
        <v>https://pbs.twimg.com/profile_images/1549655906295730177/Kwjzo1BJ_normal.jpg</v>
      </c>
      <c r="G62" s="62"/>
      <c r="H62" s="66" t="s">
        <v>464</v>
      </c>
      <c r="I62" s="67"/>
      <c r="J62" s="67"/>
      <c r="K62" s="66" t="s">
        <v>2904</v>
      </c>
      <c r="L62" s="70">
        <v>1</v>
      </c>
      <c r="M62" s="71">
        <v>8718.640625</v>
      </c>
      <c r="N62" s="71">
        <v>4662.9951171875</v>
      </c>
      <c r="O62" s="72"/>
      <c r="P62" s="73"/>
      <c r="Q62" s="73"/>
      <c r="R62" s="85"/>
      <c r="S62" s="45">
        <v>1</v>
      </c>
      <c r="T62" s="45">
        <v>0</v>
      </c>
      <c r="U62" s="46">
        <v>0</v>
      </c>
      <c r="V62" s="46">
        <v>0.003058</v>
      </c>
      <c r="W62" s="46">
        <v>0</v>
      </c>
      <c r="X62" s="46">
        <v>0.003049</v>
      </c>
      <c r="Y62" s="46">
        <v>0</v>
      </c>
      <c r="Z62" s="46">
        <v>0</v>
      </c>
      <c r="AA62" s="68">
        <v>62</v>
      </c>
      <c r="AB62" s="68"/>
      <c r="AC62" s="69"/>
      <c r="AD62" s="75" t="s">
        <v>1897</v>
      </c>
      <c r="AE62" s="80" t="s">
        <v>1685</v>
      </c>
      <c r="AF62" s="75">
        <v>173</v>
      </c>
      <c r="AG62" s="75">
        <v>14</v>
      </c>
      <c r="AH62" s="75">
        <v>672</v>
      </c>
      <c r="AI62" s="75">
        <v>3548</v>
      </c>
      <c r="AJ62" s="75"/>
      <c r="AK62" s="75" t="s">
        <v>2451</v>
      </c>
      <c r="AL62" s="75"/>
      <c r="AM62" s="75"/>
      <c r="AN62" s="75"/>
      <c r="AO62" s="77">
        <v>43670.601319444446</v>
      </c>
      <c r="AP62" s="82" t="str">
        <f>HYPERLINK("https://pbs.twimg.com/profile_banners/1154034977991868416/1660655480")</f>
        <v>https://pbs.twimg.com/profile_banners/1154034977991868416/1660655480</v>
      </c>
      <c r="AQ62" s="75" t="b">
        <v>1</v>
      </c>
      <c r="AR62" s="75" t="b">
        <v>0</v>
      </c>
      <c r="AS62" s="75" t="b">
        <v>0</v>
      </c>
      <c r="AT62" s="75"/>
      <c r="AU62" s="75">
        <v>0</v>
      </c>
      <c r="AV62" s="75"/>
      <c r="AW62" s="75" t="b">
        <v>0</v>
      </c>
      <c r="AX62" s="75" t="s">
        <v>2845</v>
      </c>
      <c r="AY62" s="82" t="str">
        <f>HYPERLINK("https://twitter.com/gorkembo")</f>
        <v>https://twitter.com/gorkembo</v>
      </c>
      <c r="AZ62" s="75" t="s">
        <v>65</v>
      </c>
      <c r="BA62" s="75" t="str">
        <f>REPLACE(INDEX(GroupVertices[Group],MATCH(Vertices[[#This Row],[Vertex]],GroupVertices[Vertex],0)),1,1,"")</f>
        <v>56</v>
      </c>
      <c r="BB62" s="45"/>
      <c r="BC62" s="46"/>
      <c r="BD62" s="45"/>
      <c r="BE62" s="46"/>
      <c r="BF62" s="45"/>
      <c r="BG62" s="46"/>
      <c r="BH62" s="45"/>
      <c r="BI62" s="46"/>
      <c r="BJ62" s="45"/>
      <c r="BK62" s="45"/>
      <c r="BL62" s="45"/>
      <c r="BM62" s="45"/>
      <c r="BN62" s="45"/>
      <c r="BO62" s="45"/>
      <c r="BP62" s="45"/>
      <c r="BQ62" s="45"/>
      <c r="BR62" s="45"/>
      <c r="BS62" s="45"/>
      <c r="BT62" s="45"/>
      <c r="BU62" s="2"/>
    </row>
    <row r="63" spans="1:73" ht="15">
      <c r="A63" s="61" t="s">
        <v>278</v>
      </c>
      <c r="B63" s="62"/>
      <c r="C63" s="62"/>
      <c r="D63" s="63">
        <v>100</v>
      </c>
      <c r="E63" s="65"/>
      <c r="F63" s="99" t="str">
        <f>HYPERLINK("https://pbs.twimg.com/profile_images/1562385498869583872/hwJOFXDv_normal.jpg")</f>
        <v>https://pbs.twimg.com/profile_images/1562385498869583872/hwJOFXDv_normal.jpg</v>
      </c>
      <c r="G63" s="62"/>
      <c r="H63" s="66" t="s">
        <v>278</v>
      </c>
      <c r="I63" s="67"/>
      <c r="J63" s="67"/>
      <c r="K63" s="66" t="s">
        <v>2905</v>
      </c>
      <c r="L63" s="70">
        <v>1</v>
      </c>
      <c r="M63" s="71">
        <v>8255.271484375</v>
      </c>
      <c r="N63" s="71">
        <v>1073.610595703125</v>
      </c>
      <c r="O63" s="72"/>
      <c r="P63" s="73"/>
      <c r="Q63" s="73"/>
      <c r="R63" s="85"/>
      <c r="S63" s="45">
        <v>2</v>
      </c>
      <c r="T63" s="45">
        <v>1</v>
      </c>
      <c r="U63" s="46">
        <v>0</v>
      </c>
      <c r="V63" s="46">
        <v>0.003058</v>
      </c>
      <c r="W63" s="46">
        <v>0</v>
      </c>
      <c r="X63" s="46">
        <v>0.003261</v>
      </c>
      <c r="Y63" s="46">
        <v>0</v>
      </c>
      <c r="Z63" s="46">
        <v>0</v>
      </c>
      <c r="AA63" s="68">
        <v>63</v>
      </c>
      <c r="AB63" s="68"/>
      <c r="AC63" s="69"/>
      <c r="AD63" s="75" t="s">
        <v>1898</v>
      </c>
      <c r="AE63" s="80" t="s">
        <v>2209</v>
      </c>
      <c r="AF63" s="75">
        <v>141</v>
      </c>
      <c r="AG63" s="75">
        <v>43</v>
      </c>
      <c r="AH63" s="75">
        <v>650</v>
      </c>
      <c r="AI63" s="75">
        <v>2578</v>
      </c>
      <c r="AJ63" s="75"/>
      <c r="AK63" s="75" t="s">
        <v>2452</v>
      </c>
      <c r="AL63" s="75" t="s">
        <v>2714</v>
      </c>
      <c r="AM63" s="75"/>
      <c r="AN63" s="75"/>
      <c r="AO63" s="77">
        <v>44639.05847222222</v>
      </c>
      <c r="AP63" s="82" t="str">
        <f>HYPERLINK("https://pbs.twimg.com/profile_banners/1504991983701483525/1647654690")</f>
        <v>https://pbs.twimg.com/profile_banners/1504991983701483525/1647654690</v>
      </c>
      <c r="AQ63" s="75" t="b">
        <v>1</v>
      </c>
      <c r="AR63" s="75" t="b">
        <v>0</v>
      </c>
      <c r="AS63" s="75" t="b">
        <v>1</v>
      </c>
      <c r="AT63" s="75"/>
      <c r="AU63" s="75">
        <v>0</v>
      </c>
      <c r="AV63" s="75"/>
      <c r="AW63" s="75" t="b">
        <v>0</v>
      </c>
      <c r="AX63" s="75" t="s">
        <v>2845</v>
      </c>
      <c r="AY63" s="82" t="str">
        <f>HYPERLINK("https://twitter.com/saifullahalipti")</f>
        <v>https://twitter.com/saifullahalipti</v>
      </c>
      <c r="AZ63" s="75" t="s">
        <v>66</v>
      </c>
      <c r="BA63" s="75" t="str">
        <f>REPLACE(INDEX(GroupVertices[Group],MATCH(Vertices[[#This Row],[Vertex]],GroupVertices[Vertex],0)),1,1,"")</f>
        <v>55</v>
      </c>
      <c r="BB63" s="45">
        <v>0</v>
      </c>
      <c r="BC63" s="46">
        <v>0</v>
      </c>
      <c r="BD63" s="45">
        <v>0</v>
      </c>
      <c r="BE63" s="46">
        <v>0</v>
      </c>
      <c r="BF63" s="45">
        <v>0</v>
      </c>
      <c r="BG63" s="46">
        <v>0</v>
      </c>
      <c r="BH63" s="45">
        <v>7</v>
      </c>
      <c r="BI63" s="46">
        <v>100</v>
      </c>
      <c r="BJ63" s="45">
        <v>7</v>
      </c>
      <c r="BK63" s="45"/>
      <c r="BL63" s="45"/>
      <c r="BM63" s="45"/>
      <c r="BN63" s="45"/>
      <c r="BO63" s="45" t="s">
        <v>807</v>
      </c>
      <c r="BP63" s="45" t="s">
        <v>807</v>
      </c>
      <c r="BQ63" s="110" t="s">
        <v>4137</v>
      </c>
      <c r="BR63" s="110" t="s">
        <v>4137</v>
      </c>
      <c r="BS63" s="110" t="s">
        <v>4267</v>
      </c>
      <c r="BT63" s="110" t="s">
        <v>4267</v>
      </c>
      <c r="BU63" s="2"/>
    </row>
    <row r="64" spans="1:73" ht="15">
      <c r="A64" s="61" t="s">
        <v>279</v>
      </c>
      <c r="B64" s="62"/>
      <c r="C64" s="62"/>
      <c r="D64" s="63">
        <v>100</v>
      </c>
      <c r="E64" s="65"/>
      <c r="F64" s="99" t="str">
        <f>HYPERLINK("https://pbs.twimg.com/profile_images/1553387064246165504/cH9yWbdg_normal.jpg")</f>
        <v>https://pbs.twimg.com/profile_images/1553387064246165504/cH9yWbdg_normal.jpg</v>
      </c>
      <c r="G64" s="62"/>
      <c r="H64" s="66" t="s">
        <v>279</v>
      </c>
      <c r="I64" s="67"/>
      <c r="J64" s="67"/>
      <c r="K64" s="66" t="s">
        <v>2906</v>
      </c>
      <c r="L64" s="70">
        <v>1</v>
      </c>
      <c r="M64" s="71">
        <v>8255.271484375</v>
      </c>
      <c r="N64" s="71">
        <v>785.1778564453125</v>
      </c>
      <c r="O64" s="72"/>
      <c r="P64" s="73"/>
      <c r="Q64" s="73"/>
      <c r="R64" s="85"/>
      <c r="S64" s="45">
        <v>0</v>
      </c>
      <c r="T64" s="45">
        <v>1</v>
      </c>
      <c r="U64" s="46">
        <v>0</v>
      </c>
      <c r="V64" s="46">
        <v>0.003058</v>
      </c>
      <c r="W64" s="46">
        <v>0</v>
      </c>
      <c r="X64" s="46">
        <v>0.002836</v>
      </c>
      <c r="Y64" s="46">
        <v>0</v>
      </c>
      <c r="Z64" s="46">
        <v>0</v>
      </c>
      <c r="AA64" s="68">
        <v>64</v>
      </c>
      <c r="AB64" s="68"/>
      <c r="AC64" s="69"/>
      <c r="AD64" s="75" t="s">
        <v>1899</v>
      </c>
      <c r="AE64" s="80" t="s">
        <v>2210</v>
      </c>
      <c r="AF64" s="75">
        <v>3775</v>
      </c>
      <c r="AG64" s="75">
        <v>4559</v>
      </c>
      <c r="AH64" s="75">
        <v>70978</v>
      </c>
      <c r="AI64" s="75">
        <v>21128</v>
      </c>
      <c r="AJ64" s="75"/>
      <c r="AK64" s="75" t="s">
        <v>2453</v>
      </c>
      <c r="AL64" s="75"/>
      <c r="AM64" s="75"/>
      <c r="AN64" s="75"/>
      <c r="AO64" s="77">
        <v>43894.71934027778</v>
      </c>
      <c r="AP64" s="82" t="str">
        <f>HYPERLINK("https://pbs.twimg.com/profile_banners/1235252571075465217/1615096363")</f>
        <v>https://pbs.twimg.com/profile_banners/1235252571075465217/1615096363</v>
      </c>
      <c r="AQ64" s="75" t="b">
        <v>1</v>
      </c>
      <c r="AR64" s="75" t="b">
        <v>0</v>
      </c>
      <c r="AS64" s="75" t="b">
        <v>0</v>
      </c>
      <c r="AT64" s="75"/>
      <c r="AU64" s="75">
        <v>1</v>
      </c>
      <c r="AV64" s="75"/>
      <c r="AW64" s="75" t="b">
        <v>0</v>
      </c>
      <c r="AX64" s="75" t="s">
        <v>2845</v>
      </c>
      <c r="AY64" s="82" t="str">
        <f>HYPERLINK("https://twitter.com/dilkash_1")</f>
        <v>https://twitter.com/dilkash_1</v>
      </c>
      <c r="AZ64" s="75" t="s">
        <v>66</v>
      </c>
      <c r="BA64" s="75" t="str">
        <f>REPLACE(INDEX(GroupVertices[Group],MATCH(Vertices[[#This Row],[Vertex]],GroupVertices[Vertex],0)),1,1,"")</f>
        <v>55</v>
      </c>
      <c r="BB64" s="45">
        <v>0</v>
      </c>
      <c r="BC64" s="46">
        <v>0</v>
      </c>
      <c r="BD64" s="45">
        <v>0</v>
      </c>
      <c r="BE64" s="46">
        <v>0</v>
      </c>
      <c r="BF64" s="45">
        <v>0</v>
      </c>
      <c r="BG64" s="46">
        <v>0</v>
      </c>
      <c r="BH64" s="45">
        <v>7</v>
      </c>
      <c r="BI64" s="46">
        <v>100</v>
      </c>
      <c r="BJ64" s="45">
        <v>7</v>
      </c>
      <c r="BK64" s="45"/>
      <c r="BL64" s="45"/>
      <c r="BM64" s="45"/>
      <c r="BN64" s="45"/>
      <c r="BO64" s="45" t="s">
        <v>807</v>
      </c>
      <c r="BP64" s="45" t="s">
        <v>807</v>
      </c>
      <c r="BQ64" s="110" t="s">
        <v>4137</v>
      </c>
      <c r="BR64" s="110" t="s">
        <v>4137</v>
      </c>
      <c r="BS64" s="110" t="s">
        <v>4267</v>
      </c>
      <c r="BT64" s="110" t="s">
        <v>4267</v>
      </c>
      <c r="BU64" s="2"/>
    </row>
    <row r="65" spans="1:73" ht="15">
      <c r="A65" s="61" t="s">
        <v>281</v>
      </c>
      <c r="B65" s="62"/>
      <c r="C65" s="62"/>
      <c r="D65" s="63">
        <v>100</v>
      </c>
      <c r="E65" s="65"/>
      <c r="F65" s="99" t="str">
        <f>HYPERLINK("https://pbs.twimg.com/profile_images/1524845282072088582/Kw73EeUm_normal.jpg")</f>
        <v>https://pbs.twimg.com/profile_images/1524845282072088582/Kw73EeUm_normal.jpg</v>
      </c>
      <c r="G65" s="62"/>
      <c r="H65" s="66" t="s">
        <v>281</v>
      </c>
      <c r="I65" s="67"/>
      <c r="J65" s="67"/>
      <c r="K65" s="66" t="s">
        <v>2907</v>
      </c>
      <c r="L65" s="70">
        <v>1</v>
      </c>
      <c r="M65" s="71">
        <v>6194.50244140625</v>
      </c>
      <c r="N65" s="71">
        <v>2893.670166015625</v>
      </c>
      <c r="O65" s="72"/>
      <c r="P65" s="73"/>
      <c r="Q65" s="73"/>
      <c r="R65" s="85"/>
      <c r="S65" s="45">
        <v>0</v>
      </c>
      <c r="T65" s="45">
        <v>1</v>
      </c>
      <c r="U65" s="46">
        <v>0</v>
      </c>
      <c r="V65" s="46">
        <v>0.00699</v>
      </c>
      <c r="W65" s="46">
        <v>0</v>
      </c>
      <c r="X65" s="46">
        <v>0.002722</v>
      </c>
      <c r="Y65" s="46">
        <v>0</v>
      </c>
      <c r="Z65" s="46">
        <v>0</v>
      </c>
      <c r="AA65" s="68">
        <v>65</v>
      </c>
      <c r="AB65" s="68"/>
      <c r="AC65" s="69"/>
      <c r="AD65" s="75" t="s">
        <v>1900</v>
      </c>
      <c r="AE65" s="80" t="s">
        <v>2211</v>
      </c>
      <c r="AF65" s="75">
        <v>145</v>
      </c>
      <c r="AG65" s="75">
        <v>161</v>
      </c>
      <c r="AH65" s="75">
        <v>6972</v>
      </c>
      <c r="AI65" s="75">
        <v>18526</v>
      </c>
      <c r="AJ65" s="75"/>
      <c r="AK65" s="75" t="s">
        <v>2454</v>
      </c>
      <c r="AL65" s="75"/>
      <c r="AM65" s="75"/>
      <c r="AN65" s="75"/>
      <c r="AO65" s="77">
        <v>44601.828356481485</v>
      </c>
      <c r="AP65" s="75"/>
      <c r="AQ65" s="75" t="b">
        <v>1</v>
      </c>
      <c r="AR65" s="75" t="b">
        <v>0</v>
      </c>
      <c r="AS65" s="75" t="b">
        <v>0</v>
      </c>
      <c r="AT65" s="75"/>
      <c r="AU65" s="75">
        <v>0</v>
      </c>
      <c r="AV65" s="75"/>
      <c r="AW65" s="75" t="b">
        <v>0</v>
      </c>
      <c r="AX65" s="75" t="s">
        <v>2845</v>
      </c>
      <c r="AY65" s="82" t="str">
        <f>HYPERLINK("https://twitter.com/achguck")</f>
        <v>https://twitter.com/achguck</v>
      </c>
      <c r="AZ65" s="75" t="s">
        <v>66</v>
      </c>
      <c r="BA65" s="75" t="str">
        <f>REPLACE(INDEX(GroupVertices[Group],MATCH(Vertices[[#This Row],[Vertex]],GroupVertices[Vertex],0)),1,1,"")</f>
        <v>19</v>
      </c>
      <c r="BB65" s="45">
        <v>0</v>
      </c>
      <c r="BC65" s="46">
        <v>0</v>
      </c>
      <c r="BD65" s="45">
        <v>0</v>
      </c>
      <c r="BE65" s="46">
        <v>0</v>
      </c>
      <c r="BF65" s="45">
        <v>0</v>
      </c>
      <c r="BG65" s="46">
        <v>0</v>
      </c>
      <c r="BH65" s="45">
        <v>34</v>
      </c>
      <c r="BI65" s="46">
        <v>100</v>
      </c>
      <c r="BJ65" s="45">
        <v>34</v>
      </c>
      <c r="BK65" s="45"/>
      <c r="BL65" s="45"/>
      <c r="BM65" s="45"/>
      <c r="BN65" s="45"/>
      <c r="BO65" s="45" t="s">
        <v>805</v>
      </c>
      <c r="BP65" s="45" t="s">
        <v>805</v>
      </c>
      <c r="BQ65" s="110" t="s">
        <v>4455</v>
      </c>
      <c r="BR65" s="110" t="s">
        <v>4455</v>
      </c>
      <c r="BS65" s="110" t="s">
        <v>4257</v>
      </c>
      <c r="BT65" s="110" t="s">
        <v>4257</v>
      </c>
      <c r="BU65" s="2"/>
    </row>
    <row r="66" spans="1:73" ht="15">
      <c r="A66" s="61" t="s">
        <v>282</v>
      </c>
      <c r="B66" s="62"/>
      <c r="C66" s="62"/>
      <c r="D66" s="63">
        <v>101.81818181818181</v>
      </c>
      <c r="E66" s="65"/>
      <c r="F66" s="99" t="str">
        <f>HYPERLINK("https://pbs.twimg.com/profile_images/1424445080962797568/kOyPAqP-_normal.jpg")</f>
        <v>https://pbs.twimg.com/profile_images/1424445080962797568/kOyPAqP-_normal.jpg</v>
      </c>
      <c r="G66" s="62"/>
      <c r="H66" s="66" t="s">
        <v>282</v>
      </c>
      <c r="I66" s="67"/>
      <c r="J66" s="67"/>
      <c r="K66" s="66" t="s">
        <v>2908</v>
      </c>
      <c r="L66" s="70">
        <v>3.6671230380891213</v>
      </c>
      <c r="M66" s="71">
        <v>5022.56640625</v>
      </c>
      <c r="N66" s="71">
        <v>6922.384765625</v>
      </c>
      <c r="O66" s="72"/>
      <c r="P66" s="73"/>
      <c r="Q66" s="73"/>
      <c r="R66" s="85"/>
      <c r="S66" s="45">
        <v>0</v>
      </c>
      <c r="T66" s="45">
        <v>4</v>
      </c>
      <c r="U66" s="46">
        <v>1.2</v>
      </c>
      <c r="V66" s="46">
        <v>0.014985</v>
      </c>
      <c r="W66" s="46">
        <v>8E-06</v>
      </c>
      <c r="X66" s="46">
        <v>0.002942</v>
      </c>
      <c r="Y66" s="46">
        <v>0.25</v>
      </c>
      <c r="Z66" s="46">
        <v>0</v>
      </c>
      <c r="AA66" s="68">
        <v>66</v>
      </c>
      <c r="AB66" s="68"/>
      <c r="AC66" s="69"/>
      <c r="AD66" s="75" t="s">
        <v>1901</v>
      </c>
      <c r="AE66" s="80" t="s">
        <v>2212</v>
      </c>
      <c r="AF66" s="75">
        <v>2633</v>
      </c>
      <c r="AG66" s="75">
        <v>2958</v>
      </c>
      <c r="AH66" s="75">
        <v>296460</v>
      </c>
      <c r="AI66" s="75">
        <v>53243</v>
      </c>
      <c r="AJ66" s="75"/>
      <c r="AK66" s="75" t="s">
        <v>2455</v>
      </c>
      <c r="AL66" s="75" t="s">
        <v>2715</v>
      </c>
      <c r="AM66" s="75"/>
      <c r="AN66" s="75"/>
      <c r="AO66" s="77">
        <v>41176.371828703705</v>
      </c>
      <c r="AP66" s="75"/>
      <c r="AQ66" s="75" t="b">
        <v>1</v>
      </c>
      <c r="AR66" s="75" t="b">
        <v>0</v>
      </c>
      <c r="AS66" s="75" t="b">
        <v>0</v>
      </c>
      <c r="AT66" s="75"/>
      <c r="AU66" s="75">
        <v>112</v>
      </c>
      <c r="AV66" s="82" t="str">
        <f>HYPERLINK("https://abs.twimg.com/images/themes/theme1/bg.png")</f>
        <v>https://abs.twimg.com/images/themes/theme1/bg.png</v>
      </c>
      <c r="AW66" s="75" t="b">
        <v>0</v>
      </c>
      <c r="AX66" s="75" t="s">
        <v>2845</v>
      </c>
      <c r="AY66" s="82" t="str">
        <f>HYPERLINK("https://twitter.com/myriamjerome")</f>
        <v>https://twitter.com/myriamjerome</v>
      </c>
      <c r="AZ66" s="75" t="s">
        <v>66</v>
      </c>
      <c r="BA66" s="75" t="str">
        <f>REPLACE(INDEX(GroupVertices[Group],MATCH(Vertices[[#This Row],[Vertex]],GroupVertices[Vertex],0)),1,1,"")</f>
        <v>10</v>
      </c>
      <c r="BB66" s="45">
        <v>0</v>
      </c>
      <c r="BC66" s="46">
        <v>0</v>
      </c>
      <c r="BD66" s="45">
        <v>1</v>
      </c>
      <c r="BE66" s="46">
        <v>2.7777777777777777</v>
      </c>
      <c r="BF66" s="45">
        <v>0</v>
      </c>
      <c r="BG66" s="46">
        <v>0</v>
      </c>
      <c r="BH66" s="45">
        <v>35</v>
      </c>
      <c r="BI66" s="46">
        <v>97.22222222222223</v>
      </c>
      <c r="BJ66" s="45">
        <v>36</v>
      </c>
      <c r="BK66" s="45"/>
      <c r="BL66" s="45"/>
      <c r="BM66" s="45"/>
      <c r="BN66" s="45"/>
      <c r="BO66" s="45" t="s">
        <v>792</v>
      </c>
      <c r="BP66" s="45" t="s">
        <v>792</v>
      </c>
      <c r="BQ66" s="110" t="s">
        <v>4110</v>
      </c>
      <c r="BR66" s="110" t="s">
        <v>4110</v>
      </c>
      <c r="BS66" s="110" t="s">
        <v>4248</v>
      </c>
      <c r="BT66" s="110" t="s">
        <v>4248</v>
      </c>
      <c r="BU66" s="2"/>
    </row>
    <row r="67" spans="1:73" ht="15">
      <c r="A67" s="61" t="s">
        <v>283</v>
      </c>
      <c r="B67" s="62"/>
      <c r="C67" s="62"/>
      <c r="D67" s="63">
        <v>100</v>
      </c>
      <c r="E67" s="65"/>
      <c r="F67" s="99" t="str">
        <f>HYPERLINK("https://pbs.twimg.com/profile_images/1490382099261673486/z0-x52UL_normal.jpg")</f>
        <v>https://pbs.twimg.com/profile_images/1490382099261673486/z0-x52UL_normal.jpg</v>
      </c>
      <c r="G67" s="62"/>
      <c r="H67" s="66" t="s">
        <v>283</v>
      </c>
      <c r="I67" s="67"/>
      <c r="J67" s="67"/>
      <c r="K67" s="66" t="s">
        <v>2909</v>
      </c>
      <c r="L67" s="70">
        <v>1</v>
      </c>
      <c r="M67" s="71">
        <v>3156.183349609375</v>
      </c>
      <c r="N67" s="71">
        <v>5138.97412109375</v>
      </c>
      <c r="O67" s="72"/>
      <c r="P67" s="73"/>
      <c r="Q67" s="73"/>
      <c r="R67" s="85"/>
      <c r="S67" s="45">
        <v>0</v>
      </c>
      <c r="T67" s="45">
        <v>1</v>
      </c>
      <c r="U67" s="46">
        <v>0</v>
      </c>
      <c r="V67" s="46">
        <v>0.025254</v>
      </c>
      <c r="W67" s="46">
        <v>0</v>
      </c>
      <c r="X67" s="46">
        <v>0.002672</v>
      </c>
      <c r="Y67" s="46">
        <v>0</v>
      </c>
      <c r="Z67" s="46">
        <v>0</v>
      </c>
      <c r="AA67" s="68">
        <v>67</v>
      </c>
      <c r="AB67" s="68"/>
      <c r="AC67" s="69"/>
      <c r="AD67" s="75" t="s">
        <v>1902</v>
      </c>
      <c r="AE67" s="80" t="s">
        <v>2213</v>
      </c>
      <c r="AF67" s="75">
        <v>329</v>
      </c>
      <c r="AG67" s="75">
        <v>98</v>
      </c>
      <c r="AH67" s="75">
        <v>974</v>
      </c>
      <c r="AI67" s="75">
        <v>1814</v>
      </c>
      <c r="AJ67" s="75"/>
      <c r="AK67" s="75" t="s">
        <v>2456</v>
      </c>
      <c r="AL67" s="75" t="s">
        <v>2716</v>
      </c>
      <c r="AM67" s="75"/>
      <c r="AN67" s="75"/>
      <c r="AO67" s="77">
        <v>44474.55734953703</v>
      </c>
      <c r="AP67" s="82" t="str">
        <f>HYPERLINK("https://pbs.twimg.com/profile_banners/1445378756235993099/1643381077")</f>
        <v>https://pbs.twimg.com/profile_banners/1445378756235993099/1643381077</v>
      </c>
      <c r="AQ67" s="75" t="b">
        <v>1</v>
      </c>
      <c r="AR67" s="75" t="b">
        <v>0</v>
      </c>
      <c r="AS67" s="75" t="b">
        <v>0</v>
      </c>
      <c r="AT67" s="75"/>
      <c r="AU67" s="75">
        <v>0</v>
      </c>
      <c r="AV67" s="75"/>
      <c r="AW67" s="75" t="b">
        <v>0</v>
      </c>
      <c r="AX67" s="75" t="s">
        <v>2845</v>
      </c>
      <c r="AY67" s="82" t="str">
        <f>HYPERLINK("https://twitter.com/betelabassa")</f>
        <v>https://twitter.com/betelabassa</v>
      </c>
      <c r="AZ67" s="75" t="s">
        <v>66</v>
      </c>
      <c r="BA67" s="75" t="str">
        <f>REPLACE(INDEX(GroupVertices[Group],MATCH(Vertices[[#This Row],[Vertex]],GroupVertices[Vertex],0)),1,1,"")</f>
        <v>5</v>
      </c>
      <c r="BB67" s="45">
        <v>1</v>
      </c>
      <c r="BC67" s="46">
        <v>2.5641025641025643</v>
      </c>
      <c r="BD67" s="45">
        <v>0</v>
      </c>
      <c r="BE67" s="46">
        <v>0</v>
      </c>
      <c r="BF67" s="45">
        <v>0</v>
      </c>
      <c r="BG67" s="46">
        <v>0</v>
      </c>
      <c r="BH67" s="45">
        <v>38</v>
      </c>
      <c r="BI67" s="46">
        <v>97.43589743589743</v>
      </c>
      <c r="BJ67" s="45">
        <v>39</v>
      </c>
      <c r="BK67" s="45"/>
      <c r="BL67" s="45"/>
      <c r="BM67" s="45"/>
      <c r="BN67" s="45"/>
      <c r="BO67" s="45" t="s">
        <v>808</v>
      </c>
      <c r="BP67" s="45" t="s">
        <v>808</v>
      </c>
      <c r="BQ67" s="110" t="s">
        <v>4106</v>
      </c>
      <c r="BR67" s="110" t="s">
        <v>4106</v>
      </c>
      <c r="BS67" s="110" t="s">
        <v>4244</v>
      </c>
      <c r="BT67" s="110" t="s">
        <v>4244</v>
      </c>
      <c r="BU67" s="2"/>
    </row>
    <row r="68" spans="1:73" ht="15">
      <c r="A68" s="61" t="s">
        <v>311</v>
      </c>
      <c r="B68" s="62"/>
      <c r="C68" s="62"/>
      <c r="D68" s="63">
        <v>463.6363636363636</v>
      </c>
      <c r="E68" s="65"/>
      <c r="F68" s="99" t="str">
        <f>HYPERLINK("https://pbs.twimg.com/profile_images/1447158610883141635/CYMn0ZmW_normal.jpg")</f>
        <v>https://pbs.twimg.com/profile_images/1447158610883141635/CYMn0ZmW_normal.jpg</v>
      </c>
      <c r="G68" s="62"/>
      <c r="H68" s="66" t="s">
        <v>311</v>
      </c>
      <c r="I68" s="67"/>
      <c r="J68" s="67"/>
      <c r="K68" s="66" t="s">
        <v>2910</v>
      </c>
      <c r="L68" s="70">
        <v>534.4246076178242</v>
      </c>
      <c r="M68" s="71">
        <v>2810.38818359375</v>
      </c>
      <c r="N68" s="71">
        <v>4897.986328125</v>
      </c>
      <c r="O68" s="72"/>
      <c r="P68" s="73"/>
      <c r="Q68" s="73"/>
      <c r="R68" s="85"/>
      <c r="S68" s="45">
        <v>17</v>
      </c>
      <c r="T68" s="45">
        <v>1</v>
      </c>
      <c r="U68" s="46">
        <v>240</v>
      </c>
      <c r="V68" s="46">
        <v>0.04893</v>
      </c>
      <c r="W68" s="46">
        <v>0</v>
      </c>
      <c r="X68" s="46">
        <v>0.009084</v>
      </c>
      <c r="Y68" s="46">
        <v>0</v>
      </c>
      <c r="Z68" s="46">
        <v>0</v>
      </c>
      <c r="AA68" s="68">
        <v>68</v>
      </c>
      <c r="AB68" s="68"/>
      <c r="AC68" s="69"/>
      <c r="AD68" s="75" t="s">
        <v>1903</v>
      </c>
      <c r="AE68" s="80" t="s">
        <v>2214</v>
      </c>
      <c r="AF68" s="75">
        <v>4785</v>
      </c>
      <c r="AG68" s="75">
        <v>12483</v>
      </c>
      <c r="AH68" s="75">
        <v>7472</v>
      </c>
      <c r="AI68" s="75">
        <v>5839</v>
      </c>
      <c r="AJ68" s="75"/>
      <c r="AK68" s="75" t="s">
        <v>2457</v>
      </c>
      <c r="AL68" s="75"/>
      <c r="AM68" s="75"/>
      <c r="AN68" s="75"/>
      <c r="AO68" s="77">
        <v>44477.57011574074</v>
      </c>
      <c r="AP68" s="82" t="str">
        <f>HYPERLINK("https://pbs.twimg.com/profile_banners/1446470568170213379/1633701023")</f>
        <v>https://pbs.twimg.com/profile_banners/1446470568170213379/1633701023</v>
      </c>
      <c r="AQ68" s="75" t="b">
        <v>1</v>
      </c>
      <c r="AR68" s="75" t="b">
        <v>0</v>
      </c>
      <c r="AS68" s="75" t="b">
        <v>0</v>
      </c>
      <c r="AT68" s="75"/>
      <c r="AU68" s="75">
        <v>5</v>
      </c>
      <c r="AV68" s="75"/>
      <c r="AW68" s="75" t="b">
        <v>0</v>
      </c>
      <c r="AX68" s="75" t="s">
        <v>2845</v>
      </c>
      <c r="AY68" s="82" t="str">
        <f>HYPERLINK("https://twitter.com/ethiopi00829015")</f>
        <v>https://twitter.com/ethiopi00829015</v>
      </c>
      <c r="AZ68" s="75" t="s">
        <v>66</v>
      </c>
      <c r="BA68" s="75" t="str">
        <f>REPLACE(INDEX(GroupVertices[Group],MATCH(Vertices[[#This Row],[Vertex]],GroupVertices[Vertex],0)),1,1,"")</f>
        <v>5</v>
      </c>
      <c r="BB68" s="45">
        <v>1</v>
      </c>
      <c r="BC68" s="46">
        <v>2.5641025641025643</v>
      </c>
      <c r="BD68" s="45">
        <v>0</v>
      </c>
      <c r="BE68" s="46">
        <v>0</v>
      </c>
      <c r="BF68" s="45">
        <v>0</v>
      </c>
      <c r="BG68" s="46">
        <v>0</v>
      </c>
      <c r="BH68" s="45">
        <v>38</v>
      </c>
      <c r="BI68" s="46">
        <v>97.43589743589743</v>
      </c>
      <c r="BJ68" s="45">
        <v>39</v>
      </c>
      <c r="BK68" s="45"/>
      <c r="BL68" s="45"/>
      <c r="BM68" s="45"/>
      <c r="BN68" s="45"/>
      <c r="BO68" s="45" t="s">
        <v>808</v>
      </c>
      <c r="BP68" s="45" t="s">
        <v>808</v>
      </c>
      <c r="BQ68" s="110" t="s">
        <v>4106</v>
      </c>
      <c r="BR68" s="110" t="s">
        <v>4106</v>
      </c>
      <c r="BS68" s="110" t="s">
        <v>4244</v>
      </c>
      <c r="BT68" s="110" t="s">
        <v>4244</v>
      </c>
      <c r="BU68" s="2"/>
    </row>
    <row r="69" spans="1:73" ht="15">
      <c r="A69" s="61" t="s">
        <v>284</v>
      </c>
      <c r="B69" s="62"/>
      <c r="C69" s="62"/>
      <c r="D69" s="63">
        <v>100</v>
      </c>
      <c r="E69" s="65"/>
      <c r="F69" s="99" t="str">
        <f>HYPERLINK("https://pbs.twimg.com/profile_images/1558879414796025857/3syZi15k_normal.jpg")</f>
        <v>https://pbs.twimg.com/profile_images/1558879414796025857/3syZi15k_normal.jpg</v>
      </c>
      <c r="G69" s="62"/>
      <c r="H69" s="66" t="s">
        <v>284</v>
      </c>
      <c r="I69" s="67"/>
      <c r="J69" s="67"/>
      <c r="K69" s="66" t="s">
        <v>2911</v>
      </c>
      <c r="L69" s="70">
        <v>1</v>
      </c>
      <c r="M69" s="71">
        <v>3423.296630859375</v>
      </c>
      <c r="N69" s="71">
        <v>4511.46337890625</v>
      </c>
      <c r="O69" s="72"/>
      <c r="P69" s="73"/>
      <c r="Q69" s="73"/>
      <c r="R69" s="85"/>
      <c r="S69" s="45">
        <v>0</v>
      </c>
      <c r="T69" s="45">
        <v>1</v>
      </c>
      <c r="U69" s="46">
        <v>0</v>
      </c>
      <c r="V69" s="46">
        <v>0.025254</v>
      </c>
      <c r="W69" s="46">
        <v>0</v>
      </c>
      <c r="X69" s="46">
        <v>0.002672</v>
      </c>
      <c r="Y69" s="46">
        <v>0</v>
      </c>
      <c r="Z69" s="46">
        <v>0</v>
      </c>
      <c r="AA69" s="68">
        <v>69</v>
      </c>
      <c r="AB69" s="68"/>
      <c r="AC69" s="69"/>
      <c r="AD69" s="75" t="s">
        <v>1904</v>
      </c>
      <c r="AE69" s="80" t="s">
        <v>2215</v>
      </c>
      <c r="AF69" s="75">
        <v>3776</v>
      </c>
      <c r="AG69" s="75">
        <v>3062</v>
      </c>
      <c r="AH69" s="75">
        <v>141662</v>
      </c>
      <c r="AI69" s="75">
        <v>64738</v>
      </c>
      <c r="AJ69" s="75"/>
      <c r="AK69" s="75" t="s">
        <v>2458</v>
      </c>
      <c r="AL69" s="75" t="s">
        <v>2717</v>
      </c>
      <c r="AM69" s="82" t="str">
        <f>HYPERLINK("https://t.co/CM1kYaS769")</f>
        <v>https://t.co/CM1kYaS769</v>
      </c>
      <c r="AN69" s="75"/>
      <c r="AO69" s="77">
        <v>41528.502800925926</v>
      </c>
      <c r="AP69" s="82" t="str">
        <f>HYPERLINK("https://pbs.twimg.com/profile_banners/1854108264/1601538571")</f>
        <v>https://pbs.twimg.com/profile_banners/1854108264/1601538571</v>
      </c>
      <c r="AQ69" s="75" t="b">
        <v>1</v>
      </c>
      <c r="AR69" s="75" t="b">
        <v>0</v>
      </c>
      <c r="AS69" s="75" t="b">
        <v>1</v>
      </c>
      <c r="AT69" s="75"/>
      <c r="AU69" s="75">
        <v>50</v>
      </c>
      <c r="AV69" s="82" t="str">
        <f>HYPERLINK("https://abs.twimg.com/images/themes/theme1/bg.png")</f>
        <v>https://abs.twimg.com/images/themes/theme1/bg.png</v>
      </c>
      <c r="AW69" s="75" t="b">
        <v>0</v>
      </c>
      <c r="AX69" s="75" t="s">
        <v>2845</v>
      </c>
      <c r="AY69" s="82" t="str">
        <f>HYPERLINK("https://twitter.com/ruinin_football")</f>
        <v>https://twitter.com/ruinin_football</v>
      </c>
      <c r="AZ69" s="75" t="s">
        <v>66</v>
      </c>
      <c r="BA69" s="75" t="str">
        <f>REPLACE(INDEX(GroupVertices[Group],MATCH(Vertices[[#This Row],[Vertex]],GroupVertices[Vertex],0)),1,1,"")</f>
        <v>5</v>
      </c>
      <c r="BB69" s="45">
        <v>1</v>
      </c>
      <c r="BC69" s="46">
        <v>2.5641025641025643</v>
      </c>
      <c r="BD69" s="45">
        <v>0</v>
      </c>
      <c r="BE69" s="46">
        <v>0</v>
      </c>
      <c r="BF69" s="45">
        <v>0</v>
      </c>
      <c r="BG69" s="46">
        <v>0</v>
      </c>
      <c r="BH69" s="45">
        <v>38</v>
      </c>
      <c r="BI69" s="46">
        <v>97.43589743589743</v>
      </c>
      <c r="BJ69" s="45">
        <v>39</v>
      </c>
      <c r="BK69" s="45"/>
      <c r="BL69" s="45"/>
      <c r="BM69" s="45"/>
      <c r="BN69" s="45"/>
      <c r="BO69" s="45" t="s">
        <v>808</v>
      </c>
      <c r="BP69" s="45" t="s">
        <v>808</v>
      </c>
      <c r="BQ69" s="110" t="s">
        <v>4106</v>
      </c>
      <c r="BR69" s="110" t="s">
        <v>4106</v>
      </c>
      <c r="BS69" s="110" t="s">
        <v>4244</v>
      </c>
      <c r="BT69" s="110" t="s">
        <v>4244</v>
      </c>
      <c r="BU69" s="2"/>
    </row>
    <row r="70" spans="1:73" ht="15">
      <c r="A70" s="61" t="s">
        <v>285</v>
      </c>
      <c r="B70" s="62"/>
      <c r="C70" s="62"/>
      <c r="D70" s="63">
        <v>100</v>
      </c>
      <c r="E70" s="65"/>
      <c r="F70" s="99" t="str">
        <f>HYPERLINK("https://pbs.twimg.com/profile_images/1560524767714746368/vz7Iht4b_normal.jpg")</f>
        <v>https://pbs.twimg.com/profile_images/1560524767714746368/vz7Iht4b_normal.jpg</v>
      </c>
      <c r="G70" s="62"/>
      <c r="H70" s="66" t="s">
        <v>285</v>
      </c>
      <c r="I70" s="67"/>
      <c r="J70" s="67"/>
      <c r="K70" s="66" t="s">
        <v>2912</v>
      </c>
      <c r="L70" s="70">
        <v>1</v>
      </c>
      <c r="M70" s="71">
        <v>8255.271484375</v>
      </c>
      <c r="N70" s="71">
        <v>5592.3896484375</v>
      </c>
      <c r="O70" s="72"/>
      <c r="P70" s="73"/>
      <c r="Q70" s="73"/>
      <c r="R70" s="85"/>
      <c r="S70" s="45">
        <v>0</v>
      </c>
      <c r="T70" s="45">
        <v>1</v>
      </c>
      <c r="U70" s="46">
        <v>0</v>
      </c>
      <c r="V70" s="46">
        <v>0.003058</v>
      </c>
      <c r="W70" s="46">
        <v>0</v>
      </c>
      <c r="X70" s="46">
        <v>0.003049</v>
      </c>
      <c r="Y70" s="46">
        <v>0</v>
      </c>
      <c r="Z70" s="46">
        <v>0</v>
      </c>
      <c r="AA70" s="68">
        <v>70</v>
      </c>
      <c r="AB70" s="68"/>
      <c r="AC70" s="69"/>
      <c r="AD70" s="75" t="s">
        <v>1905</v>
      </c>
      <c r="AE70" s="80" t="s">
        <v>2216</v>
      </c>
      <c r="AF70" s="75">
        <v>1525</v>
      </c>
      <c r="AG70" s="75">
        <v>244</v>
      </c>
      <c r="AH70" s="75">
        <v>14798</v>
      </c>
      <c r="AI70" s="75">
        <v>31096</v>
      </c>
      <c r="AJ70" s="75"/>
      <c r="AK70" s="75" t="s">
        <v>2459</v>
      </c>
      <c r="AL70" s="75" t="s">
        <v>2718</v>
      </c>
      <c r="AM70" s="75"/>
      <c r="AN70" s="75"/>
      <c r="AO70" s="77">
        <v>41418.824537037035</v>
      </c>
      <c r="AP70" s="82" t="str">
        <f>HYPERLINK("https://pbs.twimg.com/profile_banners/1455085454/1660893084")</f>
        <v>https://pbs.twimg.com/profile_banners/1455085454/1660893084</v>
      </c>
      <c r="AQ70" s="75" t="b">
        <v>0</v>
      </c>
      <c r="AR70" s="75" t="b">
        <v>0</v>
      </c>
      <c r="AS70" s="75" t="b">
        <v>0</v>
      </c>
      <c r="AT70" s="75"/>
      <c r="AU70" s="75">
        <v>11</v>
      </c>
      <c r="AV70" s="82" t="str">
        <f>HYPERLINK("https://abs.twimg.com/images/themes/theme1/bg.png")</f>
        <v>https://abs.twimg.com/images/themes/theme1/bg.png</v>
      </c>
      <c r="AW70" s="75" t="b">
        <v>0</v>
      </c>
      <c r="AX70" s="75" t="s">
        <v>2845</v>
      </c>
      <c r="AY70" s="82" t="str">
        <f>HYPERLINK("https://twitter.com/sujall13")</f>
        <v>https://twitter.com/sujall13</v>
      </c>
      <c r="AZ70" s="75" t="s">
        <v>66</v>
      </c>
      <c r="BA70" s="75" t="str">
        <f>REPLACE(INDEX(GroupVertices[Group],MATCH(Vertices[[#This Row],[Vertex]],GroupVertices[Vertex],0)),1,1,"")</f>
        <v>54</v>
      </c>
      <c r="BB70" s="45">
        <v>0</v>
      </c>
      <c r="BC70" s="46">
        <v>0</v>
      </c>
      <c r="BD70" s="45">
        <v>0</v>
      </c>
      <c r="BE70" s="46">
        <v>0</v>
      </c>
      <c r="BF70" s="45">
        <v>0</v>
      </c>
      <c r="BG70" s="46">
        <v>0</v>
      </c>
      <c r="BH70" s="45">
        <v>3</v>
      </c>
      <c r="BI70" s="46">
        <v>100</v>
      </c>
      <c r="BJ70" s="45">
        <v>3</v>
      </c>
      <c r="BK70" s="45" t="s">
        <v>4006</v>
      </c>
      <c r="BL70" s="45" t="s">
        <v>4006</v>
      </c>
      <c r="BM70" s="45" t="s">
        <v>783</v>
      </c>
      <c r="BN70" s="45" t="s">
        <v>783</v>
      </c>
      <c r="BO70" s="45" t="s">
        <v>795</v>
      </c>
      <c r="BP70" s="45" t="s">
        <v>795</v>
      </c>
      <c r="BQ70" s="110" t="s">
        <v>4458</v>
      </c>
      <c r="BR70" s="110" t="s">
        <v>4458</v>
      </c>
      <c r="BS70" s="110" t="s">
        <v>4579</v>
      </c>
      <c r="BT70" s="110" t="s">
        <v>4579</v>
      </c>
      <c r="BU70" s="2"/>
    </row>
    <row r="71" spans="1:73" ht="15">
      <c r="A71" s="61" t="s">
        <v>465</v>
      </c>
      <c r="B71" s="62"/>
      <c r="C71" s="62"/>
      <c r="D71" s="63">
        <v>100</v>
      </c>
      <c r="E71" s="65"/>
      <c r="F71" s="99" t="str">
        <f>HYPERLINK("https://pbs.twimg.com/profile_images/1407943230247903238/fkqIfKxK_normal.jpg")</f>
        <v>https://pbs.twimg.com/profile_images/1407943230247903238/fkqIfKxK_normal.jpg</v>
      </c>
      <c r="G71" s="62"/>
      <c r="H71" s="66" t="s">
        <v>465</v>
      </c>
      <c r="I71" s="67"/>
      <c r="J71" s="67"/>
      <c r="K71" s="66" t="s">
        <v>2913</v>
      </c>
      <c r="L71" s="70">
        <v>1</v>
      </c>
      <c r="M71" s="71">
        <v>8255.271484375</v>
      </c>
      <c r="N71" s="71">
        <v>5880.822265625</v>
      </c>
      <c r="O71" s="72"/>
      <c r="P71" s="73"/>
      <c r="Q71" s="73"/>
      <c r="R71" s="85"/>
      <c r="S71" s="45">
        <v>1</v>
      </c>
      <c r="T71" s="45">
        <v>0</v>
      </c>
      <c r="U71" s="46">
        <v>0</v>
      </c>
      <c r="V71" s="46">
        <v>0.003058</v>
      </c>
      <c r="W71" s="46">
        <v>0</v>
      </c>
      <c r="X71" s="46">
        <v>0.003049</v>
      </c>
      <c r="Y71" s="46">
        <v>0</v>
      </c>
      <c r="Z71" s="46">
        <v>0</v>
      </c>
      <c r="AA71" s="68">
        <v>71</v>
      </c>
      <c r="AB71" s="68"/>
      <c r="AC71" s="69"/>
      <c r="AD71" s="75" t="s">
        <v>1906</v>
      </c>
      <c r="AE71" s="80" t="s">
        <v>2217</v>
      </c>
      <c r="AF71" s="75">
        <v>152</v>
      </c>
      <c r="AG71" s="75">
        <v>481651</v>
      </c>
      <c r="AH71" s="75">
        <v>2811</v>
      </c>
      <c r="AI71" s="75">
        <v>1045</v>
      </c>
      <c r="AJ71" s="75"/>
      <c r="AK71" s="75" t="s">
        <v>2460</v>
      </c>
      <c r="AL71" s="75" t="s">
        <v>2719</v>
      </c>
      <c r="AM71" s="75"/>
      <c r="AN71" s="75"/>
      <c r="AO71" s="77">
        <v>41200.30569444445</v>
      </c>
      <c r="AP71" s="82" t="str">
        <f>HYPERLINK("https://pbs.twimg.com/profile_banners/888289790/1510396224")</f>
        <v>https://pbs.twimg.com/profile_banners/888289790/1510396224</v>
      </c>
      <c r="AQ71" s="75" t="b">
        <v>0</v>
      </c>
      <c r="AR71" s="75" t="b">
        <v>0</v>
      </c>
      <c r="AS71" s="75" t="b">
        <v>0</v>
      </c>
      <c r="AT71" s="75"/>
      <c r="AU71" s="75">
        <v>1645</v>
      </c>
      <c r="AV71" s="82" t="str">
        <f>HYPERLINK("https://abs.twimg.com/images/themes/theme1/bg.png")</f>
        <v>https://abs.twimg.com/images/themes/theme1/bg.png</v>
      </c>
      <c r="AW71" s="75" t="b">
        <v>1</v>
      </c>
      <c r="AX71" s="75" t="s">
        <v>2845</v>
      </c>
      <c r="AY71" s="82" t="str">
        <f>HYPERLINK("https://twitter.com/gregorgysi")</f>
        <v>https://twitter.com/gregorgysi</v>
      </c>
      <c r="AZ71" s="75" t="s">
        <v>65</v>
      </c>
      <c r="BA71" s="75" t="str">
        <f>REPLACE(INDEX(GroupVertices[Group],MATCH(Vertices[[#This Row],[Vertex]],GroupVertices[Vertex],0)),1,1,"")</f>
        <v>54</v>
      </c>
      <c r="BB71" s="45"/>
      <c r="BC71" s="46"/>
      <c r="BD71" s="45"/>
      <c r="BE71" s="46"/>
      <c r="BF71" s="45"/>
      <c r="BG71" s="46"/>
      <c r="BH71" s="45"/>
      <c r="BI71" s="46"/>
      <c r="BJ71" s="45"/>
      <c r="BK71" s="45"/>
      <c r="BL71" s="45"/>
      <c r="BM71" s="45"/>
      <c r="BN71" s="45"/>
      <c r="BO71" s="45"/>
      <c r="BP71" s="45"/>
      <c r="BQ71" s="45"/>
      <c r="BR71" s="45"/>
      <c r="BS71" s="45"/>
      <c r="BT71" s="45"/>
      <c r="BU71" s="2"/>
    </row>
    <row r="72" spans="1:73" ht="15">
      <c r="A72" s="61" t="s">
        <v>286</v>
      </c>
      <c r="B72" s="62"/>
      <c r="C72" s="62"/>
      <c r="D72" s="63">
        <v>100</v>
      </c>
      <c r="E72" s="65"/>
      <c r="F72" s="99" t="str">
        <f>HYPERLINK("https://pbs.twimg.com/profile_images/1551981077350195201/MwBXDoZ-_normal.jpg")</f>
        <v>https://pbs.twimg.com/profile_images/1551981077350195201/MwBXDoZ-_normal.jpg</v>
      </c>
      <c r="G72" s="62"/>
      <c r="H72" s="66" t="s">
        <v>286</v>
      </c>
      <c r="I72" s="67"/>
      <c r="J72" s="67"/>
      <c r="K72" s="66" t="s">
        <v>2914</v>
      </c>
      <c r="L72" s="70">
        <v>1</v>
      </c>
      <c r="M72" s="71">
        <v>3037.59033203125</v>
      </c>
      <c r="N72" s="71">
        <v>3814.864990234375</v>
      </c>
      <c r="O72" s="72"/>
      <c r="P72" s="73"/>
      <c r="Q72" s="73"/>
      <c r="R72" s="85"/>
      <c r="S72" s="45">
        <v>0</v>
      </c>
      <c r="T72" s="45">
        <v>1</v>
      </c>
      <c r="U72" s="46">
        <v>0</v>
      </c>
      <c r="V72" s="46">
        <v>0.025254</v>
      </c>
      <c r="W72" s="46">
        <v>0</v>
      </c>
      <c r="X72" s="46">
        <v>0.002672</v>
      </c>
      <c r="Y72" s="46">
        <v>0</v>
      </c>
      <c r="Z72" s="46">
        <v>0</v>
      </c>
      <c r="AA72" s="68">
        <v>72</v>
      </c>
      <c r="AB72" s="68"/>
      <c r="AC72" s="69"/>
      <c r="AD72" s="75" t="s">
        <v>1907</v>
      </c>
      <c r="AE72" s="80" t="s">
        <v>2218</v>
      </c>
      <c r="AF72" s="75">
        <v>3420</v>
      </c>
      <c r="AG72" s="75">
        <v>6519</v>
      </c>
      <c r="AH72" s="75">
        <v>7358</v>
      </c>
      <c r="AI72" s="75">
        <v>6953</v>
      </c>
      <c r="AJ72" s="75"/>
      <c r="AK72" s="75" t="s">
        <v>2461</v>
      </c>
      <c r="AL72" s="75"/>
      <c r="AM72" s="75"/>
      <c r="AN72" s="75"/>
      <c r="AO72" s="77">
        <v>44477.55869212963</v>
      </c>
      <c r="AP72" s="82" t="str">
        <f>HYPERLINK("https://pbs.twimg.com/profile_banners/1446466410973106193/1633700273")</f>
        <v>https://pbs.twimg.com/profile_banners/1446466410973106193/1633700273</v>
      </c>
      <c r="AQ72" s="75" t="b">
        <v>1</v>
      </c>
      <c r="AR72" s="75" t="b">
        <v>0</v>
      </c>
      <c r="AS72" s="75" t="b">
        <v>0</v>
      </c>
      <c r="AT72" s="75"/>
      <c r="AU72" s="75">
        <v>4</v>
      </c>
      <c r="AV72" s="75"/>
      <c r="AW72" s="75" t="b">
        <v>0</v>
      </c>
      <c r="AX72" s="75" t="s">
        <v>2845</v>
      </c>
      <c r="AY72" s="82" t="str">
        <f>HYPERLINK("https://twitter.com/mkebatu")</f>
        <v>https://twitter.com/mkebatu</v>
      </c>
      <c r="AZ72" s="75" t="s">
        <v>66</v>
      </c>
      <c r="BA72" s="75" t="str">
        <f>REPLACE(INDEX(GroupVertices[Group],MATCH(Vertices[[#This Row],[Vertex]],GroupVertices[Vertex],0)),1,1,"")</f>
        <v>5</v>
      </c>
      <c r="BB72" s="45">
        <v>1</v>
      </c>
      <c r="BC72" s="46">
        <v>2.5641025641025643</v>
      </c>
      <c r="BD72" s="45">
        <v>0</v>
      </c>
      <c r="BE72" s="46">
        <v>0</v>
      </c>
      <c r="BF72" s="45">
        <v>0</v>
      </c>
      <c r="BG72" s="46">
        <v>0</v>
      </c>
      <c r="BH72" s="45">
        <v>38</v>
      </c>
      <c r="BI72" s="46">
        <v>97.43589743589743</v>
      </c>
      <c r="BJ72" s="45">
        <v>39</v>
      </c>
      <c r="BK72" s="45"/>
      <c r="BL72" s="45"/>
      <c r="BM72" s="45"/>
      <c r="BN72" s="45"/>
      <c r="BO72" s="45" t="s">
        <v>808</v>
      </c>
      <c r="BP72" s="45" t="s">
        <v>808</v>
      </c>
      <c r="BQ72" s="110" t="s">
        <v>4106</v>
      </c>
      <c r="BR72" s="110" t="s">
        <v>4106</v>
      </c>
      <c r="BS72" s="110" t="s">
        <v>4244</v>
      </c>
      <c r="BT72" s="110" t="s">
        <v>4244</v>
      </c>
      <c r="BU72" s="2"/>
    </row>
    <row r="73" spans="1:73" ht="15">
      <c r="A73" s="61" t="s">
        <v>287</v>
      </c>
      <c r="B73" s="62"/>
      <c r="C73" s="62"/>
      <c r="D73" s="63">
        <v>100</v>
      </c>
      <c r="E73" s="65"/>
      <c r="F73" s="99" t="str">
        <f>HYPERLINK("https://pbs.twimg.com/profile_images/1500150958478745610/2P0Z3Bb-_normal.jpg")</f>
        <v>https://pbs.twimg.com/profile_images/1500150958478745610/2P0Z3Bb-_normal.jpg</v>
      </c>
      <c r="G73" s="62"/>
      <c r="H73" s="66" t="s">
        <v>287</v>
      </c>
      <c r="I73" s="67"/>
      <c r="J73" s="67"/>
      <c r="K73" s="66" t="s">
        <v>2915</v>
      </c>
      <c r="L73" s="70">
        <v>1</v>
      </c>
      <c r="M73" s="71">
        <v>2293.955078125</v>
      </c>
      <c r="N73" s="71">
        <v>4887.74853515625</v>
      </c>
      <c r="O73" s="72"/>
      <c r="P73" s="73"/>
      <c r="Q73" s="73"/>
      <c r="R73" s="85"/>
      <c r="S73" s="45">
        <v>0</v>
      </c>
      <c r="T73" s="45">
        <v>1</v>
      </c>
      <c r="U73" s="46">
        <v>0</v>
      </c>
      <c r="V73" s="46">
        <v>0.025254</v>
      </c>
      <c r="W73" s="46">
        <v>0</v>
      </c>
      <c r="X73" s="46">
        <v>0.002672</v>
      </c>
      <c r="Y73" s="46">
        <v>0</v>
      </c>
      <c r="Z73" s="46">
        <v>0</v>
      </c>
      <c r="AA73" s="68">
        <v>73</v>
      </c>
      <c r="AB73" s="68"/>
      <c r="AC73" s="69"/>
      <c r="AD73" s="75" t="s">
        <v>1908</v>
      </c>
      <c r="AE73" s="80" t="s">
        <v>2219</v>
      </c>
      <c r="AF73" s="75">
        <v>4526</v>
      </c>
      <c r="AG73" s="75">
        <v>8532</v>
      </c>
      <c r="AH73" s="75">
        <v>7946</v>
      </c>
      <c r="AI73" s="75">
        <v>7371</v>
      </c>
      <c r="AJ73" s="75"/>
      <c r="AK73" s="75" t="s">
        <v>2462</v>
      </c>
      <c r="AL73" s="75"/>
      <c r="AM73" s="75"/>
      <c r="AN73" s="75"/>
      <c r="AO73" s="77">
        <v>44457.50907407407</v>
      </c>
      <c r="AP73" s="82" t="str">
        <f>HYPERLINK("https://pbs.twimg.com/profile_banners/1439200422288318465/1643123729")</f>
        <v>https://pbs.twimg.com/profile_banners/1439200422288318465/1643123729</v>
      </c>
      <c r="AQ73" s="75" t="b">
        <v>1</v>
      </c>
      <c r="AR73" s="75" t="b">
        <v>0</v>
      </c>
      <c r="AS73" s="75" t="b">
        <v>0</v>
      </c>
      <c r="AT73" s="75"/>
      <c r="AU73" s="75">
        <v>5</v>
      </c>
      <c r="AV73" s="75"/>
      <c r="AW73" s="75" t="b">
        <v>0</v>
      </c>
      <c r="AX73" s="75" t="s">
        <v>2845</v>
      </c>
      <c r="AY73" s="82" t="str">
        <f>HYPERLINK("https://twitter.com/messaymohammed")</f>
        <v>https://twitter.com/messaymohammed</v>
      </c>
      <c r="AZ73" s="75" t="s">
        <v>66</v>
      </c>
      <c r="BA73" s="75" t="str">
        <f>REPLACE(INDEX(GroupVertices[Group],MATCH(Vertices[[#This Row],[Vertex]],GroupVertices[Vertex],0)),1,1,"")</f>
        <v>5</v>
      </c>
      <c r="BB73" s="45">
        <v>1</v>
      </c>
      <c r="BC73" s="46">
        <v>2.5641025641025643</v>
      </c>
      <c r="BD73" s="45">
        <v>0</v>
      </c>
      <c r="BE73" s="46">
        <v>0</v>
      </c>
      <c r="BF73" s="45">
        <v>0</v>
      </c>
      <c r="BG73" s="46">
        <v>0</v>
      </c>
      <c r="BH73" s="45">
        <v>38</v>
      </c>
      <c r="BI73" s="46">
        <v>97.43589743589743</v>
      </c>
      <c r="BJ73" s="45">
        <v>39</v>
      </c>
      <c r="BK73" s="45"/>
      <c r="BL73" s="45"/>
      <c r="BM73" s="45"/>
      <c r="BN73" s="45"/>
      <c r="BO73" s="45" t="s">
        <v>808</v>
      </c>
      <c r="BP73" s="45" t="s">
        <v>808</v>
      </c>
      <c r="BQ73" s="110" t="s">
        <v>4106</v>
      </c>
      <c r="BR73" s="110" t="s">
        <v>4106</v>
      </c>
      <c r="BS73" s="110" t="s">
        <v>4244</v>
      </c>
      <c r="BT73" s="110" t="s">
        <v>4244</v>
      </c>
      <c r="BU73" s="2"/>
    </row>
    <row r="74" spans="1:73" ht="15">
      <c r="A74" s="61" t="s">
        <v>288</v>
      </c>
      <c r="B74" s="62"/>
      <c r="C74" s="62"/>
      <c r="D74" s="63">
        <v>100</v>
      </c>
      <c r="E74" s="65"/>
      <c r="F74" s="99" t="str">
        <f>HYPERLINK("https://pbs.twimg.com/profile_images/1562583245820203009/MKSUcAFO_normal.jpg")</f>
        <v>https://pbs.twimg.com/profile_images/1562583245820203009/MKSUcAFO_normal.jpg</v>
      </c>
      <c r="G74" s="62"/>
      <c r="H74" s="66" t="s">
        <v>288</v>
      </c>
      <c r="I74" s="67"/>
      <c r="J74" s="67"/>
      <c r="K74" s="66" t="s">
        <v>2916</v>
      </c>
      <c r="L74" s="70">
        <v>1</v>
      </c>
      <c r="M74" s="71">
        <v>2170.5146484375</v>
      </c>
      <c r="N74" s="71">
        <v>5326.1728515625</v>
      </c>
      <c r="O74" s="72"/>
      <c r="P74" s="73"/>
      <c r="Q74" s="73"/>
      <c r="R74" s="85"/>
      <c r="S74" s="45">
        <v>0</v>
      </c>
      <c r="T74" s="45">
        <v>1</v>
      </c>
      <c r="U74" s="46">
        <v>0</v>
      </c>
      <c r="V74" s="46">
        <v>0.025254</v>
      </c>
      <c r="W74" s="46">
        <v>0</v>
      </c>
      <c r="X74" s="46">
        <v>0.002672</v>
      </c>
      <c r="Y74" s="46">
        <v>0</v>
      </c>
      <c r="Z74" s="46">
        <v>0</v>
      </c>
      <c r="AA74" s="68">
        <v>74</v>
      </c>
      <c r="AB74" s="68"/>
      <c r="AC74" s="69"/>
      <c r="AD74" s="75" t="s">
        <v>1909</v>
      </c>
      <c r="AE74" s="80" t="s">
        <v>2220</v>
      </c>
      <c r="AF74" s="75">
        <v>1825</v>
      </c>
      <c r="AG74" s="75">
        <v>530</v>
      </c>
      <c r="AH74" s="75">
        <v>190</v>
      </c>
      <c r="AI74" s="75">
        <v>395</v>
      </c>
      <c r="AJ74" s="75"/>
      <c r="AK74" s="75" t="s">
        <v>2463</v>
      </c>
      <c r="AL74" s="75"/>
      <c r="AM74" s="75"/>
      <c r="AN74" s="75"/>
      <c r="AO74" s="77">
        <v>44450.468298611115</v>
      </c>
      <c r="AP74" s="82" t="str">
        <f>HYPERLINK("https://pbs.twimg.com/profile_banners/1436649215489449984/1661383810")</f>
        <v>https://pbs.twimg.com/profile_banners/1436649215489449984/1661383810</v>
      </c>
      <c r="AQ74" s="75" t="b">
        <v>1</v>
      </c>
      <c r="AR74" s="75" t="b">
        <v>0</v>
      </c>
      <c r="AS74" s="75" t="b">
        <v>0</v>
      </c>
      <c r="AT74" s="75"/>
      <c r="AU74" s="75">
        <v>0</v>
      </c>
      <c r="AV74" s="75"/>
      <c r="AW74" s="75" t="b">
        <v>0</v>
      </c>
      <c r="AX74" s="75" t="s">
        <v>2845</v>
      </c>
      <c r="AY74" s="82" t="str">
        <f>HYPERLINK("https://twitter.com/teferradebebe")</f>
        <v>https://twitter.com/teferradebebe</v>
      </c>
      <c r="AZ74" s="75" t="s">
        <v>66</v>
      </c>
      <c r="BA74" s="75" t="str">
        <f>REPLACE(INDEX(GroupVertices[Group],MATCH(Vertices[[#This Row],[Vertex]],GroupVertices[Vertex],0)),1,1,"")</f>
        <v>5</v>
      </c>
      <c r="BB74" s="45">
        <v>1</v>
      </c>
      <c r="BC74" s="46">
        <v>2.5641025641025643</v>
      </c>
      <c r="BD74" s="45">
        <v>0</v>
      </c>
      <c r="BE74" s="46">
        <v>0</v>
      </c>
      <c r="BF74" s="45">
        <v>0</v>
      </c>
      <c r="BG74" s="46">
        <v>0</v>
      </c>
      <c r="BH74" s="45">
        <v>38</v>
      </c>
      <c r="BI74" s="46">
        <v>97.43589743589743</v>
      </c>
      <c r="BJ74" s="45">
        <v>39</v>
      </c>
      <c r="BK74" s="45"/>
      <c r="BL74" s="45"/>
      <c r="BM74" s="45"/>
      <c r="BN74" s="45"/>
      <c r="BO74" s="45" t="s">
        <v>808</v>
      </c>
      <c r="BP74" s="45" t="s">
        <v>808</v>
      </c>
      <c r="BQ74" s="110" t="s">
        <v>4106</v>
      </c>
      <c r="BR74" s="110" t="s">
        <v>4106</v>
      </c>
      <c r="BS74" s="110" t="s">
        <v>4244</v>
      </c>
      <c r="BT74" s="110" t="s">
        <v>4244</v>
      </c>
      <c r="BU74" s="2"/>
    </row>
    <row r="75" spans="1:73" ht="15">
      <c r="A75" s="61" t="s">
        <v>289</v>
      </c>
      <c r="B75" s="62"/>
      <c r="C75" s="62"/>
      <c r="D75" s="63">
        <v>100</v>
      </c>
      <c r="E75" s="65"/>
      <c r="F75" s="99" t="str">
        <f>HYPERLINK("https://pbs.twimg.com/profile_images/1569405768700497921/3OYL5Tq4_normal.jpg")</f>
        <v>https://pbs.twimg.com/profile_images/1569405768700497921/3OYL5Tq4_normal.jpg</v>
      </c>
      <c r="G75" s="62"/>
      <c r="H75" s="66" t="s">
        <v>289</v>
      </c>
      <c r="I75" s="67"/>
      <c r="J75" s="67"/>
      <c r="K75" s="66" t="s">
        <v>2917</v>
      </c>
      <c r="L75" s="70">
        <v>1</v>
      </c>
      <c r="M75" s="71">
        <v>3332.39990234375</v>
      </c>
      <c r="N75" s="71">
        <v>5661.4033203125</v>
      </c>
      <c r="O75" s="72"/>
      <c r="P75" s="73"/>
      <c r="Q75" s="73"/>
      <c r="R75" s="85"/>
      <c r="S75" s="45">
        <v>0</v>
      </c>
      <c r="T75" s="45">
        <v>1</v>
      </c>
      <c r="U75" s="46">
        <v>0</v>
      </c>
      <c r="V75" s="46">
        <v>0.025254</v>
      </c>
      <c r="W75" s="46">
        <v>0</v>
      </c>
      <c r="X75" s="46">
        <v>0.002672</v>
      </c>
      <c r="Y75" s="46">
        <v>0</v>
      </c>
      <c r="Z75" s="46">
        <v>0</v>
      </c>
      <c r="AA75" s="68">
        <v>75</v>
      </c>
      <c r="AB75" s="68"/>
      <c r="AC75" s="69"/>
      <c r="AD75" s="75" t="s">
        <v>1910</v>
      </c>
      <c r="AE75" s="80" t="s">
        <v>2221</v>
      </c>
      <c r="AF75" s="75">
        <v>6909</v>
      </c>
      <c r="AG75" s="75">
        <v>12869</v>
      </c>
      <c r="AH75" s="75">
        <v>8673</v>
      </c>
      <c r="AI75" s="75">
        <v>6822</v>
      </c>
      <c r="AJ75" s="75"/>
      <c r="AK75" s="75" t="s">
        <v>2464</v>
      </c>
      <c r="AL75" s="75"/>
      <c r="AM75" s="75"/>
      <c r="AN75" s="75"/>
      <c r="AO75" s="77">
        <v>44436.81068287037</v>
      </c>
      <c r="AP75" s="82" t="str">
        <f>HYPERLINK("https://pbs.twimg.com/profile_banners/1431699836047347716/1646922407")</f>
        <v>https://pbs.twimg.com/profile_banners/1431699836047347716/1646922407</v>
      </c>
      <c r="AQ75" s="75" t="b">
        <v>1</v>
      </c>
      <c r="AR75" s="75" t="b">
        <v>0</v>
      </c>
      <c r="AS75" s="75" t="b">
        <v>0</v>
      </c>
      <c r="AT75" s="75"/>
      <c r="AU75" s="75">
        <v>8</v>
      </c>
      <c r="AV75" s="75"/>
      <c r="AW75" s="75" t="b">
        <v>0</v>
      </c>
      <c r="AX75" s="75" t="s">
        <v>2845</v>
      </c>
      <c r="AY75" s="82" t="str">
        <f>HYPERLINK("https://twitter.com/habibhassen7180")</f>
        <v>https://twitter.com/habibhassen7180</v>
      </c>
      <c r="AZ75" s="75" t="s">
        <v>66</v>
      </c>
      <c r="BA75" s="75" t="str">
        <f>REPLACE(INDEX(GroupVertices[Group],MATCH(Vertices[[#This Row],[Vertex]],GroupVertices[Vertex],0)),1,1,"")</f>
        <v>5</v>
      </c>
      <c r="BB75" s="45">
        <v>1</v>
      </c>
      <c r="BC75" s="46">
        <v>2.5641025641025643</v>
      </c>
      <c r="BD75" s="45">
        <v>0</v>
      </c>
      <c r="BE75" s="46">
        <v>0</v>
      </c>
      <c r="BF75" s="45">
        <v>0</v>
      </c>
      <c r="BG75" s="46">
        <v>0</v>
      </c>
      <c r="BH75" s="45">
        <v>38</v>
      </c>
      <c r="BI75" s="46">
        <v>97.43589743589743</v>
      </c>
      <c r="BJ75" s="45">
        <v>39</v>
      </c>
      <c r="BK75" s="45"/>
      <c r="BL75" s="45"/>
      <c r="BM75" s="45"/>
      <c r="BN75" s="45"/>
      <c r="BO75" s="45" t="s">
        <v>808</v>
      </c>
      <c r="BP75" s="45" t="s">
        <v>808</v>
      </c>
      <c r="BQ75" s="110" t="s">
        <v>4106</v>
      </c>
      <c r="BR75" s="110" t="s">
        <v>4106</v>
      </c>
      <c r="BS75" s="110" t="s">
        <v>4244</v>
      </c>
      <c r="BT75" s="110" t="s">
        <v>4244</v>
      </c>
      <c r="BU75" s="2"/>
    </row>
    <row r="76" spans="1:73" ht="15">
      <c r="A76" s="61" t="s">
        <v>290</v>
      </c>
      <c r="B76" s="62"/>
      <c r="C76" s="62"/>
      <c r="D76" s="63">
        <v>100</v>
      </c>
      <c r="E76" s="65"/>
      <c r="F76" s="99" t="str">
        <f>HYPERLINK("https://pbs.twimg.com/profile_images/1540496865875091456/tHp6i4Rn_normal.jpg")</f>
        <v>https://pbs.twimg.com/profile_images/1540496865875091456/tHp6i4Rn_normal.jpg</v>
      </c>
      <c r="G76" s="62"/>
      <c r="H76" s="66" t="s">
        <v>290</v>
      </c>
      <c r="I76" s="67"/>
      <c r="J76" s="67"/>
      <c r="K76" s="66" t="s">
        <v>2918</v>
      </c>
      <c r="L76" s="70">
        <v>1</v>
      </c>
      <c r="M76" s="71">
        <v>2748.80029296875</v>
      </c>
      <c r="N76" s="71">
        <v>6089.134765625</v>
      </c>
      <c r="O76" s="72"/>
      <c r="P76" s="73"/>
      <c r="Q76" s="73"/>
      <c r="R76" s="85"/>
      <c r="S76" s="45">
        <v>0</v>
      </c>
      <c r="T76" s="45">
        <v>1</v>
      </c>
      <c r="U76" s="46">
        <v>0</v>
      </c>
      <c r="V76" s="46">
        <v>0.025254</v>
      </c>
      <c r="W76" s="46">
        <v>0</v>
      </c>
      <c r="X76" s="46">
        <v>0.002672</v>
      </c>
      <c r="Y76" s="46">
        <v>0</v>
      </c>
      <c r="Z76" s="46">
        <v>0</v>
      </c>
      <c r="AA76" s="68">
        <v>76</v>
      </c>
      <c r="AB76" s="68"/>
      <c r="AC76" s="69"/>
      <c r="AD76" s="75" t="s">
        <v>1911</v>
      </c>
      <c r="AE76" s="80" t="s">
        <v>2222</v>
      </c>
      <c r="AF76" s="75">
        <v>2201</v>
      </c>
      <c r="AG76" s="75">
        <v>3583</v>
      </c>
      <c r="AH76" s="75">
        <v>58260</v>
      </c>
      <c r="AI76" s="75">
        <v>57981</v>
      </c>
      <c r="AJ76" s="75"/>
      <c r="AK76" s="75" t="s">
        <v>2465</v>
      </c>
      <c r="AL76" s="75" t="s">
        <v>2720</v>
      </c>
      <c r="AM76" s="75"/>
      <c r="AN76" s="75"/>
      <c r="AO76" s="77">
        <v>41747.481886574074</v>
      </c>
      <c r="AP76" s="82" t="str">
        <f>HYPERLINK("https://pbs.twimg.com/profile_banners/2492007544/1631704004")</f>
        <v>https://pbs.twimg.com/profile_banners/2492007544/1631704004</v>
      </c>
      <c r="AQ76" s="75" t="b">
        <v>1</v>
      </c>
      <c r="AR76" s="75" t="b">
        <v>0</v>
      </c>
      <c r="AS76" s="75" t="b">
        <v>0</v>
      </c>
      <c r="AT76" s="75"/>
      <c r="AU76" s="75">
        <v>1</v>
      </c>
      <c r="AV76" s="82" t="str">
        <f>HYPERLINK("https://abs.twimg.com/images/themes/theme1/bg.png")</f>
        <v>https://abs.twimg.com/images/themes/theme1/bg.png</v>
      </c>
      <c r="AW76" s="75" t="b">
        <v>0</v>
      </c>
      <c r="AX76" s="75" t="s">
        <v>2845</v>
      </c>
      <c r="AY76" s="82" t="str">
        <f>HYPERLINK("https://twitter.com/wonde2014")</f>
        <v>https://twitter.com/wonde2014</v>
      </c>
      <c r="AZ76" s="75" t="s">
        <v>66</v>
      </c>
      <c r="BA76" s="75" t="str">
        <f>REPLACE(INDEX(GroupVertices[Group],MATCH(Vertices[[#This Row],[Vertex]],GroupVertices[Vertex],0)),1,1,"")</f>
        <v>5</v>
      </c>
      <c r="BB76" s="45">
        <v>1</v>
      </c>
      <c r="BC76" s="46">
        <v>2.5641025641025643</v>
      </c>
      <c r="BD76" s="45">
        <v>0</v>
      </c>
      <c r="BE76" s="46">
        <v>0</v>
      </c>
      <c r="BF76" s="45">
        <v>0</v>
      </c>
      <c r="BG76" s="46">
        <v>0</v>
      </c>
      <c r="BH76" s="45">
        <v>38</v>
      </c>
      <c r="BI76" s="46">
        <v>97.43589743589743</v>
      </c>
      <c r="BJ76" s="45">
        <v>39</v>
      </c>
      <c r="BK76" s="45"/>
      <c r="BL76" s="45"/>
      <c r="BM76" s="45"/>
      <c r="BN76" s="45"/>
      <c r="BO76" s="45" t="s">
        <v>808</v>
      </c>
      <c r="BP76" s="45" t="s">
        <v>808</v>
      </c>
      <c r="BQ76" s="110" t="s">
        <v>4106</v>
      </c>
      <c r="BR76" s="110" t="s">
        <v>4106</v>
      </c>
      <c r="BS76" s="110" t="s">
        <v>4244</v>
      </c>
      <c r="BT76" s="110" t="s">
        <v>4244</v>
      </c>
      <c r="BU76" s="2"/>
    </row>
    <row r="77" spans="1:73" ht="15">
      <c r="A77" s="61" t="s">
        <v>291</v>
      </c>
      <c r="B77" s="62"/>
      <c r="C77" s="62"/>
      <c r="D77" s="63">
        <v>100</v>
      </c>
      <c r="E77" s="65"/>
      <c r="F77" s="99" t="str">
        <f>HYPERLINK("https://pbs.twimg.com/profile_images/1487202553557360644/4gDwZ5Aq_normal.jpg")</f>
        <v>https://pbs.twimg.com/profile_images/1487202553557360644/4gDwZ5Aq_normal.jpg</v>
      </c>
      <c r="G77" s="62"/>
      <c r="H77" s="66" t="s">
        <v>291</v>
      </c>
      <c r="I77" s="67"/>
      <c r="J77" s="67"/>
      <c r="K77" s="66" t="s">
        <v>2919</v>
      </c>
      <c r="L77" s="70">
        <v>1</v>
      </c>
      <c r="M77" s="71">
        <v>2701.42236328125</v>
      </c>
      <c r="N77" s="71">
        <v>3717.576904296875</v>
      </c>
      <c r="O77" s="72"/>
      <c r="P77" s="73"/>
      <c r="Q77" s="73"/>
      <c r="R77" s="85"/>
      <c r="S77" s="45">
        <v>0</v>
      </c>
      <c r="T77" s="45">
        <v>1</v>
      </c>
      <c r="U77" s="46">
        <v>0</v>
      </c>
      <c r="V77" s="46">
        <v>0.025254</v>
      </c>
      <c r="W77" s="46">
        <v>0</v>
      </c>
      <c r="X77" s="46">
        <v>0.002672</v>
      </c>
      <c r="Y77" s="46">
        <v>0</v>
      </c>
      <c r="Z77" s="46">
        <v>0</v>
      </c>
      <c r="AA77" s="68">
        <v>77</v>
      </c>
      <c r="AB77" s="68"/>
      <c r="AC77" s="69"/>
      <c r="AD77" s="75" t="s">
        <v>1912</v>
      </c>
      <c r="AE77" s="80" t="s">
        <v>2223</v>
      </c>
      <c r="AF77" s="75">
        <v>30</v>
      </c>
      <c r="AG77" s="75">
        <v>295</v>
      </c>
      <c r="AH77" s="75">
        <v>27201</v>
      </c>
      <c r="AI77" s="75">
        <v>6</v>
      </c>
      <c r="AJ77" s="75"/>
      <c r="AK77" s="75"/>
      <c r="AL77" s="75"/>
      <c r="AM77" s="75"/>
      <c r="AN77" s="75"/>
      <c r="AO77" s="77">
        <v>44589.955</v>
      </c>
      <c r="AP77" s="75"/>
      <c r="AQ77" s="75" t="b">
        <v>1</v>
      </c>
      <c r="AR77" s="75" t="b">
        <v>0</v>
      </c>
      <c r="AS77" s="75" t="b">
        <v>0</v>
      </c>
      <c r="AT77" s="75"/>
      <c r="AU77" s="75">
        <v>0</v>
      </c>
      <c r="AV77" s="75"/>
      <c r="AW77" s="75" t="b">
        <v>0</v>
      </c>
      <c r="AX77" s="75" t="s">
        <v>2845</v>
      </c>
      <c r="AY77" s="82" t="str">
        <f>HYPERLINK("https://twitter.com/ghedays")</f>
        <v>https://twitter.com/ghedays</v>
      </c>
      <c r="AZ77" s="75" t="s">
        <v>66</v>
      </c>
      <c r="BA77" s="75" t="str">
        <f>REPLACE(INDEX(GroupVertices[Group],MATCH(Vertices[[#This Row],[Vertex]],GroupVertices[Vertex],0)),1,1,"")</f>
        <v>5</v>
      </c>
      <c r="BB77" s="45">
        <v>1</v>
      </c>
      <c r="BC77" s="46">
        <v>2.5641025641025643</v>
      </c>
      <c r="BD77" s="45">
        <v>0</v>
      </c>
      <c r="BE77" s="46">
        <v>0</v>
      </c>
      <c r="BF77" s="45">
        <v>0</v>
      </c>
      <c r="BG77" s="46">
        <v>0</v>
      </c>
      <c r="BH77" s="45">
        <v>38</v>
      </c>
      <c r="BI77" s="46">
        <v>97.43589743589743</v>
      </c>
      <c r="BJ77" s="45">
        <v>39</v>
      </c>
      <c r="BK77" s="45"/>
      <c r="BL77" s="45"/>
      <c r="BM77" s="45"/>
      <c r="BN77" s="45"/>
      <c r="BO77" s="45" t="s">
        <v>808</v>
      </c>
      <c r="BP77" s="45" t="s">
        <v>808</v>
      </c>
      <c r="BQ77" s="110" t="s">
        <v>4106</v>
      </c>
      <c r="BR77" s="110" t="s">
        <v>4106</v>
      </c>
      <c r="BS77" s="110" t="s">
        <v>4244</v>
      </c>
      <c r="BT77" s="110" t="s">
        <v>4244</v>
      </c>
      <c r="BU77" s="2"/>
    </row>
    <row r="78" spans="1:73" ht="15">
      <c r="A78" s="61" t="s">
        <v>292</v>
      </c>
      <c r="B78" s="62"/>
      <c r="C78" s="62"/>
      <c r="D78" s="63">
        <v>100</v>
      </c>
      <c r="E78" s="65"/>
      <c r="F78" s="99" t="str">
        <f>HYPERLINK("https://pbs.twimg.com/profile_images/1419372959215595525/fh_00Oyw_normal.jpg")</f>
        <v>https://pbs.twimg.com/profile_images/1419372959215595525/fh_00Oyw_normal.jpg</v>
      </c>
      <c r="G78" s="62"/>
      <c r="H78" s="66" t="s">
        <v>292</v>
      </c>
      <c r="I78" s="67"/>
      <c r="J78" s="67"/>
      <c r="K78" s="66" t="s">
        <v>2920</v>
      </c>
      <c r="L78" s="70">
        <v>1</v>
      </c>
      <c r="M78" s="71">
        <v>2649.14990234375</v>
      </c>
      <c r="N78" s="71">
        <v>5540.3115234375</v>
      </c>
      <c r="O78" s="72"/>
      <c r="P78" s="73"/>
      <c r="Q78" s="73"/>
      <c r="R78" s="85"/>
      <c r="S78" s="45">
        <v>0</v>
      </c>
      <c r="T78" s="45">
        <v>1</v>
      </c>
      <c r="U78" s="46">
        <v>0</v>
      </c>
      <c r="V78" s="46">
        <v>0.025254</v>
      </c>
      <c r="W78" s="46">
        <v>0</v>
      </c>
      <c r="X78" s="46">
        <v>0.002672</v>
      </c>
      <c r="Y78" s="46">
        <v>0</v>
      </c>
      <c r="Z78" s="46">
        <v>0</v>
      </c>
      <c r="AA78" s="68">
        <v>78</v>
      </c>
      <c r="AB78" s="68"/>
      <c r="AC78" s="69"/>
      <c r="AD78" s="75" t="s">
        <v>292</v>
      </c>
      <c r="AE78" s="80" t="s">
        <v>2224</v>
      </c>
      <c r="AF78" s="75">
        <v>795</v>
      </c>
      <c r="AG78" s="75">
        <v>310</v>
      </c>
      <c r="AH78" s="75">
        <v>6520</v>
      </c>
      <c r="AI78" s="75">
        <v>23617</v>
      </c>
      <c r="AJ78" s="75"/>
      <c r="AK78" s="75"/>
      <c r="AL78" s="75"/>
      <c r="AM78" s="75"/>
      <c r="AN78" s="75"/>
      <c r="AO78" s="77">
        <v>39783.85108796296</v>
      </c>
      <c r="AP78" s="75"/>
      <c r="AQ78" s="75" t="b">
        <v>1</v>
      </c>
      <c r="AR78" s="75" t="b">
        <v>0</v>
      </c>
      <c r="AS78" s="75" t="b">
        <v>0</v>
      </c>
      <c r="AT78" s="75"/>
      <c r="AU78" s="75">
        <v>0</v>
      </c>
      <c r="AV78" s="82" t="str">
        <f>HYPERLINK("https://abs.twimg.com/images/themes/theme1/bg.png")</f>
        <v>https://abs.twimg.com/images/themes/theme1/bg.png</v>
      </c>
      <c r="AW78" s="75" t="b">
        <v>0</v>
      </c>
      <c r="AX78" s="75" t="s">
        <v>2845</v>
      </c>
      <c r="AY78" s="82" t="str">
        <f>HYPERLINK("https://twitter.com/addiseshetu")</f>
        <v>https://twitter.com/addiseshetu</v>
      </c>
      <c r="AZ78" s="75" t="s">
        <v>66</v>
      </c>
      <c r="BA78" s="75" t="str">
        <f>REPLACE(INDEX(GroupVertices[Group],MATCH(Vertices[[#This Row],[Vertex]],GroupVertices[Vertex],0)),1,1,"")</f>
        <v>5</v>
      </c>
      <c r="BB78" s="45">
        <v>1</v>
      </c>
      <c r="BC78" s="46">
        <v>2.5641025641025643</v>
      </c>
      <c r="BD78" s="45">
        <v>0</v>
      </c>
      <c r="BE78" s="46">
        <v>0</v>
      </c>
      <c r="BF78" s="45">
        <v>0</v>
      </c>
      <c r="BG78" s="46">
        <v>0</v>
      </c>
      <c r="BH78" s="45">
        <v>38</v>
      </c>
      <c r="BI78" s="46">
        <v>97.43589743589743</v>
      </c>
      <c r="BJ78" s="45">
        <v>39</v>
      </c>
      <c r="BK78" s="45"/>
      <c r="BL78" s="45"/>
      <c r="BM78" s="45"/>
      <c r="BN78" s="45"/>
      <c r="BO78" s="45" t="s">
        <v>808</v>
      </c>
      <c r="BP78" s="45" t="s">
        <v>808</v>
      </c>
      <c r="BQ78" s="110" t="s">
        <v>4106</v>
      </c>
      <c r="BR78" s="110" t="s">
        <v>4106</v>
      </c>
      <c r="BS78" s="110" t="s">
        <v>4244</v>
      </c>
      <c r="BT78" s="110" t="s">
        <v>4244</v>
      </c>
      <c r="BU78" s="2"/>
    </row>
    <row r="79" spans="1:73" ht="15">
      <c r="A79" s="61" t="s">
        <v>293</v>
      </c>
      <c r="B79" s="62"/>
      <c r="C79" s="62"/>
      <c r="D79" s="63">
        <v>100</v>
      </c>
      <c r="E79" s="65"/>
      <c r="F79" s="99" t="str">
        <f>HYPERLINK("https://pbs.twimg.com/profile_images/1484077323393634304/TsPRReYA_normal.png")</f>
        <v>https://pbs.twimg.com/profile_images/1484077323393634304/TsPRReYA_normal.png</v>
      </c>
      <c r="G79" s="62"/>
      <c r="H79" s="66" t="s">
        <v>293</v>
      </c>
      <c r="I79" s="67"/>
      <c r="J79" s="67"/>
      <c r="K79" s="66" t="s">
        <v>2921</v>
      </c>
      <c r="L79" s="70">
        <v>1</v>
      </c>
      <c r="M79" s="71">
        <v>3060.18359375</v>
      </c>
      <c r="N79" s="71">
        <v>5950.6826171875</v>
      </c>
      <c r="O79" s="72"/>
      <c r="P79" s="73"/>
      <c r="Q79" s="73"/>
      <c r="R79" s="85"/>
      <c r="S79" s="45">
        <v>0</v>
      </c>
      <c r="T79" s="45">
        <v>1</v>
      </c>
      <c r="U79" s="46">
        <v>0</v>
      </c>
      <c r="V79" s="46">
        <v>0.025254</v>
      </c>
      <c r="W79" s="46">
        <v>0</v>
      </c>
      <c r="X79" s="46">
        <v>0.002672</v>
      </c>
      <c r="Y79" s="46">
        <v>0</v>
      </c>
      <c r="Z79" s="46">
        <v>0</v>
      </c>
      <c r="AA79" s="68">
        <v>79</v>
      </c>
      <c r="AB79" s="68"/>
      <c r="AC79" s="69"/>
      <c r="AD79" s="75" t="s">
        <v>1913</v>
      </c>
      <c r="AE79" s="80" t="s">
        <v>2225</v>
      </c>
      <c r="AF79" s="75">
        <v>120</v>
      </c>
      <c r="AG79" s="75">
        <v>0</v>
      </c>
      <c r="AH79" s="75">
        <v>39</v>
      </c>
      <c r="AI79" s="75">
        <v>10</v>
      </c>
      <c r="AJ79" s="75"/>
      <c r="AK79" s="75"/>
      <c r="AL79" s="75"/>
      <c r="AM79" s="75"/>
      <c r="AN79" s="75"/>
      <c r="AO79" s="77">
        <v>44581.3446875</v>
      </c>
      <c r="AP79" s="75"/>
      <c r="AQ79" s="75" t="b">
        <v>1</v>
      </c>
      <c r="AR79" s="75" t="b">
        <v>0</v>
      </c>
      <c r="AS79" s="75" t="b">
        <v>0</v>
      </c>
      <c r="AT79" s="75"/>
      <c r="AU79" s="75">
        <v>0</v>
      </c>
      <c r="AV79" s="75"/>
      <c r="AW79" s="75" t="b">
        <v>0</v>
      </c>
      <c r="AX79" s="75" t="s">
        <v>2845</v>
      </c>
      <c r="AY79" s="82" t="str">
        <f>HYPERLINK("https://twitter.com/teferig58652633")</f>
        <v>https://twitter.com/teferig58652633</v>
      </c>
      <c r="AZ79" s="75" t="s">
        <v>66</v>
      </c>
      <c r="BA79" s="75" t="str">
        <f>REPLACE(INDEX(GroupVertices[Group],MATCH(Vertices[[#This Row],[Vertex]],GroupVertices[Vertex],0)),1,1,"")</f>
        <v>5</v>
      </c>
      <c r="BB79" s="45">
        <v>1</v>
      </c>
      <c r="BC79" s="46">
        <v>2.5641025641025643</v>
      </c>
      <c r="BD79" s="45">
        <v>0</v>
      </c>
      <c r="BE79" s="46">
        <v>0</v>
      </c>
      <c r="BF79" s="45">
        <v>0</v>
      </c>
      <c r="BG79" s="46">
        <v>0</v>
      </c>
      <c r="BH79" s="45">
        <v>38</v>
      </c>
      <c r="BI79" s="46">
        <v>97.43589743589743</v>
      </c>
      <c r="BJ79" s="45">
        <v>39</v>
      </c>
      <c r="BK79" s="45"/>
      <c r="BL79" s="45"/>
      <c r="BM79" s="45"/>
      <c r="BN79" s="45"/>
      <c r="BO79" s="45" t="s">
        <v>808</v>
      </c>
      <c r="BP79" s="45" t="s">
        <v>808</v>
      </c>
      <c r="BQ79" s="110" t="s">
        <v>4106</v>
      </c>
      <c r="BR79" s="110" t="s">
        <v>4106</v>
      </c>
      <c r="BS79" s="110" t="s">
        <v>4244</v>
      </c>
      <c r="BT79" s="110" t="s">
        <v>4244</v>
      </c>
      <c r="BU79" s="2"/>
    </row>
    <row r="80" spans="1:73" ht="15">
      <c r="A80" s="61" t="s">
        <v>294</v>
      </c>
      <c r="B80" s="62"/>
      <c r="C80" s="62"/>
      <c r="D80" s="63">
        <v>100</v>
      </c>
      <c r="E80" s="65"/>
      <c r="F80" s="99" t="str">
        <f>HYPERLINK("https://pbs.twimg.com/profile_images/1568220174876131328/4xvCkz-N_normal.jpg")</f>
        <v>https://pbs.twimg.com/profile_images/1568220174876131328/4xvCkz-N_normal.jpg</v>
      </c>
      <c r="G80" s="62"/>
      <c r="H80" s="66" t="s">
        <v>294</v>
      </c>
      <c r="I80" s="67"/>
      <c r="J80" s="67"/>
      <c r="K80" s="66" t="s">
        <v>2922</v>
      </c>
      <c r="L80" s="70">
        <v>1</v>
      </c>
      <c r="M80" s="71">
        <v>2376.376708984375</v>
      </c>
      <c r="N80" s="71">
        <v>5824.62841796875</v>
      </c>
      <c r="O80" s="72"/>
      <c r="P80" s="73"/>
      <c r="Q80" s="73"/>
      <c r="R80" s="85"/>
      <c r="S80" s="45">
        <v>0</v>
      </c>
      <c r="T80" s="45">
        <v>1</v>
      </c>
      <c r="U80" s="46">
        <v>0</v>
      </c>
      <c r="V80" s="46">
        <v>0.025254</v>
      </c>
      <c r="W80" s="46">
        <v>0</v>
      </c>
      <c r="X80" s="46">
        <v>0.002672</v>
      </c>
      <c r="Y80" s="46">
        <v>0</v>
      </c>
      <c r="Z80" s="46">
        <v>0</v>
      </c>
      <c r="AA80" s="68">
        <v>80</v>
      </c>
      <c r="AB80" s="68"/>
      <c r="AC80" s="69"/>
      <c r="AD80" s="75" t="s">
        <v>1914</v>
      </c>
      <c r="AE80" s="80" t="s">
        <v>2226</v>
      </c>
      <c r="AF80" s="75">
        <v>160</v>
      </c>
      <c r="AG80" s="75">
        <v>67</v>
      </c>
      <c r="AH80" s="75">
        <v>265</v>
      </c>
      <c r="AI80" s="75">
        <v>1771</v>
      </c>
      <c r="AJ80" s="75"/>
      <c r="AK80" s="75"/>
      <c r="AL80" s="75" t="s">
        <v>2721</v>
      </c>
      <c r="AM80" s="75"/>
      <c r="AN80" s="75"/>
      <c r="AO80" s="77">
        <v>41157.304131944446</v>
      </c>
      <c r="AP80" s="82" t="str">
        <f>HYPERLINK("https://pbs.twimg.com/profile_banners/804062581/1398083758")</f>
        <v>https://pbs.twimg.com/profile_banners/804062581/1398083758</v>
      </c>
      <c r="AQ80" s="75" t="b">
        <v>0</v>
      </c>
      <c r="AR80" s="75" t="b">
        <v>0</v>
      </c>
      <c r="AS80" s="75" t="b">
        <v>0</v>
      </c>
      <c r="AT80" s="75"/>
      <c r="AU80" s="75">
        <v>0</v>
      </c>
      <c r="AV80" s="82" t="str">
        <f>HYPERLINK("https://abs.twimg.com/images/themes/theme1/bg.png")</f>
        <v>https://abs.twimg.com/images/themes/theme1/bg.png</v>
      </c>
      <c r="AW80" s="75" t="b">
        <v>0</v>
      </c>
      <c r="AX80" s="75" t="s">
        <v>2845</v>
      </c>
      <c r="AY80" s="82" t="str">
        <f>HYPERLINK("https://twitter.com/alemayehuc")</f>
        <v>https://twitter.com/alemayehuc</v>
      </c>
      <c r="AZ80" s="75" t="s">
        <v>66</v>
      </c>
      <c r="BA80" s="75" t="str">
        <f>REPLACE(INDEX(GroupVertices[Group],MATCH(Vertices[[#This Row],[Vertex]],GroupVertices[Vertex],0)),1,1,"")</f>
        <v>5</v>
      </c>
      <c r="BB80" s="45">
        <v>1</v>
      </c>
      <c r="BC80" s="46">
        <v>2.5641025641025643</v>
      </c>
      <c r="BD80" s="45">
        <v>0</v>
      </c>
      <c r="BE80" s="46">
        <v>0</v>
      </c>
      <c r="BF80" s="45">
        <v>0</v>
      </c>
      <c r="BG80" s="46">
        <v>0</v>
      </c>
      <c r="BH80" s="45">
        <v>38</v>
      </c>
      <c r="BI80" s="46">
        <v>97.43589743589743</v>
      </c>
      <c r="BJ80" s="45">
        <v>39</v>
      </c>
      <c r="BK80" s="45"/>
      <c r="BL80" s="45"/>
      <c r="BM80" s="45"/>
      <c r="BN80" s="45"/>
      <c r="BO80" s="45" t="s">
        <v>808</v>
      </c>
      <c r="BP80" s="45" t="s">
        <v>808</v>
      </c>
      <c r="BQ80" s="110" t="s">
        <v>4106</v>
      </c>
      <c r="BR80" s="110" t="s">
        <v>4106</v>
      </c>
      <c r="BS80" s="110" t="s">
        <v>4244</v>
      </c>
      <c r="BT80" s="110" t="s">
        <v>4244</v>
      </c>
      <c r="BU80" s="2"/>
    </row>
    <row r="81" spans="1:73" ht="15">
      <c r="A81" s="61" t="s">
        <v>295</v>
      </c>
      <c r="B81" s="62"/>
      <c r="C81" s="62"/>
      <c r="D81" s="63">
        <v>100</v>
      </c>
      <c r="E81" s="65"/>
      <c r="F81" s="99" t="str">
        <f>HYPERLINK("https://pbs.twimg.com/profile_images/1446207960615620614/lLDC035B_normal.jpg")</f>
        <v>https://pbs.twimg.com/profile_images/1446207960615620614/lLDC035B_normal.jpg</v>
      </c>
      <c r="G81" s="62"/>
      <c r="H81" s="66" t="s">
        <v>295</v>
      </c>
      <c r="I81" s="67"/>
      <c r="J81" s="67"/>
      <c r="K81" s="66" t="s">
        <v>2923</v>
      </c>
      <c r="L81" s="70">
        <v>1</v>
      </c>
      <c r="M81" s="71">
        <v>2383.515625</v>
      </c>
      <c r="N81" s="71">
        <v>4005.1044921875</v>
      </c>
      <c r="O81" s="72"/>
      <c r="P81" s="73"/>
      <c r="Q81" s="73"/>
      <c r="R81" s="85"/>
      <c r="S81" s="45">
        <v>0</v>
      </c>
      <c r="T81" s="45">
        <v>1</v>
      </c>
      <c r="U81" s="46">
        <v>0</v>
      </c>
      <c r="V81" s="46">
        <v>0.025254</v>
      </c>
      <c r="W81" s="46">
        <v>0</v>
      </c>
      <c r="X81" s="46">
        <v>0.002672</v>
      </c>
      <c r="Y81" s="46">
        <v>0</v>
      </c>
      <c r="Z81" s="46">
        <v>0</v>
      </c>
      <c r="AA81" s="68">
        <v>81</v>
      </c>
      <c r="AB81" s="68"/>
      <c r="AC81" s="69"/>
      <c r="AD81" s="75" t="s">
        <v>1915</v>
      </c>
      <c r="AE81" s="80" t="s">
        <v>2227</v>
      </c>
      <c r="AF81" s="75">
        <v>148</v>
      </c>
      <c r="AG81" s="75">
        <v>35</v>
      </c>
      <c r="AH81" s="75">
        <v>5631</v>
      </c>
      <c r="AI81" s="75">
        <v>4923</v>
      </c>
      <c r="AJ81" s="75"/>
      <c r="AK81" s="75"/>
      <c r="AL81" s="75"/>
      <c r="AM81" s="75"/>
      <c r="AN81" s="75"/>
      <c r="AO81" s="77">
        <v>44471.84642361111</v>
      </c>
      <c r="AP81" s="75"/>
      <c r="AQ81" s="75" t="b">
        <v>1</v>
      </c>
      <c r="AR81" s="75" t="b">
        <v>0</v>
      </c>
      <c r="AS81" s="75" t="b">
        <v>0</v>
      </c>
      <c r="AT81" s="75"/>
      <c r="AU81" s="75">
        <v>0</v>
      </c>
      <c r="AV81" s="75"/>
      <c r="AW81" s="75" t="b">
        <v>0</v>
      </c>
      <c r="AX81" s="75" t="s">
        <v>2845</v>
      </c>
      <c r="AY81" s="82" t="str">
        <f>HYPERLINK("https://twitter.com/adiss07705421")</f>
        <v>https://twitter.com/adiss07705421</v>
      </c>
      <c r="AZ81" s="75" t="s">
        <v>66</v>
      </c>
      <c r="BA81" s="75" t="str">
        <f>REPLACE(INDEX(GroupVertices[Group],MATCH(Vertices[[#This Row],[Vertex]],GroupVertices[Vertex],0)),1,1,"")</f>
        <v>5</v>
      </c>
      <c r="BB81" s="45">
        <v>1</v>
      </c>
      <c r="BC81" s="46">
        <v>2.5641025641025643</v>
      </c>
      <c r="BD81" s="45">
        <v>0</v>
      </c>
      <c r="BE81" s="46">
        <v>0</v>
      </c>
      <c r="BF81" s="45">
        <v>0</v>
      </c>
      <c r="BG81" s="46">
        <v>0</v>
      </c>
      <c r="BH81" s="45">
        <v>38</v>
      </c>
      <c r="BI81" s="46">
        <v>97.43589743589743</v>
      </c>
      <c r="BJ81" s="45">
        <v>39</v>
      </c>
      <c r="BK81" s="45"/>
      <c r="BL81" s="45"/>
      <c r="BM81" s="45"/>
      <c r="BN81" s="45"/>
      <c r="BO81" s="45" t="s">
        <v>808</v>
      </c>
      <c r="BP81" s="45" t="s">
        <v>808</v>
      </c>
      <c r="BQ81" s="110" t="s">
        <v>4106</v>
      </c>
      <c r="BR81" s="110" t="s">
        <v>4106</v>
      </c>
      <c r="BS81" s="110" t="s">
        <v>4244</v>
      </c>
      <c r="BT81" s="110" t="s">
        <v>4244</v>
      </c>
      <c r="BU81" s="2"/>
    </row>
    <row r="82" spans="1:73" ht="15">
      <c r="A82" s="61" t="s">
        <v>296</v>
      </c>
      <c r="B82" s="62"/>
      <c r="C82" s="62"/>
      <c r="D82" s="63">
        <v>100</v>
      </c>
      <c r="E82" s="65"/>
      <c r="F82" s="99" t="str">
        <f>HYPERLINK("https://pbs.twimg.com/profile_images/1182837676036313093/vKvg_zFm_normal.jpg")</f>
        <v>https://pbs.twimg.com/profile_images/1182837676036313093/vKvg_zFm_normal.jpg</v>
      </c>
      <c r="G82" s="62"/>
      <c r="H82" s="66" t="s">
        <v>296</v>
      </c>
      <c r="I82" s="67"/>
      <c r="J82" s="67"/>
      <c r="K82" s="66" t="s">
        <v>2924</v>
      </c>
      <c r="L82" s="70">
        <v>1</v>
      </c>
      <c r="M82" s="71">
        <v>2177.7783203125</v>
      </c>
      <c r="N82" s="71">
        <v>4449.9072265625</v>
      </c>
      <c r="O82" s="72"/>
      <c r="P82" s="73"/>
      <c r="Q82" s="73"/>
      <c r="R82" s="85"/>
      <c r="S82" s="45">
        <v>0</v>
      </c>
      <c r="T82" s="45">
        <v>1</v>
      </c>
      <c r="U82" s="46">
        <v>0</v>
      </c>
      <c r="V82" s="46">
        <v>0.025254</v>
      </c>
      <c r="W82" s="46">
        <v>0</v>
      </c>
      <c r="X82" s="46">
        <v>0.002672</v>
      </c>
      <c r="Y82" s="46">
        <v>0</v>
      </c>
      <c r="Z82" s="46">
        <v>0</v>
      </c>
      <c r="AA82" s="68">
        <v>82</v>
      </c>
      <c r="AB82" s="68"/>
      <c r="AC82" s="69"/>
      <c r="AD82" s="75" t="s">
        <v>1916</v>
      </c>
      <c r="AE82" s="80" t="s">
        <v>2228</v>
      </c>
      <c r="AF82" s="75">
        <v>149</v>
      </c>
      <c r="AG82" s="75">
        <v>76</v>
      </c>
      <c r="AH82" s="75">
        <v>3058</v>
      </c>
      <c r="AI82" s="75">
        <v>4650</v>
      </c>
      <c r="AJ82" s="75"/>
      <c r="AK82" s="75" t="s">
        <v>2466</v>
      </c>
      <c r="AL82" s="75" t="s">
        <v>2722</v>
      </c>
      <c r="AM82" s="75"/>
      <c r="AN82" s="75"/>
      <c r="AO82" s="77">
        <v>43750.0812037037</v>
      </c>
      <c r="AP82" s="75"/>
      <c r="AQ82" s="75" t="b">
        <v>1</v>
      </c>
      <c r="AR82" s="75" t="b">
        <v>0</v>
      </c>
      <c r="AS82" s="75" t="b">
        <v>0</v>
      </c>
      <c r="AT82" s="75"/>
      <c r="AU82" s="75">
        <v>0</v>
      </c>
      <c r="AV82" s="75"/>
      <c r="AW82" s="75" t="b">
        <v>0</v>
      </c>
      <c r="AX82" s="75" t="s">
        <v>2845</v>
      </c>
      <c r="AY82" s="82" t="str">
        <f>HYPERLINK("https://twitter.com/berhanumekonne6")</f>
        <v>https://twitter.com/berhanumekonne6</v>
      </c>
      <c r="AZ82" s="75" t="s">
        <v>66</v>
      </c>
      <c r="BA82" s="75" t="str">
        <f>REPLACE(INDEX(GroupVertices[Group],MATCH(Vertices[[#This Row],[Vertex]],GroupVertices[Vertex],0)),1,1,"")</f>
        <v>5</v>
      </c>
      <c r="BB82" s="45">
        <v>1</v>
      </c>
      <c r="BC82" s="46">
        <v>2.5641025641025643</v>
      </c>
      <c r="BD82" s="45">
        <v>0</v>
      </c>
      <c r="BE82" s="46">
        <v>0</v>
      </c>
      <c r="BF82" s="45">
        <v>0</v>
      </c>
      <c r="BG82" s="46">
        <v>0</v>
      </c>
      <c r="BH82" s="45">
        <v>38</v>
      </c>
      <c r="BI82" s="46">
        <v>97.43589743589743</v>
      </c>
      <c r="BJ82" s="45">
        <v>39</v>
      </c>
      <c r="BK82" s="45"/>
      <c r="BL82" s="45"/>
      <c r="BM82" s="45"/>
      <c r="BN82" s="45"/>
      <c r="BO82" s="45" t="s">
        <v>808</v>
      </c>
      <c r="BP82" s="45" t="s">
        <v>808</v>
      </c>
      <c r="BQ82" s="110" t="s">
        <v>4106</v>
      </c>
      <c r="BR82" s="110" t="s">
        <v>4106</v>
      </c>
      <c r="BS82" s="110" t="s">
        <v>4244</v>
      </c>
      <c r="BT82" s="110" t="s">
        <v>4244</v>
      </c>
      <c r="BU82" s="2"/>
    </row>
    <row r="83" spans="1:73" ht="15">
      <c r="A83" s="61" t="s">
        <v>297</v>
      </c>
      <c r="B83" s="62"/>
      <c r="C83" s="62"/>
      <c r="D83" s="63">
        <v>100</v>
      </c>
      <c r="E83" s="65"/>
      <c r="F83" s="99" t="str">
        <f>HYPERLINK("https://pbs.twimg.com/profile_images/1454104047905132545/TF2HyUrV_normal.jpg")</f>
        <v>https://pbs.twimg.com/profile_images/1454104047905132545/TF2HyUrV_normal.jpg</v>
      </c>
      <c r="G83" s="62"/>
      <c r="H83" s="66" t="s">
        <v>297</v>
      </c>
      <c r="I83" s="67"/>
      <c r="J83" s="67"/>
      <c r="K83" s="66" t="s">
        <v>2925</v>
      </c>
      <c r="L83" s="70">
        <v>1</v>
      </c>
      <c r="M83" s="71">
        <v>3261.323974609375</v>
      </c>
      <c r="N83" s="71">
        <v>4117.19287109375</v>
      </c>
      <c r="O83" s="72"/>
      <c r="P83" s="73"/>
      <c r="Q83" s="73"/>
      <c r="R83" s="85"/>
      <c r="S83" s="45">
        <v>0</v>
      </c>
      <c r="T83" s="45">
        <v>1</v>
      </c>
      <c r="U83" s="46">
        <v>0</v>
      </c>
      <c r="V83" s="46">
        <v>0.025254</v>
      </c>
      <c r="W83" s="46">
        <v>0</v>
      </c>
      <c r="X83" s="46">
        <v>0.002672</v>
      </c>
      <c r="Y83" s="46">
        <v>0</v>
      </c>
      <c r="Z83" s="46">
        <v>0</v>
      </c>
      <c r="AA83" s="68">
        <v>83</v>
      </c>
      <c r="AB83" s="68"/>
      <c r="AC83" s="69"/>
      <c r="AD83" s="75" t="s">
        <v>1917</v>
      </c>
      <c r="AE83" s="80" t="s">
        <v>2229</v>
      </c>
      <c r="AF83" s="75">
        <v>231</v>
      </c>
      <c r="AG83" s="75">
        <v>11</v>
      </c>
      <c r="AH83" s="75">
        <v>487</v>
      </c>
      <c r="AI83" s="75">
        <v>605</v>
      </c>
      <c r="AJ83" s="75"/>
      <c r="AK83" s="75"/>
      <c r="AL83" s="75"/>
      <c r="AM83" s="75"/>
      <c r="AN83" s="75"/>
      <c r="AO83" s="77">
        <v>40827.55630787037</v>
      </c>
      <c r="AP83" s="82" t="str">
        <f>HYPERLINK("https://pbs.twimg.com/profile_banners/388858245/1626440963")</f>
        <v>https://pbs.twimg.com/profile_banners/388858245/1626440963</v>
      </c>
      <c r="AQ83" s="75" t="b">
        <v>1</v>
      </c>
      <c r="AR83" s="75" t="b">
        <v>0</v>
      </c>
      <c r="AS83" s="75" t="b">
        <v>0</v>
      </c>
      <c r="AT83" s="75"/>
      <c r="AU83" s="75">
        <v>1</v>
      </c>
      <c r="AV83" s="82" t="str">
        <f>HYPERLINK("https://abs.twimg.com/images/themes/theme1/bg.png")</f>
        <v>https://abs.twimg.com/images/themes/theme1/bg.png</v>
      </c>
      <c r="AW83" s="75" t="b">
        <v>0</v>
      </c>
      <c r="AX83" s="75" t="s">
        <v>2845</v>
      </c>
      <c r="AY83" s="82" t="str">
        <f>HYPERLINK("https://twitter.com/yidalem")</f>
        <v>https://twitter.com/yidalem</v>
      </c>
      <c r="AZ83" s="75" t="s">
        <v>66</v>
      </c>
      <c r="BA83" s="75" t="str">
        <f>REPLACE(INDEX(GroupVertices[Group],MATCH(Vertices[[#This Row],[Vertex]],GroupVertices[Vertex],0)),1,1,"")</f>
        <v>5</v>
      </c>
      <c r="BB83" s="45">
        <v>1</v>
      </c>
      <c r="BC83" s="46">
        <v>2.5641025641025643</v>
      </c>
      <c r="BD83" s="45">
        <v>0</v>
      </c>
      <c r="BE83" s="46">
        <v>0</v>
      </c>
      <c r="BF83" s="45">
        <v>0</v>
      </c>
      <c r="BG83" s="46">
        <v>0</v>
      </c>
      <c r="BH83" s="45">
        <v>38</v>
      </c>
      <c r="BI83" s="46">
        <v>97.43589743589743</v>
      </c>
      <c r="BJ83" s="45">
        <v>39</v>
      </c>
      <c r="BK83" s="45"/>
      <c r="BL83" s="45"/>
      <c r="BM83" s="45"/>
      <c r="BN83" s="45"/>
      <c r="BO83" s="45" t="s">
        <v>808</v>
      </c>
      <c r="BP83" s="45" t="s">
        <v>808</v>
      </c>
      <c r="BQ83" s="110" t="s">
        <v>4106</v>
      </c>
      <c r="BR83" s="110" t="s">
        <v>4106</v>
      </c>
      <c r="BS83" s="110" t="s">
        <v>4244</v>
      </c>
      <c r="BT83" s="110" t="s">
        <v>4244</v>
      </c>
      <c r="BU83" s="2"/>
    </row>
    <row r="84" spans="1:73" ht="15">
      <c r="A84" s="61" t="s">
        <v>298</v>
      </c>
      <c r="B84" s="62"/>
      <c r="C84" s="62"/>
      <c r="D84" s="63">
        <v>100</v>
      </c>
      <c r="E84" s="65"/>
      <c r="F84" s="99" t="str">
        <f>HYPERLINK("https://pbs.twimg.com/profile_images/1388597517416271875/mlaJIl-4_normal.jpg")</f>
        <v>https://pbs.twimg.com/profile_images/1388597517416271875/mlaJIl-4_normal.jpg</v>
      </c>
      <c r="G84" s="62"/>
      <c r="H84" s="66" t="s">
        <v>298</v>
      </c>
      <c r="I84" s="67"/>
      <c r="J84" s="67"/>
      <c r="K84" s="66" t="s">
        <v>2926</v>
      </c>
      <c r="L84" s="70">
        <v>1</v>
      </c>
      <c r="M84" s="71">
        <v>1786.40673828125</v>
      </c>
      <c r="N84" s="71">
        <v>1698.548095703125</v>
      </c>
      <c r="O84" s="72"/>
      <c r="P84" s="73"/>
      <c r="Q84" s="73"/>
      <c r="R84" s="85"/>
      <c r="S84" s="45">
        <v>1</v>
      </c>
      <c r="T84" s="45">
        <v>1</v>
      </c>
      <c r="U84" s="46">
        <v>0</v>
      </c>
      <c r="V84" s="46">
        <v>0</v>
      </c>
      <c r="W84" s="46">
        <v>0</v>
      </c>
      <c r="X84" s="46">
        <v>0.003049</v>
      </c>
      <c r="Y84" s="46">
        <v>0</v>
      </c>
      <c r="Z84" s="46">
        <v>0</v>
      </c>
      <c r="AA84" s="68">
        <v>84</v>
      </c>
      <c r="AB84" s="68"/>
      <c r="AC84" s="69"/>
      <c r="AD84" s="75" t="s">
        <v>1918</v>
      </c>
      <c r="AE84" s="80" t="s">
        <v>2230</v>
      </c>
      <c r="AF84" s="75">
        <v>380</v>
      </c>
      <c r="AG84" s="75">
        <v>235</v>
      </c>
      <c r="AH84" s="75">
        <v>3388</v>
      </c>
      <c r="AI84" s="75">
        <v>31156</v>
      </c>
      <c r="AJ84" s="75"/>
      <c r="AK84" s="75" t="s">
        <v>2467</v>
      </c>
      <c r="AL84" s="75" t="s">
        <v>2723</v>
      </c>
      <c r="AM84" s="75"/>
      <c r="AN84" s="75"/>
      <c r="AO84" s="77">
        <v>43153.959872685184</v>
      </c>
      <c r="AP84" s="82" t="str">
        <f>HYPERLINK("https://pbs.twimg.com/profile_banners/966810387395022850/1621185457")</f>
        <v>https://pbs.twimg.com/profile_banners/966810387395022850/1621185457</v>
      </c>
      <c r="AQ84" s="75" t="b">
        <v>1</v>
      </c>
      <c r="AR84" s="75" t="b">
        <v>0</v>
      </c>
      <c r="AS84" s="75" t="b">
        <v>1</v>
      </c>
      <c r="AT84" s="75"/>
      <c r="AU84" s="75">
        <v>6</v>
      </c>
      <c r="AV84" s="75"/>
      <c r="AW84" s="75" t="b">
        <v>0</v>
      </c>
      <c r="AX84" s="75" t="s">
        <v>2845</v>
      </c>
      <c r="AY84" s="82" t="str">
        <f>HYPERLINK("https://twitter.com/bitcoin_raf")</f>
        <v>https://twitter.com/bitcoin_raf</v>
      </c>
      <c r="AZ84" s="75" t="s">
        <v>66</v>
      </c>
      <c r="BA84" s="75" t="str">
        <f>REPLACE(INDEX(GroupVertices[Group],MATCH(Vertices[[#This Row],[Vertex]],GroupVertices[Vertex],0)),1,1,"")</f>
        <v>2</v>
      </c>
      <c r="BB84" s="45">
        <v>2</v>
      </c>
      <c r="BC84" s="46">
        <v>15.384615384615385</v>
      </c>
      <c r="BD84" s="45">
        <v>2</v>
      </c>
      <c r="BE84" s="46">
        <v>15.384615384615385</v>
      </c>
      <c r="BF84" s="45">
        <v>0</v>
      </c>
      <c r="BG84" s="46">
        <v>0</v>
      </c>
      <c r="BH84" s="45">
        <v>9</v>
      </c>
      <c r="BI84" s="46">
        <v>69.23076923076923</v>
      </c>
      <c r="BJ84" s="45">
        <v>13</v>
      </c>
      <c r="BK84" s="45" t="s">
        <v>3976</v>
      </c>
      <c r="BL84" s="45" t="s">
        <v>3976</v>
      </c>
      <c r="BM84" s="45" t="s">
        <v>783</v>
      </c>
      <c r="BN84" s="45" t="s">
        <v>783</v>
      </c>
      <c r="BO84" s="45" t="s">
        <v>809</v>
      </c>
      <c r="BP84" s="45" t="s">
        <v>809</v>
      </c>
      <c r="BQ84" s="110" t="s">
        <v>4459</v>
      </c>
      <c r="BR84" s="110" t="s">
        <v>4459</v>
      </c>
      <c r="BS84" s="110" t="s">
        <v>4580</v>
      </c>
      <c r="BT84" s="110" t="s">
        <v>4580</v>
      </c>
      <c r="BU84" s="2"/>
    </row>
    <row r="85" spans="1:73" ht="15">
      <c r="A85" s="61" t="s">
        <v>299</v>
      </c>
      <c r="B85" s="62"/>
      <c r="C85" s="62"/>
      <c r="D85" s="63">
        <v>100</v>
      </c>
      <c r="E85" s="65"/>
      <c r="F85" s="99" t="str">
        <f>HYPERLINK("https://pbs.twimg.com/profile_images/3370185008/37b1880bbcb0c61d273b16f8090a39ec_normal.jpeg")</f>
        <v>https://pbs.twimg.com/profile_images/3370185008/37b1880bbcb0c61d273b16f8090a39ec_normal.jpeg</v>
      </c>
      <c r="G85" s="62"/>
      <c r="H85" s="66" t="s">
        <v>299</v>
      </c>
      <c r="I85" s="67"/>
      <c r="J85" s="67"/>
      <c r="K85" s="66" t="s">
        <v>2927</v>
      </c>
      <c r="L85" s="70">
        <v>1</v>
      </c>
      <c r="M85" s="71">
        <v>4706.84619140625</v>
      </c>
      <c r="N85" s="71">
        <v>8637.4658203125</v>
      </c>
      <c r="O85" s="72"/>
      <c r="P85" s="73"/>
      <c r="Q85" s="73"/>
      <c r="R85" s="85"/>
      <c r="S85" s="45">
        <v>0</v>
      </c>
      <c r="T85" s="45">
        <v>1</v>
      </c>
      <c r="U85" s="46">
        <v>0</v>
      </c>
      <c r="V85" s="46">
        <v>0.007492</v>
      </c>
      <c r="W85" s="46">
        <v>0</v>
      </c>
      <c r="X85" s="46">
        <v>0.002733</v>
      </c>
      <c r="Y85" s="46">
        <v>0</v>
      </c>
      <c r="Z85" s="46">
        <v>0</v>
      </c>
      <c r="AA85" s="68">
        <v>85</v>
      </c>
      <c r="AB85" s="68"/>
      <c r="AC85" s="69"/>
      <c r="AD85" s="75" t="s">
        <v>1919</v>
      </c>
      <c r="AE85" s="80" t="s">
        <v>2231</v>
      </c>
      <c r="AF85" s="75">
        <v>2654</v>
      </c>
      <c r="AG85" s="75">
        <v>1100</v>
      </c>
      <c r="AH85" s="75">
        <v>167309</v>
      </c>
      <c r="AI85" s="75">
        <v>87858</v>
      </c>
      <c r="AJ85" s="75"/>
      <c r="AK85" s="75" t="s">
        <v>2468</v>
      </c>
      <c r="AL85" s="75"/>
      <c r="AM85" s="82" t="str">
        <f>HYPERLINK("https://t.co/QJgrkhqdlk")</f>
        <v>https://t.co/QJgrkhqdlk</v>
      </c>
      <c r="AN85" s="75"/>
      <c r="AO85" s="77">
        <v>41344.65881944444</v>
      </c>
      <c r="AP85" s="82" t="str">
        <f>HYPERLINK("https://pbs.twimg.com/profile_banners/1259773070/1409874827")</f>
        <v>https://pbs.twimg.com/profile_banners/1259773070/1409874827</v>
      </c>
      <c r="AQ85" s="75" t="b">
        <v>1</v>
      </c>
      <c r="AR85" s="75" t="b">
        <v>0</v>
      </c>
      <c r="AS85" s="75" t="b">
        <v>0</v>
      </c>
      <c r="AT85" s="75"/>
      <c r="AU85" s="75">
        <v>54</v>
      </c>
      <c r="AV85" s="82" t="str">
        <f>HYPERLINK("https://abs.twimg.com/images/themes/theme1/bg.png")</f>
        <v>https://abs.twimg.com/images/themes/theme1/bg.png</v>
      </c>
      <c r="AW85" s="75" t="b">
        <v>0</v>
      </c>
      <c r="AX85" s="75" t="s">
        <v>2845</v>
      </c>
      <c r="AY85" s="82" t="str">
        <f>HYPERLINK("https://twitter.com/riocard911")</f>
        <v>https://twitter.com/riocard911</v>
      </c>
      <c r="AZ85" s="75" t="s">
        <v>66</v>
      </c>
      <c r="BA85" s="75" t="str">
        <f>REPLACE(INDEX(GroupVertices[Group],MATCH(Vertices[[#This Row],[Vertex]],GroupVertices[Vertex],0)),1,1,"")</f>
        <v>11</v>
      </c>
      <c r="BB85" s="45">
        <v>0</v>
      </c>
      <c r="BC85" s="46">
        <v>0</v>
      </c>
      <c r="BD85" s="45">
        <v>0</v>
      </c>
      <c r="BE85" s="46">
        <v>0</v>
      </c>
      <c r="BF85" s="45">
        <v>0</v>
      </c>
      <c r="BG85" s="46">
        <v>0</v>
      </c>
      <c r="BH85" s="45">
        <v>36</v>
      </c>
      <c r="BI85" s="46">
        <v>100</v>
      </c>
      <c r="BJ85" s="45">
        <v>36</v>
      </c>
      <c r="BK85" s="45" t="s">
        <v>3964</v>
      </c>
      <c r="BL85" s="45" t="s">
        <v>3964</v>
      </c>
      <c r="BM85" s="45" t="s">
        <v>784</v>
      </c>
      <c r="BN85" s="45" t="s">
        <v>784</v>
      </c>
      <c r="BO85" s="45" t="s">
        <v>810</v>
      </c>
      <c r="BP85" s="45" t="s">
        <v>810</v>
      </c>
      <c r="BQ85" s="110" t="s">
        <v>4460</v>
      </c>
      <c r="BR85" s="110" t="s">
        <v>4460</v>
      </c>
      <c r="BS85" s="110" t="s">
        <v>4249</v>
      </c>
      <c r="BT85" s="110" t="s">
        <v>4249</v>
      </c>
      <c r="BU85" s="2"/>
    </row>
    <row r="86" spans="1:73" ht="15">
      <c r="A86" s="61" t="s">
        <v>300</v>
      </c>
      <c r="B86" s="62"/>
      <c r="C86" s="62"/>
      <c r="D86" s="63">
        <v>133.33333333333334</v>
      </c>
      <c r="E86" s="65"/>
      <c r="F86" s="99" t="str">
        <f>HYPERLINK("https://pbs.twimg.com/profile_images/971840564365807616/Y9P5VYMh_normal.jpg")</f>
        <v>https://pbs.twimg.com/profile_images/971840564365807616/Y9P5VYMh_normal.jpg</v>
      </c>
      <c r="G86" s="62"/>
      <c r="H86" s="66" t="s">
        <v>300</v>
      </c>
      <c r="I86" s="67"/>
      <c r="J86" s="67"/>
      <c r="K86" s="66" t="s">
        <v>2928</v>
      </c>
      <c r="L86" s="70">
        <v>49.897255698300555</v>
      </c>
      <c r="M86" s="71">
        <v>4899.6982421875</v>
      </c>
      <c r="N86" s="71">
        <v>8706.29296875</v>
      </c>
      <c r="O86" s="72"/>
      <c r="P86" s="73"/>
      <c r="Q86" s="73"/>
      <c r="R86" s="85"/>
      <c r="S86" s="45">
        <v>4</v>
      </c>
      <c r="T86" s="45">
        <v>1</v>
      </c>
      <c r="U86" s="46">
        <v>22</v>
      </c>
      <c r="V86" s="46">
        <v>0.010703</v>
      </c>
      <c r="W86" s="46">
        <v>0</v>
      </c>
      <c r="X86" s="46">
        <v>0.003769</v>
      </c>
      <c r="Y86" s="46">
        <v>0</v>
      </c>
      <c r="Z86" s="46">
        <v>0</v>
      </c>
      <c r="AA86" s="68">
        <v>86</v>
      </c>
      <c r="AB86" s="68"/>
      <c r="AC86" s="69"/>
      <c r="AD86" s="75" t="s">
        <v>1920</v>
      </c>
      <c r="AE86" s="80" t="s">
        <v>2232</v>
      </c>
      <c r="AF86" s="75">
        <v>1420</v>
      </c>
      <c r="AG86" s="75">
        <v>1425</v>
      </c>
      <c r="AH86" s="75">
        <v>24277</v>
      </c>
      <c r="AI86" s="75">
        <v>63056</v>
      </c>
      <c r="AJ86" s="75"/>
      <c r="AK86" s="75" t="s">
        <v>2469</v>
      </c>
      <c r="AL86" s="75" t="s">
        <v>2724</v>
      </c>
      <c r="AM86" s="75"/>
      <c r="AN86" s="75"/>
      <c r="AO86" s="77">
        <v>43166.499502314815</v>
      </c>
      <c r="AP86" s="75"/>
      <c r="AQ86" s="75" t="b">
        <v>1</v>
      </c>
      <c r="AR86" s="75" t="b">
        <v>0</v>
      </c>
      <c r="AS86" s="75" t="b">
        <v>0</v>
      </c>
      <c r="AT86" s="75"/>
      <c r="AU86" s="75">
        <v>2</v>
      </c>
      <c r="AV86" s="75"/>
      <c r="AW86" s="75" t="b">
        <v>0</v>
      </c>
      <c r="AX86" s="75" t="s">
        <v>2845</v>
      </c>
      <c r="AY86" s="82" t="str">
        <f>HYPERLINK("https://twitter.com/jamesfoley57")</f>
        <v>https://twitter.com/jamesfoley57</v>
      </c>
      <c r="AZ86" s="75" t="s">
        <v>66</v>
      </c>
      <c r="BA86" s="75" t="str">
        <f>REPLACE(INDEX(GroupVertices[Group],MATCH(Vertices[[#This Row],[Vertex]],GroupVertices[Vertex],0)),1,1,"")</f>
        <v>11</v>
      </c>
      <c r="BB86" s="45">
        <v>0</v>
      </c>
      <c r="BC86" s="46">
        <v>0</v>
      </c>
      <c r="BD86" s="45">
        <v>0</v>
      </c>
      <c r="BE86" s="46">
        <v>0</v>
      </c>
      <c r="BF86" s="45">
        <v>0</v>
      </c>
      <c r="BG86" s="46">
        <v>0</v>
      </c>
      <c r="BH86" s="45">
        <v>36</v>
      </c>
      <c r="BI86" s="46">
        <v>100</v>
      </c>
      <c r="BJ86" s="45">
        <v>36</v>
      </c>
      <c r="BK86" s="45" t="s">
        <v>3964</v>
      </c>
      <c r="BL86" s="45" t="s">
        <v>3964</v>
      </c>
      <c r="BM86" s="45" t="s">
        <v>784</v>
      </c>
      <c r="BN86" s="45" t="s">
        <v>784</v>
      </c>
      <c r="BO86" s="45" t="s">
        <v>810</v>
      </c>
      <c r="BP86" s="45" t="s">
        <v>810</v>
      </c>
      <c r="BQ86" s="110" t="s">
        <v>4460</v>
      </c>
      <c r="BR86" s="110" t="s">
        <v>4460</v>
      </c>
      <c r="BS86" s="110" t="s">
        <v>4249</v>
      </c>
      <c r="BT86" s="110" t="s">
        <v>4249</v>
      </c>
      <c r="BU86" s="2"/>
    </row>
    <row r="87" spans="1:73" ht="15">
      <c r="A87" s="61" t="s">
        <v>301</v>
      </c>
      <c r="B87" s="62"/>
      <c r="C87" s="62"/>
      <c r="D87" s="63">
        <v>136.36363636363637</v>
      </c>
      <c r="E87" s="65"/>
      <c r="F87" s="99" t="str">
        <f>HYPERLINK("https://pbs.twimg.com/profile_images/1509557834366787590/gNDMKO3O_normal.jpg")</f>
        <v>https://pbs.twimg.com/profile_images/1509557834366787590/gNDMKO3O_normal.jpg</v>
      </c>
      <c r="G87" s="62"/>
      <c r="H87" s="66" t="s">
        <v>301</v>
      </c>
      <c r="I87" s="67"/>
      <c r="J87" s="67"/>
      <c r="K87" s="66" t="s">
        <v>2929</v>
      </c>
      <c r="L87" s="70">
        <v>54.34246076178243</v>
      </c>
      <c r="M87" s="71">
        <v>5014.7392578125</v>
      </c>
      <c r="N87" s="71">
        <v>8227.4267578125</v>
      </c>
      <c r="O87" s="72"/>
      <c r="P87" s="73"/>
      <c r="Q87" s="73"/>
      <c r="R87" s="85"/>
      <c r="S87" s="45">
        <v>1</v>
      </c>
      <c r="T87" s="45">
        <v>1</v>
      </c>
      <c r="U87" s="46">
        <v>24</v>
      </c>
      <c r="V87" s="46">
        <v>0.012487</v>
      </c>
      <c r="W87" s="46">
        <v>0</v>
      </c>
      <c r="X87" s="46">
        <v>0.002884</v>
      </c>
      <c r="Y87" s="46">
        <v>0</v>
      </c>
      <c r="Z87" s="46">
        <v>0</v>
      </c>
      <c r="AA87" s="68">
        <v>87</v>
      </c>
      <c r="AB87" s="68"/>
      <c r="AC87" s="69"/>
      <c r="AD87" s="75" t="s">
        <v>1921</v>
      </c>
      <c r="AE87" s="80" t="s">
        <v>1691</v>
      </c>
      <c r="AF87" s="75">
        <v>2596</v>
      </c>
      <c r="AG87" s="75">
        <v>4563</v>
      </c>
      <c r="AH87" s="75">
        <v>7951</v>
      </c>
      <c r="AI87" s="75">
        <v>34768</v>
      </c>
      <c r="AJ87" s="75"/>
      <c r="AK87" s="75" t="s">
        <v>2470</v>
      </c>
      <c r="AL87" s="75" t="s">
        <v>2725</v>
      </c>
      <c r="AM87" s="75"/>
      <c r="AN87" s="75"/>
      <c r="AO87" s="77">
        <v>44151.974224537036</v>
      </c>
      <c r="AP87" s="82" t="str">
        <f>HYPERLINK("https://pbs.twimg.com/profile_banners/1328478635074990086/1648741717")</f>
        <v>https://pbs.twimg.com/profile_banners/1328478635074990086/1648741717</v>
      </c>
      <c r="AQ87" s="75" t="b">
        <v>1</v>
      </c>
      <c r="AR87" s="75" t="b">
        <v>0</v>
      </c>
      <c r="AS87" s="75" t="b">
        <v>0</v>
      </c>
      <c r="AT87" s="75"/>
      <c r="AU87" s="75">
        <v>33</v>
      </c>
      <c r="AV87" s="75"/>
      <c r="AW87" s="75" t="b">
        <v>0</v>
      </c>
      <c r="AX87" s="75" t="s">
        <v>2845</v>
      </c>
      <c r="AY87" s="82" t="str">
        <f>HYPERLINK("https://twitter.com/lucygatsby")</f>
        <v>https://twitter.com/lucygatsby</v>
      </c>
      <c r="AZ87" s="75" t="s">
        <v>66</v>
      </c>
      <c r="BA87" s="75" t="str">
        <f>REPLACE(INDEX(GroupVertices[Group],MATCH(Vertices[[#This Row],[Vertex]],GroupVertices[Vertex],0)),1,1,"")</f>
        <v>11</v>
      </c>
      <c r="BB87" s="45">
        <v>0</v>
      </c>
      <c r="BC87" s="46">
        <v>0</v>
      </c>
      <c r="BD87" s="45">
        <v>0</v>
      </c>
      <c r="BE87" s="46">
        <v>0</v>
      </c>
      <c r="BF87" s="45">
        <v>0</v>
      </c>
      <c r="BG87" s="46">
        <v>0</v>
      </c>
      <c r="BH87" s="45">
        <v>36</v>
      </c>
      <c r="BI87" s="46">
        <v>100</v>
      </c>
      <c r="BJ87" s="45">
        <v>36</v>
      </c>
      <c r="BK87" s="45" t="s">
        <v>3964</v>
      </c>
      <c r="BL87" s="45" t="s">
        <v>3964</v>
      </c>
      <c r="BM87" s="45" t="s">
        <v>784</v>
      </c>
      <c r="BN87" s="45" t="s">
        <v>784</v>
      </c>
      <c r="BO87" s="45" t="s">
        <v>810</v>
      </c>
      <c r="BP87" s="45" t="s">
        <v>810</v>
      </c>
      <c r="BQ87" s="110" t="s">
        <v>4460</v>
      </c>
      <c r="BR87" s="110" t="s">
        <v>4460</v>
      </c>
      <c r="BS87" s="110" t="s">
        <v>4249</v>
      </c>
      <c r="BT87" s="110" t="s">
        <v>4249</v>
      </c>
      <c r="BU87" s="2"/>
    </row>
    <row r="88" spans="1:73" ht="15">
      <c r="A88" s="61" t="s">
        <v>302</v>
      </c>
      <c r="B88" s="62"/>
      <c r="C88" s="62"/>
      <c r="D88" s="63">
        <v>100</v>
      </c>
      <c r="E88" s="65"/>
      <c r="F88" s="99" t="str">
        <f>HYPERLINK("https://pbs.twimg.com/profile_images/1520130069146050560/-sIvMe0C_normal.jpg")</f>
        <v>https://pbs.twimg.com/profile_images/1520130069146050560/-sIvMe0C_normal.jpg</v>
      </c>
      <c r="G88" s="62"/>
      <c r="H88" s="66" t="s">
        <v>302</v>
      </c>
      <c r="I88" s="67"/>
      <c r="J88" s="67"/>
      <c r="K88" s="66" t="s">
        <v>2930</v>
      </c>
      <c r="L88" s="70">
        <v>1</v>
      </c>
      <c r="M88" s="71">
        <v>4926.17333984375</v>
      </c>
      <c r="N88" s="71">
        <v>9358.0380859375</v>
      </c>
      <c r="O88" s="72"/>
      <c r="P88" s="73"/>
      <c r="Q88" s="73"/>
      <c r="R88" s="85"/>
      <c r="S88" s="45">
        <v>0</v>
      </c>
      <c r="T88" s="45">
        <v>1</v>
      </c>
      <c r="U88" s="46">
        <v>0</v>
      </c>
      <c r="V88" s="46">
        <v>0.007492</v>
      </c>
      <c r="W88" s="46">
        <v>0</v>
      </c>
      <c r="X88" s="46">
        <v>0.002733</v>
      </c>
      <c r="Y88" s="46">
        <v>0</v>
      </c>
      <c r="Z88" s="46">
        <v>0</v>
      </c>
      <c r="AA88" s="68">
        <v>88</v>
      </c>
      <c r="AB88" s="68"/>
      <c r="AC88" s="69"/>
      <c r="AD88" s="75" t="s">
        <v>1922</v>
      </c>
      <c r="AE88" s="80" t="s">
        <v>2233</v>
      </c>
      <c r="AF88" s="75">
        <v>375</v>
      </c>
      <c r="AG88" s="75">
        <v>372</v>
      </c>
      <c r="AH88" s="75">
        <v>12571</v>
      </c>
      <c r="AI88" s="75">
        <v>9935</v>
      </c>
      <c r="AJ88" s="75"/>
      <c r="AK88" s="75" t="s">
        <v>2471</v>
      </c>
      <c r="AL88" s="75"/>
      <c r="AM88" s="75"/>
      <c r="AN88" s="75"/>
      <c r="AO88" s="77">
        <v>41167.949594907404</v>
      </c>
      <c r="AP88" s="75"/>
      <c r="AQ88" s="75" t="b">
        <v>1</v>
      </c>
      <c r="AR88" s="75" t="b">
        <v>0</v>
      </c>
      <c r="AS88" s="75" t="b">
        <v>0</v>
      </c>
      <c r="AT88" s="75"/>
      <c r="AU88" s="75">
        <v>0</v>
      </c>
      <c r="AV88" s="82" t="str">
        <f>HYPERLINK("https://abs.twimg.com/images/themes/theme1/bg.png")</f>
        <v>https://abs.twimg.com/images/themes/theme1/bg.png</v>
      </c>
      <c r="AW88" s="75" t="b">
        <v>0</v>
      </c>
      <c r="AX88" s="75" t="s">
        <v>2845</v>
      </c>
      <c r="AY88" s="82" t="str">
        <f>HYPERLINK("https://twitter.com/100anb")</f>
        <v>https://twitter.com/100anb</v>
      </c>
      <c r="AZ88" s="75" t="s">
        <v>66</v>
      </c>
      <c r="BA88" s="75" t="str">
        <f>REPLACE(INDEX(GroupVertices[Group],MATCH(Vertices[[#This Row],[Vertex]],GroupVertices[Vertex],0)),1,1,"")</f>
        <v>11</v>
      </c>
      <c r="BB88" s="45">
        <v>0</v>
      </c>
      <c r="BC88" s="46">
        <v>0</v>
      </c>
      <c r="BD88" s="45">
        <v>0</v>
      </c>
      <c r="BE88" s="46">
        <v>0</v>
      </c>
      <c r="BF88" s="45">
        <v>0</v>
      </c>
      <c r="BG88" s="46">
        <v>0</v>
      </c>
      <c r="BH88" s="45">
        <v>36</v>
      </c>
      <c r="BI88" s="46">
        <v>100</v>
      </c>
      <c r="BJ88" s="45">
        <v>36</v>
      </c>
      <c r="BK88" s="45" t="s">
        <v>3964</v>
      </c>
      <c r="BL88" s="45" t="s">
        <v>3964</v>
      </c>
      <c r="BM88" s="45" t="s">
        <v>784</v>
      </c>
      <c r="BN88" s="45" t="s">
        <v>784</v>
      </c>
      <c r="BO88" s="45" t="s">
        <v>810</v>
      </c>
      <c r="BP88" s="45" t="s">
        <v>810</v>
      </c>
      <c r="BQ88" s="110" t="s">
        <v>4460</v>
      </c>
      <c r="BR88" s="110" t="s">
        <v>4460</v>
      </c>
      <c r="BS88" s="110" t="s">
        <v>4249</v>
      </c>
      <c r="BT88" s="110" t="s">
        <v>4249</v>
      </c>
      <c r="BU88" s="2"/>
    </row>
    <row r="89" spans="1:73" ht="15">
      <c r="A89" s="61" t="s">
        <v>303</v>
      </c>
      <c r="B89" s="62"/>
      <c r="C89" s="62"/>
      <c r="D89" s="63">
        <v>100</v>
      </c>
      <c r="E89" s="65"/>
      <c r="F89" s="99" t="str">
        <f>HYPERLINK("https://pbs.twimg.com/profile_images/1567776969344913408/0nD1ET8I_normal.jpg")</f>
        <v>https://pbs.twimg.com/profile_images/1567776969344913408/0nD1ET8I_normal.jpg</v>
      </c>
      <c r="G89" s="62"/>
      <c r="H89" s="66" t="s">
        <v>303</v>
      </c>
      <c r="I89" s="67"/>
      <c r="J89" s="67"/>
      <c r="K89" s="66" t="s">
        <v>2931</v>
      </c>
      <c r="L89" s="70">
        <v>1</v>
      </c>
      <c r="M89" s="71">
        <v>384.1079406738281</v>
      </c>
      <c r="N89" s="71">
        <v>1698.548095703125</v>
      </c>
      <c r="O89" s="72"/>
      <c r="P89" s="73"/>
      <c r="Q89" s="73"/>
      <c r="R89" s="85"/>
      <c r="S89" s="45">
        <v>1</v>
      </c>
      <c r="T89" s="45">
        <v>1</v>
      </c>
      <c r="U89" s="46">
        <v>0</v>
      </c>
      <c r="V89" s="46">
        <v>0</v>
      </c>
      <c r="W89" s="46">
        <v>0</v>
      </c>
      <c r="X89" s="46">
        <v>0.003049</v>
      </c>
      <c r="Y89" s="46">
        <v>0</v>
      </c>
      <c r="Z89" s="46">
        <v>0</v>
      </c>
      <c r="AA89" s="68">
        <v>89</v>
      </c>
      <c r="AB89" s="68"/>
      <c r="AC89" s="69"/>
      <c r="AD89" s="75" t="s">
        <v>1923</v>
      </c>
      <c r="AE89" s="80" t="s">
        <v>1686</v>
      </c>
      <c r="AF89" s="75">
        <v>19</v>
      </c>
      <c r="AG89" s="75">
        <v>47</v>
      </c>
      <c r="AH89" s="75">
        <v>86</v>
      </c>
      <c r="AI89" s="75">
        <v>7</v>
      </c>
      <c r="AJ89" s="75"/>
      <c r="AK89" s="75" t="s">
        <v>2472</v>
      </c>
      <c r="AL89" s="75"/>
      <c r="AM89" s="75"/>
      <c r="AN89" s="75"/>
      <c r="AO89" s="77">
        <v>44812.31141203704</v>
      </c>
      <c r="AP89" s="82" t="str">
        <f>HYPERLINK("https://pbs.twimg.com/profile_banners/1567776689333100550/1662747118")</f>
        <v>https://pbs.twimg.com/profile_banners/1567776689333100550/1662747118</v>
      </c>
      <c r="AQ89" s="75" t="b">
        <v>1</v>
      </c>
      <c r="AR89" s="75" t="b">
        <v>0</v>
      </c>
      <c r="AS89" s="75" t="b">
        <v>0</v>
      </c>
      <c r="AT89" s="75"/>
      <c r="AU89" s="75">
        <v>0</v>
      </c>
      <c r="AV89" s="75"/>
      <c r="AW89" s="75" t="b">
        <v>0</v>
      </c>
      <c r="AX89" s="75" t="s">
        <v>2845</v>
      </c>
      <c r="AY89" s="82" t="str">
        <f>HYPERLINK("https://twitter.com/uutis_huone")</f>
        <v>https://twitter.com/uutis_huone</v>
      </c>
      <c r="AZ89" s="75" t="s">
        <v>66</v>
      </c>
      <c r="BA89" s="75" t="str">
        <f>REPLACE(INDEX(GroupVertices[Group],MATCH(Vertices[[#This Row],[Vertex]],GroupVertices[Vertex],0)),1,1,"")</f>
        <v>2</v>
      </c>
      <c r="BB89" s="45">
        <v>0</v>
      </c>
      <c r="BC89" s="46">
        <v>0</v>
      </c>
      <c r="BD89" s="45">
        <v>0</v>
      </c>
      <c r="BE89" s="46">
        <v>0</v>
      </c>
      <c r="BF89" s="45">
        <v>0</v>
      </c>
      <c r="BG89" s="46">
        <v>0</v>
      </c>
      <c r="BH89" s="45">
        <v>28</v>
      </c>
      <c r="BI89" s="46">
        <v>100</v>
      </c>
      <c r="BJ89" s="45">
        <v>28</v>
      </c>
      <c r="BK89" s="45"/>
      <c r="BL89" s="45"/>
      <c r="BM89" s="45"/>
      <c r="BN89" s="45"/>
      <c r="BO89" s="45"/>
      <c r="BP89" s="45"/>
      <c r="BQ89" s="110" t="s">
        <v>4461</v>
      </c>
      <c r="BR89" s="110" t="s">
        <v>4461</v>
      </c>
      <c r="BS89" s="110" t="s">
        <v>4581</v>
      </c>
      <c r="BT89" s="110" t="s">
        <v>4581</v>
      </c>
      <c r="BU89" s="2"/>
    </row>
    <row r="90" spans="1:73" ht="15">
      <c r="A90" s="61" t="s">
        <v>305</v>
      </c>
      <c r="B90" s="62"/>
      <c r="C90" s="62"/>
      <c r="D90" s="63">
        <v>100</v>
      </c>
      <c r="E90" s="65"/>
      <c r="F90" s="99" t="str">
        <f>HYPERLINK("https://pbs.twimg.com/profile_images/1566908630728904706/exCnr2Ju_normal.jpg")</f>
        <v>https://pbs.twimg.com/profile_images/1566908630728904706/exCnr2Ju_normal.jpg</v>
      </c>
      <c r="G90" s="62"/>
      <c r="H90" s="66" t="s">
        <v>305</v>
      </c>
      <c r="I90" s="67"/>
      <c r="J90" s="67"/>
      <c r="K90" s="66" t="s">
        <v>2932</v>
      </c>
      <c r="L90" s="70">
        <v>1</v>
      </c>
      <c r="M90" s="71">
        <v>664.5676879882812</v>
      </c>
      <c r="N90" s="71">
        <v>1698.548095703125</v>
      </c>
      <c r="O90" s="72"/>
      <c r="P90" s="73"/>
      <c r="Q90" s="73"/>
      <c r="R90" s="85"/>
      <c r="S90" s="45">
        <v>1</v>
      </c>
      <c r="T90" s="45">
        <v>1</v>
      </c>
      <c r="U90" s="46">
        <v>0</v>
      </c>
      <c r="V90" s="46">
        <v>0</v>
      </c>
      <c r="W90" s="46">
        <v>0</v>
      </c>
      <c r="X90" s="46">
        <v>0.003049</v>
      </c>
      <c r="Y90" s="46">
        <v>0</v>
      </c>
      <c r="Z90" s="46">
        <v>0</v>
      </c>
      <c r="AA90" s="68">
        <v>90</v>
      </c>
      <c r="AB90" s="68"/>
      <c r="AC90" s="69"/>
      <c r="AD90" s="75" t="s">
        <v>1924</v>
      </c>
      <c r="AE90" s="80" t="s">
        <v>2234</v>
      </c>
      <c r="AF90" s="75">
        <v>94</v>
      </c>
      <c r="AG90" s="75">
        <v>47</v>
      </c>
      <c r="AH90" s="75">
        <v>627</v>
      </c>
      <c r="AI90" s="75">
        <v>1920</v>
      </c>
      <c r="AJ90" s="75"/>
      <c r="AK90" s="75" t="s">
        <v>2473</v>
      </c>
      <c r="AL90" s="75" t="s">
        <v>2726</v>
      </c>
      <c r="AM90" s="75"/>
      <c r="AN90" s="75"/>
      <c r="AO90" s="77">
        <v>44809.913773148146</v>
      </c>
      <c r="AP90" s="82" t="str">
        <f>HYPERLINK("https://pbs.twimg.com/profile_banners/1566907918406098947/1663074326")</f>
        <v>https://pbs.twimg.com/profile_banners/1566907918406098947/1663074326</v>
      </c>
      <c r="AQ90" s="75" t="b">
        <v>1</v>
      </c>
      <c r="AR90" s="75" t="b">
        <v>0</v>
      </c>
      <c r="AS90" s="75" t="b">
        <v>1</v>
      </c>
      <c r="AT90" s="75"/>
      <c r="AU90" s="75">
        <v>0</v>
      </c>
      <c r="AV90" s="75"/>
      <c r="AW90" s="75" t="b">
        <v>0</v>
      </c>
      <c r="AX90" s="75" t="s">
        <v>2845</v>
      </c>
      <c r="AY90" s="82" t="str">
        <f>HYPERLINK("https://twitter.com/tovarischbot")</f>
        <v>https://twitter.com/tovarischbot</v>
      </c>
      <c r="AZ90" s="75" t="s">
        <v>66</v>
      </c>
      <c r="BA90" s="75" t="str">
        <f>REPLACE(INDEX(GroupVertices[Group],MATCH(Vertices[[#This Row],[Vertex]],GroupVertices[Vertex],0)),1,1,"")</f>
        <v>2</v>
      </c>
      <c r="BB90" s="45">
        <v>0</v>
      </c>
      <c r="BC90" s="46">
        <v>0</v>
      </c>
      <c r="BD90" s="45">
        <v>0</v>
      </c>
      <c r="BE90" s="46">
        <v>0</v>
      </c>
      <c r="BF90" s="45">
        <v>0</v>
      </c>
      <c r="BG90" s="46">
        <v>0</v>
      </c>
      <c r="BH90" s="45">
        <v>1</v>
      </c>
      <c r="BI90" s="46">
        <v>100</v>
      </c>
      <c r="BJ90" s="45">
        <v>1</v>
      </c>
      <c r="BK90" s="45"/>
      <c r="BL90" s="45"/>
      <c r="BM90" s="45"/>
      <c r="BN90" s="45"/>
      <c r="BO90" s="45" t="s">
        <v>795</v>
      </c>
      <c r="BP90" s="45" t="s">
        <v>795</v>
      </c>
      <c r="BQ90" s="110" t="s">
        <v>3260</v>
      </c>
      <c r="BR90" s="110" t="s">
        <v>3260</v>
      </c>
      <c r="BS90" s="110" t="s">
        <v>1674</v>
      </c>
      <c r="BT90" s="110" t="s">
        <v>1674</v>
      </c>
      <c r="BU90" s="2"/>
    </row>
    <row r="91" spans="1:73" ht="15">
      <c r="A91" s="61" t="s">
        <v>306</v>
      </c>
      <c r="B91" s="62"/>
      <c r="C91" s="62"/>
      <c r="D91" s="63">
        <v>103.03030303030303</v>
      </c>
      <c r="E91" s="65"/>
      <c r="F91" s="99" t="str">
        <f>HYPERLINK("https://pbs.twimg.com/profile_images/1538514670276968449/2Yvjy-nR_normal.jpg")</f>
        <v>https://pbs.twimg.com/profile_images/1538514670276968449/2Yvjy-nR_normal.jpg</v>
      </c>
      <c r="G91" s="62"/>
      <c r="H91" s="66" t="s">
        <v>306</v>
      </c>
      <c r="I91" s="67"/>
      <c r="J91" s="67"/>
      <c r="K91" s="66" t="s">
        <v>2933</v>
      </c>
      <c r="L91" s="70">
        <v>5.445205063481868</v>
      </c>
      <c r="M91" s="71">
        <v>7151.7236328125</v>
      </c>
      <c r="N91" s="71">
        <v>849.2740478515625</v>
      </c>
      <c r="O91" s="72"/>
      <c r="P91" s="73"/>
      <c r="Q91" s="73"/>
      <c r="R91" s="85"/>
      <c r="S91" s="45">
        <v>0</v>
      </c>
      <c r="T91" s="45">
        <v>2</v>
      </c>
      <c r="U91" s="46">
        <v>2</v>
      </c>
      <c r="V91" s="46">
        <v>0.006116</v>
      </c>
      <c r="W91" s="46">
        <v>0</v>
      </c>
      <c r="X91" s="46">
        <v>0.003446</v>
      </c>
      <c r="Y91" s="46">
        <v>0</v>
      </c>
      <c r="Z91" s="46">
        <v>0</v>
      </c>
      <c r="AA91" s="68">
        <v>91</v>
      </c>
      <c r="AB91" s="68"/>
      <c r="AC91" s="69"/>
      <c r="AD91" s="75" t="s">
        <v>1925</v>
      </c>
      <c r="AE91" s="80" t="s">
        <v>2235</v>
      </c>
      <c r="AF91" s="75">
        <v>40</v>
      </c>
      <c r="AG91" s="75">
        <v>7</v>
      </c>
      <c r="AH91" s="75">
        <v>167</v>
      </c>
      <c r="AI91" s="75">
        <v>37</v>
      </c>
      <c r="AJ91" s="75"/>
      <c r="AK91" s="75" t="s">
        <v>2474</v>
      </c>
      <c r="AL91" s="75" t="s">
        <v>2727</v>
      </c>
      <c r="AM91" s="82" t="str">
        <f>HYPERLINK("https://t.co/0gt42IjBZX")</f>
        <v>https://t.co/0gt42IjBZX</v>
      </c>
      <c r="AN91" s="75"/>
      <c r="AO91" s="77">
        <v>44731.556805555556</v>
      </c>
      <c r="AP91" s="82" t="str">
        <f>HYPERLINK("https://pbs.twimg.com/profile_banners/1538512320581836802/1655645387")</f>
        <v>https://pbs.twimg.com/profile_banners/1538512320581836802/1655645387</v>
      </c>
      <c r="AQ91" s="75" t="b">
        <v>1</v>
      </c>
      <c r="AR91" s="75" t="b">
        <v>0</v>
      </c>
      <c r="AS91" s="75" t="b">
        <v>0</v>
      </c>
      <c r="AT91" s="75"/>
      <c r="AU91" s="75">
        <v>0</v>
      </c>
      <c r="AV91" s="75"/>
      <c r="AW91" s="75" t="b">
        <v>0</v>
      </c>
      <c r="AX91" s="75" t="s">
        <v>2845</v>
      </c>
      <c r="AY91" s="82" t="str">
        <f>HYPERLINK("https://twitter.com/conservatnik228")</f>
        <v>https://twitter.com/conservatnik228</v>
      </c>
      <c r="AZ91" s="75" t="s">
        <v>66</v>
      </c>
      <c r="BA91" s="75" t="str">
        <f>REPLACE(INDEX(GroupVertices[Group],MATCH(Vertices[[#This Row],[Vertex]],GroupVertices[Vertex],0)),1,1,"")</f>
        <v>36</v>
      </c>
      <c r="BB91" s="45">
        <v>0</v>
      </c>
      <c r="BC91" s="46">
        <v>0</v>
      </c>
      <c r="BD91" s="45">
        <v>0</v>
      </c>
      <c r="BE91" s="46">
        <v>0</v>
      </c>
      <c r="BF91" s="45">
        <v>0</v>
      </c>
      <c r="BG91" s="46">
        <v>0</v>
      </c>
      <c r="BH91" s="45">
        <v>6</v>
      </c>
      <c r="BI91" s="46">
        <v>100</v>
      </c>
      <c r="BJ91" s="45">
        <v>6</v>
      </c>
      <c r="BK91" s="45"/>
      <c r="BL91" s="45"/>
      <c r="BM91" s="45"/>
      <c r="BN91" s="45"/>
      <c r="BO91" s="45" t="s">
        <v>816</v>
      </c>
      <c r="BP91" s="45" t="s">
        <v>816</v>
      </c>
      <c r="BQ91" s="110" t="s">
        <v>4462</v>
      </c>
      <c r="BR91" s="110" t="s">
        <v>4462</v>
      </c>
      <c r="BS91" s="110" t="s">
        <v>4582</v>
      </c>
      <c r="BT91" s="110" t="s">
        <v>4582</v>
      </c>
      <c r="BU91" s="2"/>
    </row>
    <row r="92" spans="1:73" ht="15">
      <c r="A92" s="61" t="s">
        <v>466</v>
      </c>
      <c r="B92" s="62"/>
      <c r="C92" s="62"/>
      <c r="D92" s="63">
        <v>100</v>
      </c>
      <c r="E92" s="65"/>
      <c r="F92" s="99" t="str">
        <f>HYPERLINK("https://pbs.twimg.com/profile_images/1483548817194688513/9wQBbgZf_normal.jpg")</f>
        <v>https://pbs.twimg.com/profile_images/1483548817194688513/9wQBbgZf_normal.jpg</v>
      </c>
      <c r="G92" s="62"/>
      <c r="H92" s="66" t="s">
        <v>466</v>
      </c>
      <c r="I92" s="67"/>
      <c r="J92" s="67"/>
      <c r="K92" s="66" t="s">
        <v>2934</v>
      </c>
      <c r="L92" s="70">
        <v>1</v>
      </c>
      <c r="M92" s="71">
        <v>7151.7236328125</v>
      </c>
      <c r="N92" s="71">
        <v>1265.8990478515625</v>
      </c>
      <c r="O92" s="72"/>
      <c r="P92" s="73"/>
      <c r="Q92" s="73"/>
      <c r="R92" s="85"/>
      <c r="S92" s="45">
        <v>1</v>
      </c>
      <c r="T92" s="45">
        <v>0</v>
      </c>
      <c r="U92" s="46">
        <v>0</v>
      </c>
      <c r="V92" s="46">
        <v>0.004077</v>
      </c>
      <c r="W92" s="46">
        <v>0</v>
      </c>
      <c r="X92" s="46">
        <v>0.00285</v>
      </c>
      <c r="Y92" s="46">
        <v>0</v>
      </c>
      <c r="Z92" s="46">
        <v>0</v>
      </c>
      <c r="AA92" s="68">
        <v>92</v>
      </c>
      <c r="AB92" s="68"/>
      <c r="AC92" s="69"/>
      <c r="AD92" s="75" t="s">
        <v>1926</v>
      </c>
      <c r="AE92" s="80" t="s">
        <v>2236</v>
      </c>
      <c r="AF92" s="75">
        <v>1145</v>
      </c>
      <c r="AG92" s="75">
        <v>47169</v>
      </c>
      <c r="AH92" s="75">
        <v>10163</v>
      </c>
      <c r="AI92" s="75">
        <v>9182</v>
      </c>
      <c r="AJ92" s="75"/>
      <c r="AK92" s="75" t="s">
        <v>2475</v>
      </c>
      <c r="AL92" s="75" t="s">
        <v>2728</v>
      </c>
      <c r="AM92" s="82" t="str">
        <f>HYPERLINK("https://t.co/rqKMLksSqt")</f>
        <v>https://t.co/rqKMLksSqt</v>
      </c>
      <c r="AN92" s="75"/>
      <c r="AO92" s="77">
        <v>41659.15623842592</v>
      </c>
      <c r="AP92" s="82" t="str">
        <f>HYPERLINK("https://pbs.twimg.com/profile_banners/2300716447/1627079358")</f>
        <v>https://pbs.twimg.com/profile_banners/2300716447/1627079358</v>
      </c>
      <c r="AQ92" s="75" t="b">
        <v>0</v>
      </c>
      <c r="AR92" s="75" t="b">
        <v>0</v>
      </c>
      <c r="AS92" s="75" t="b">
        <v>0</v>
      </c>
      <c r="AT92" s="75"/>
      <c r="AU92" s="75">
        <v>462</v>
      </c>
      <c r="AV92" s="82" t="str">
        <f>HYPERLINK("https://abs.twimg.com/images/themes/theme14/bg.gif")</f>
        <v>https://abs.twimg.com/images/themes/theme14/bg.gif</v>
      </c>
      <c r="AW92" s="75" t="b">
        <v>0</v>
      </c>
      <c r="AX92" s="75" t="s">
        <v>2845</v>
      </c>
      <c r="AY92" s="82" t="str">
        <f>HYPERLINK("https://twitter.com/spiritofho")</f>
        <v>https://twitter.com/spiritofho</v>
      </c>
      <c r="AZ92" s="75" t="s">
        <v>65</v>
      </c>
      <c r="BA92" s="75" t="str">
        <f>REPLACE(INDEX(GroupVertices[Group],MATCH(Vertices[[#This Row],[Vertex]],GroupVertices[Vertex],0)),1,1,"")</f>
        <v>36</v>
      </c>
      <c r="BB92" s="45"/>
      <c r="BC92" s="46"/>
      <c r="BD92" s="45"/>
      <c r="BE92" s="46"/>
      <c r="BF92" s="45"/>
      <c r="BG92" s="46"/>
      <c r="BH92" s="45"/>
      <c r="BI92" s="46"/>
      <c r="BJ92" s="45"/>
      <c r="BK92" s="45"/>
      <c r="BL92" s="45"/>
      <c r="BM92" s="45"/>
      <c r="BN92" s="45"/>
      <c r="BO92" s="45"/>
      <c r="BP92" s="45"/>
      <c r="BQ92" s="45"/>
      <c r="BR92" s="45"/>
      <c r="BS92" s="45"/>
      <c r="BT92" s="45"/>
      <c r="BU92" s="2"/>
    </row>
    <row r="93" spans="1:73" ht="15">
      <c r="A93" s="61" t="s">
        <v>467</v>
      </c>
      <c r="B93" s="62"/>
      <c r="C93" s="62"/>
      <c r="D93" s="63">
        <v>100</v>
      </c>
      <c r="E93" s="65"/>
      <c r="F93" s="99" t="str">
        <f>HYPERLINK("https://pbs.twimg.com/profile_images/1565262948800536576/CWUB-x50_normal.jpg")</f>
        <v>https://pbs.twimg.com/profile_images/1565262948800536576/CWUB-x50_normal.jpg</v>
      </c>
      <c r="G93" s="62"/>
      <c r="H93" s="66" t="s">
        <v>467</v>
      </c>
      <c r="I93" s="67"/>
      <c r="J93" s="67"/>
      <c r="K93" s="66" t="s">
        <v>2935</v>
      </c>
      <c r="L93" s="70">
        <v>1</v>
      </c>
      <c r="M93" s="71">
        <v>7310.24462890625</v>
      </c>
      <c r="N93" s="71">
        <v>1265.8990478515625</v>
      </c>
      <c r="O93" s="72"/>
      <c r="P93" s="73"/>
      <c r="Q93" s="73"/>
      <c r="R93" s="85"/>
      <c r="S93" s="45">
        <v>1</v>
      </c>
      <c r="T93" s="45">
        <v>0</v>
      </c>
      <c r="U93" s="46">
        <v>0</v>
      </c>
      <c r="V93" s="46">
        <v>0.004077</v>
      </c>
      <c r="W93" s="46">
        <v>0</v>
      </c>
      <c r="X93" s="46">
        <v>0.00285</v>
      </c>
      <c r="Y93" s="46">
        <v>0</v>
      </c>
      <c r="Z93" s="46">
        <v>0</v>
      </c>
      <c r="AA93" s="68">
        <v>93</v>
      </c>
      <c r="AB93" s="68"/>
      <c r="AC93" s="69"/>
      <c r="AD93" s="75" t="s">
        <v>1927</v>
      </c>
      <c r="AE93" s="80" t="s">
        <v>1687</v>
      </c>
      <c r="AF93" s="75">
        <v>1799</v>
      </c>
      <c r="AG93" s="75">
        <v>1410</v>
      </c>
      <c r="AH93" s="75">
        <v>30302</v>
      </c>
      <c r="AI93" s="75">
        <v>110661</v>
      </c>
      <c r="AJ93" s="75"/>
      <c r="AK93" s="75" t="s">
        <v>2476</v>
      </c>
      <c r="AL93" s="75" t="s">
        <v>2729</v>
      </c>
      <c r="AM93" s="82" t="str">
        <f>HYPERLINK("https://t.co/MSoSwQaoFy")</f>
        <v>https://t.co/MSoSwQaoFy</v>
      </c>
      <c r="AN93" s="75"/>
      <c r="AO93" s="77">
        <v>44063.39649305555</v>
      </c>
      <c r="AP93" s="82" t="str">
        <f>HYPERLINK("https://pbs.twimg.com/profile_banners/1296379145795010563/1661823186")</f>
        <v>https://pbs.twimg.com/profile_banners/1296379145795010563/1661823186</v>
      </c>
      <c r="AQ93" s="75" t="b">
        <v>1</v>
      </c>
      <c r="AR93" s="75" t="b">
        <v>0</v>
      </c>
      <c r="AS93" s="75" t="b">
        <v>0</v>
      </c>
      <c r="AT93" s="75"/>
      <c r="AU93" s="75">
        <v>6</v>
      </c>
      <c r="AV93" s="75"/>
      <c r="AW93" s="75" t="b">
        <v>0</v>
      </c>
      <c r="AX93" s="75" t="s">
        <v>2845</v>
      </c>
      <c r="AY93" s="82" t="str">
        <f>HYPERLINK("https://twitter.com/galantias1")</f>
        <v>https://twitter.com/galantias1</v>
      </c>
      <c r="AZ93" s="75" t="s">
        <v>65</v>
      </c>
      <c r="BA93" s="75" t="str">
        <f>REPLACE(INDEX(GroupVertices[Group],MATCH(Vertices[[#This Row],[Vertex]],GroupVertices[Vertex],0)),1,1,"")</f>
        <v>36</v>
      </c>
      <c r="BB93" s="45"/>
      <c r="BC93" s="46"/>
      <c r="BD93" s="45"/>
      <c r="BE93" s="46"/>
      <c r="BF93" s="45"/>
      <c r="BG93" s="46"/>
      <c r="BH93" s="45"/>
      <c r="BI93" s="46"/>
      <c r="BJ93" s="45"/>
      <c r="BK93" s="45"/>
      <c r="BL93" s="45"/>
      <c r="BM93" s="45"/>
      <c r="BN93" s="45"/>
      <c r="BO93" s="45"/>
      <c r="BP93" s="45"/>
      <c r="BQ93" s="45"/>
      <c r="BR93" s="45"/>
      <c r="BS93" s="45"/>
      <c r="BT93" s="45"/>
      <c r="BU93" s="2"/>
    </row>
    <row r="94" spans="1:73" ht="15">
      <c r="A94" s="61" t="s">
        <v>307</v>
      </c>
      <c r="B94" s="62"/>
      <c r="C94" s="62"/>
      <c r="D94" s="63">
        <v>100</v>
      </c>
      <c r="E94" s="65"/>
      <c r="F94" s="99" t="str">
        <f>HYPERLINK("https://pbs.twimg.com/profile_images/1422664588764581899/YvC3GDY-_normal.jpg")</f>
        <v>https://pbs.twimg.com/profile_images/1422664588764581899/YvC3GDY-_normal.jpg</v>
      </c>
      <c r="G94" s="62"/>
      <c r="H94" s="66" t="s">
        <v>307</v>
      </c>
      <c r="I94" s="67"/>
      <c r="J94" s="67"/>
      <c r="K94" s="66" t="s">
        <v>2936</v>
      </c>
      <c r="L94" s="70">
        <v>1</v>
      </c>
      <c r="M94" s="71">
        <v>2723.8671875</v>
      </c>
      <c r="N94" s="71">
        <v>4289.845703125</v>
      </c>
      <c r="O94" s="72"/>
      <c r="P94" s="73"/>
      <c r="Q94" s="73"/>
      <c r="R94" s="85"/>
      <c r="S94" s="45">
        <v>0</v>
      </c>
      <c r="T94" s="45">
        <v>1</v>
      </c>
      <c r="U94" s="46">
        <v>0</v>
      </c>
      <c r="V94" s="46">
        <v>0.025254</v>
      </c>
      <c r="W94" s="46">
        <v>0</v>
      </c>
      <c r="X94" s="46">
        <v>0.002672</v>
      </c>
      <c r="Y94" s="46">
        <v>0</v>
      </c>
      <c r="Z94" s="46">
        <v>0</v>
      </c>
      <c r="AA94" s="68">
        <v>94</v>
      </c>
      <c r="AB94" s="68"/>
      <c r="AC94" s="69"/>
      <c r="AD94" s="75" t="s">
        <v>1928</v>
      </c>
      <c r="AE94" s="80" t="s">
        <v>2237</v>
      </c>
      <c r="AF94" s="75">
        <v>41</v>
      </c>
      <c r="AG94" s="75">
        <v>23</v>
      </c>
      <c r="AH94" s="75">
        <v>3267</v>
      </c>
      <c r="AI94" s="75">
        <v>26</v>
      </c>
      <c r="AJ94" s="75"/>
      <c r="AK94" s="75"/>
      <c r="AL94" s="75"/>
      <c r="AM94" s="75"/>
      <c r="AN94" s="75"/>
      <c r="AO94" s="77">
        <v>41290.46231481482</v>
      </c>
      <c r="AP94" s="75"/>
      <c r="AQ94" s="75" t="b">
        <v>1</v>
      </c>
      <c r="AR94" s="75" t="b">
        <v>0</v>
      </c>
      <c r="AS94" s="75" t="b">
        <v>0</v>
      </c>
      <c r="AT94" s="75"/>
      <c r="AU94" s="75">
        <v>0</v>
      </c>
      <c r="AV94" s="82" t="str">
        <f>HYPERLINK("https://abs.twimg.com/images/themes/theme1/bg.png")</f>
        <v>https://abs.twimg.com/images/themes/theme1/bg.png</v>
      </c>
      <c r="AW94" s="75" t="b">
        <v>0</v>
      </c>
      <c r="AX94" s="75" t="s">
        <v>2845</v>
      </c>
      <c r="AY94" s="82" t="str">
        <f>HYPERLINK("https://twitter.com/argubadebo")</f>
        <v>https://twitter.com/argubadebo</v>
      </c>
      <c r="AZ94" s="75" t="s">
        <v>66</v>
      </c>
      <c r="BA94" s="75" t="str">
        <f>REPLACE(INDEX(GroupVertices[Group],MATCH(Vertices[[#This Row],[Vertex]],GroupVertices[Vertex],0)),1,1,"")</f>
        <v>5</v>
      </c>
      <c r="BB94" s="45">
        <v>1</v>
      </c>
      <c r="BC94" s="46">
        <v>2.5641025641025643</v>
      </c>
      <c r="BD94" s="45">
        <v>0</v>
      </c>
      <c r="BE94" s="46">
        <v>0</v>
      </c>
      <c r="BF94" s="45">
        <v>0</v>
      </c>
      <c r="BG94" s="46">
        <v>0</v>
      </c>
      <c r="BH94" s="45">
        <v>38</v>
      </c>
      <c r="BI94" s="46">
        <v>97.43589743589743</v>
      </c>
      <c r="BJ94" s="45">
        <v>39</v>
      </c>
      <c r="BK94" s="45"/>
      <c r="BL94" s="45"/>
      <c r="BM94" s="45"/>
      <c r="BN94" s="45"/>
      <c r="BO94" s="45" t="s">
        <v>808</v>
      </c>
      <c r="BP94" s="45" t="s">
        <v>808</v>
      </c>
      <c r="BQ94" s="110" t="s">
        <v>4106</v>
      </c>
      <c r="BR94" s="110" t="s">
        <v>4106</v>
      </c>
      <c r="BS94" s="110" t="s">
        <v>4244</v>
      </c>
      <c r="BT94" s="110" t="s">
        <v>4244</v>
      </c>
      <c r="BU94" s="2"/>
    </row>
    <row r="95" spans="1:73" ht="15">
      <c r="A95" s="61" t="s">
        <v>308</v>
      </c>
      <c r="B95" s="62"/>
      <c r="C95" s="62"/>
      <c r="D95" s="63">
        <v>130.3030303030303</v>
      </c>
      <c r="E95" s="65"/>
      <c r="F95" s="99" t="str">
        <f>HYPERLINK("https://pbs.twimg.com/profile_images/892670013445988352/jO9x6lOy_normal.jpg")</f>
        <v>https://pbs.twimg.com/profile_images/892670013445988352/jO9x6lOy_normal.jpg</v>
      </c>
      <c r="G95" s="62"/>
      <c r="H95" s="66" t="s">
        <v>308</v>
      </c>
      <c r="I95" s="67"/>
      <c r="J95" s="67"/>
      <c r="K95" s="66" t="s">
        <v>2937</v>
      </c>
      <c r="L95" s="70">
        <v>45.45205063481869</v>
      </c>
      <c r="M95" s="71">
        <v>5904.87744140625</v>
      </c>
      <c r="N95" s="71">
        <v>8603.212890625</v>
      </c>
      <c r="O95" s="72"/>
      <c r="P95" s="73"/>
      <c r="Q95" s="73"/>
      <c r="R95" s="85"/>
      <c r="S95" s="45">
        <v>1</v>
      </c>
      <c r="T95" s="45">
        <v>6</v>
      </c>
      <c r="U95" s="46">
        <v>20</v>
      </c>
      <c r="V95" s="46">
        <v>0.015291</v>
      </c>
      <c r="W95" s="46">
        <v>0</v>
      </c>
      <c r="X95" s="46">
        <v>0.004743</v>
      </c>
      <c r="Y95" s="46">
        <v>0</v>
      </c>
      <c r="Z95" s="46">
        <v>0</v>
      </c>
      <c r="AA95" s="68">
        <v>95</v>
      </c>
      <c r="AB95" s="68"/>
      <c r="AC95" s="69"/>
      <c r="AD95" s="75" t="s">
        <v>1929</v>
      </c>
      <c r="AE95" s="80" t="s">
        <v>2238</v>
      </c>
      <c r="AF95" s="75">
        <v>150</v>
      </c>
      <c r="AG95" s="75">
        <v>34</v>
      </c>
      <c r="AH95" s="75">
        <v>3881</v>
      </c>
      <c r="AI95" s="75">
        <v>9</v>
      </c>
      <c r="AJ95" s="75"/>
      <c r="AK95" s="75" t="s">
        <v>2477</v>
      </c>
      <c r="AL95" s="75" t="s">
        <v>2730</v>
      </c>
      <c r="AM95" s="82" t="str">
        <f>HYPERLINK("https://t.co/5Nl7NfzYmI")</f>
        <v>https://t.co/5Nl7NfzYmI</v>
      </c>
      <c r="AN95" s="75"/>
      <c r="AO95" s="77">
        <v>42949.35836805555</v>
      </c>
      <c r="AP95" s="82" t="str">
        <f>HYPERLINK("https://pbs.twimg.com/profile_banners/892665285588770816/1501664066")</f>
        <v>https://pbs.twimg.com/profile_banners/892665285588770816/1501664066</v>
      </c>
      <c r="AQ95" s="75" t="b">
        <v>1</v>
      </c>
      <c r="AR95" s="75" t="b">
        <v>0</v>
      </c>
      <c r="AS95" s="75" t="b">
        <v>0</v>
      </c>
      <c r="AT95" s="75"/>
      <c r="AU95" s="75">
        <v>3</v>
      </c>
      <c r="AV95" s="75"/>
      <c r="AW95" s="75" t="b">
        <v>0</v>
      </c>
      <c r="AX95" s="75" t="s">
        <v>2845</v>
      </c>
      <c r="AY95" s="82" t="str">
        <f>HYPERLINK("https://twitter.com/realpasitapani")</f>
        <v>https://twitter.com/realpasitapani</v>
      </c>
      <c r="AZ95" s="75" t="s">
        <v>66</v>
      </c>
      <c r="BA95" s="75" t="str">
        <f>REPLACE(INDEX(GroupVertices[Group],MATCH(Vertices[[#This Row],[Vertex]],GroupVertices[Vertex],0)),1,1,"")</f>
        <v>14</v>
      </c>
      <c r="BB95" s="45">
        <v>0</v>
      </c>
      <c r="BC95" s="46">
        <v>0</v>
      </c>
      <c r="BD95" s="45">
        <v>0</v>
      </c>
      <c r="BE95" s="46">
        <v>0</v>
      </c>
      <c r="BF95" s="45">
        <v>0</v>
      </c>
      <c r="BG95" s="46">
        <v>0</v>
      </c>
      <c r="BH95" s="45">
        <v>40</v>
      </c>
      <c r="BI95" s="46">
        <v>100</v>
      </c>
      <c r="BJ95" s="45">
        <v>40</v>
      </c>
      <c r="BK95" s="45"/>
      <c r="BL95" s="45"/>
      <c r="BM95" s="45"/>
      <c r="BN95" s="45"/>
      <c r="BO95" s="45" t="s">
        <v>4082</v>
      </c>
      <c r="BP95" s="45" t="s">
        <v>4427</v>
      </c>
      <c r="BQ95" s="110" t="s">
        <v>4463</v>
      </c>
      <c r="BR95" s="110" t="s">
        <v>4543</v>
      </c>
      <c r="BS95" s="110" t="s">
        <v>4583</v>
      </c>
      <c r="BT95" s="110" t="s">
        <v>4583</v>
      </c>
      <c r="BU95" s="2"/>
    </row>
    <row r="96" spans="1:73" ht="15">
      <c r="A96" s="61" t="s">
        <v>468</v>
      </c>
      <c r="B96" s="62"/>
      <c r="C96" s="62"/>
      <c r="D96" s="63">
        <v>100</v>
      </c>
      <c r="E96" s="65"/>
      <c r="F96" s="99" t="str">
        <f>HYPERLINK("https://pbs.twimg.com/profile_images/1005816883424256001/kI8OY3Xl_normal.jpg")</f>
        <v>https://pbs.twimg.com/profile_images/1005816883424256001/kI8OY3Xl_normal.jpg</v>
      </c>
      <c r="G96" s="62"/>
      <c r="H96" s="66" t="s">
        <v>468</v>
      </c>
      <c r="I96" s="67"/>
      <c r="J96" s="67"/>
      <c r="K96" s="66" t="s">
        <v>2938</v>
      </c>
      <c r="L96" s="70">
        <v>1</v>
      </c>
      <c r="M96" s="71">
        <v>5633.5830078125</v>
      </c>
      <c r="N96" s="71">
        <v>8908.6689453125</v>
      </c>
      <c r="O96" s="72"/>
      <c r="P96" s="73"/>
      <c r="Q96" s="73"/>
      <c r="R96" s="85"/>
      <c r="S96" s="45">
        <v>1</v>
      </c>
      <c r="T96" s="45">
        <v>0</v>
      </c>
      <c r="U96" s="46">
        <v>0</v>
      </c>
      <c r="V96" s="46">
        <v>0.008495</v>
      </c>
      <c r="W96" s="46">
        <v>0</v>
      </c>
      <c r="X96" s="46">
        <v>0.00271</v>
      </c>
      <c r="Y96" s="46">
        <v>0</v>
      </c>
      <c r="Z96" s="46">
        <v>0</v>
      </c>
      <c r="AA96" s="68">
        <v>96</v>
      </c>
      <c r="AB96" s="68"/>
      <c r="AC96" s="69"/>
      <c r="AD96" s="75" t="s">
        <v>1930</v>
      </c>
      <c r="AE96" s="80" t="s">
        <v>2239</v>
      </c>
      <c r="AF96" s="75">
        <v>1068</v>
      </c>
      <c r="AG96" s="75">
        <v>2625</v>
      </c>
      <c r="AH96" s="75">
        <v>7945</v>
      </c>
      <c r="AI96" s="75">
        <v>15091</v>
      </c>
      <c r="AJ96" s="75"/>
      <c r="AK96" s="75" t="s">
        <v>2478</v>
      </c>
      <c r="AL96" s="75" t="s">
        <v>2731</v>
      </c>
      <c r="AM96" s="75"/>
      <c r="AN96" s="75"/>
      <c r="AO96" s="77">
        <v>41697.77446759259</v>
      </c>
      <c r="AP96" s="82" t="str">
        <f>HYPERLINK("https://pbs.twimg.com/profile_banners/2364539065/1430690260")</f>
        <v>https://pbs.twimg.com/profile_banners/2364539065/1430690260</v>
      </c>
      <c r="AQ96" s="75" t="b">
        <v>0</v>
      </c>
      <c r="AR96" s="75" t="b">
        <v>0</v>
      </c>
      <c r="AS96" s="75" t="b">
        <v>0</v>
      </c>
      <c r="AT96" s="75"/>
      <c r="AU96" s="75">
        <v>10</v>
      </c>
      <c r="AV96" s="82" t="str">
        <f>HYPERLINK("https://abs.twimg.com/images/themes/theme19/bg.gif")</f>
        <v>https://abs.twimg.com/images/themes/theme19/bg.gif</v>
      </c>
      <c r="AW96" s="75" t="b">
        <v>0</v>
      </c>
      <c r="AX96" s="75" t="s">
        <v>2845</v>
      </c>
      <c r="AY96" s="82" t="str">
        <f>HYPERLINK("https://twitter.com/iidavallin")</f>
        <v>https://twitter.com/iidavallin</v>
      </c>
      <c r="AZ96" s="75" t="s">
        <v>65</v>
      </c>
      <c r="BA96" s="75" t="str">
        <f>REPLACE(INDEX(GroupVertices[Group],MATCH(Vertices[[#This Row],[Vertex]],GroupVertices[Vertex],0)),1,1,"")</f>
        <v>14</v>
      </c>
      <c r="BB96" s="45"/>
      <c r="BC96" s="46"/>
      <c r="BD96" s="45"/>
      <c r="BE96" s="46"/>
      <c r="BF96" s="45"/>
      <c r="BG96" s="46"/>
      <c r="BH96" s="45"/>
      <c r="BI96" s="46"/>
      <c r="BJ96" s="45"/>
      <c r="BK96" s="45"/>
      <c r="BL96" s="45"/>
      <c r="BM96" s="45"/>
      <c r="BN96" s="45"/>
      <c r="BO96" s="45"/>
      <c r="BP96" s="45"/>
      <c r="BQ96" s="45"/>
      <c r="BR96" s="45"/>
      <c r="BS96" s="45"/>
      <c r="BT96" s="45"/>
      <c r="BU96" s="2"/>
    </row>
    <row r="97" spans="1:73" ht="15">
      <c r="A97" s="61" t="s">
        <v>469</v>
      </c>
      <c r="B97" s="62"/>
      <c r="C97" s="62"/>
      <c r="D97" s="63">
        <v>100</v>
      </c>
      <c r="E97" s="65"/>
      <c r="F97" s="99" t="str">
        <f>HYPERLINK("https://pbs.twimg.com/profile_images/1570030660810588160/ARNOe-mb_normal.jpg")</f>
        <v>https://pbs.twimg.com/profile_images/1570030660810588160/ARNOe-mb_normal.jpg</v>
      </c>
      <c r="G97" s="62"/>
      <c r="H97" s="66" t="s">
        <v>469</v>
      </c>
      <c r="I97" s="67"/>
      <c r="J97" s="67"/>
      <c r="K97" s="66" t="s">
        <v>2939</v>
      </c>
      <c r="L97" s="70">
        <v>1</v>
      </c>
      <c r="M97" s="71">
        <v>6054.2158203125</v>
      </c>
      <c r="N97" s="71">
        <v>7947.9228515625</v>
      </c>
      <c r="O97" s="72"/>
      <c r="P97" s="73"/>
      <c r="Q97" s="73"/>
      <c r="R97" s="85"/>
      <c r="S97" s="45">
        <v>1</v>
      </c>
      <c r="T97" s="45">
        <v>0</v>
      </c>
      <c r="U97" s="46">
        <v>0</v>
      </c>
      <c r="V97" s="46">
        <v>0.008495</v>
      </c>
      <c r="W97" s="46">
        <v>0</v>
      </c>
      <c r="X97" s="46">
        <v>0.00271</v>
      </c>
      <c r="Y97" s="46">
        <v>0</v>
      </c>
      <c r="Z97" s="46">
        <v>0</v>
      </c>
      <c r="AA97" s="68">
        <v>97</v>
      </c>
      <c r="AB97" s="68"/>
      <c r="AC97" s="69"/>
      <c r="AD97" s="75" t="s">
        <v>1931</v>
      </c>
      <c r="AE97" s="80" t="s">
        <v>2240</v>
      </c>
      <c r="AF97" s="75">
        <v>20</v>
      </c>
      <c r="AG97" s="75">
        <v>30036</v>
      </c>
      <c r="AH97" s="75">
        <v>997</v>
      </c>
      <c r="AI97" s="75">
        <v>4943</v>
      </c>
      <c r="AJ97" s="75"/>
      <c r="AK97" s="75" t="s">
        <v>2479</v>
      </c>
      <c r="AL97" s="75"/>
      <c r="AM97" s="82" t="str">
        <f>HYPERLINK("https://t.co/IEeJzIGZsc")</f>
        <v>https://t.co/IEeJzIGZsc</v>
      </c>
      <c r="AN97" s="75"/>
      <c r="AO97" s="77">
        <v>39973.790185185186</v>
      </c>
      <c r="AP97" s="82" t="str">
        <f>HYPERLINK("https://pbs.twimg.com/profile_banners/45911084/1663159465")</f>
        <v>https://pbs.twimg.com/profile_banners/45911084/1663159465</v>
      </c>
      <c r="AQ97" s="75" t="b">
        <v>0</v>
      </c>
      <c r="AR97" s="75" t="b">
        <v>0</v>
      </c>
      <c r="AS97" s="75" t="b">
        <v>1</v>
      </c>
      <c r="AT97" s="75"/>
      <c r="AU97" s="75">
        <v>21</v>
      </c>
      <c r="AV97" s="82" t="str">
        <f>HYPERLINK("https://abs.twimg.com/images/themes/theme14/bg.gif")</f>
        <v>https://abs.twimg.com/images/themes/theme14/bg.gif</v>
      </c>
      <c r="AW97" s="75" t="b">
        <v>1</v>
      </c>
      <c r="AX97" s="75" t="s">
        <v>2845</v>
      </c>
      <c r="AY97" s="82" t="str">
        <f>HYPERLINK("https://twitter.com/mikaelgabriel")</f>
        <v>https://twitter.com/mikaelgabriel</v>
      </c>
      <c r="AZ97" s="75" t="s">
        <v>65</v>
      </c>
      <c r="BA97" s="75" t="str">
        <f>REPLACE(INDEX(GroupVertices[Group],MATCH(Vertices[[#This Row],[Vertex]],GroupVertices[Vertex],0)),1,1,"")</f>
        <v>14</v>
      </c>
      <c r="BB97" s="45"/>
      <c r="BC97" s="46"/>
      <c r="BD97" s="45"/>
      <c r="BE97" s="46"/>
      <c r="BF97" s="45"/>
      <c r="BG97" s="46"/>
      <c r="BH97" s="45"/>
      <c r="BI97" s="46"/>
      <c r="BJ97" s="45"/>
      <c r="BK97" s="45"/>
      <c r="BL97" s="45"/>
      <c r="BM97" s="45"/>
      <c r="BN97" s="45"/>
      <c r="BO97" s="45"/>
      <c r="BP97" s="45"/>
      <c r="BQ97" s="45"/>
      <c r="BR97" s="45"/>
      <c r="BS97" s="45"/>
      <c r="BT97" s="45"/>
      <c r="BU97" s="2"/>
    </row>
    <row r="98" spans="1:73" ht="15">
      <c r="A98" s="61" t="s">
        <v>470</v>
      </c>
      <c r="B98" s="62"/>
      <c r="C98" s="62"/>
      <c r="D98" s="63">
        <v>100</v>
      </c>
      <c r="E98" s="65"/>
      <c r="F98" s="99" t="str">
        <f>HYPERLINK("https://pbs.twimg.com/profile_images/1565557051786412032/SaR3BzUz_normal.jpg")</f>
        <v>https://pbs.twimg.com/profile_images/1565557051786412032/SaR3BzUz_normal.jpg</v>
      </c>
      <c r="G98" s="62"/>
      <c r="H98" s="66" t="s">
        <v>470</v>
      </c>
      <c r="I98" s="67"/>
      <c r="J98" s="67"/>
      <c r="K98" s="66" t="s">
        <v>2940</v>
      </c>
      <c r="L98" s="70">
        <v>1</v>
      </c>
      <c r="M98" s="71">
        <v>5707.548828125</v>
      </c>
      <c r="N98" s="71">
        <v>8037.169921875</v>
      </c>
      <c r="O98" s="72"/>
      <c r="P98" s="73"/>
      <c r="Q98" s="73"/>
      <c r="R98" s="85"/>
      <c r="S98" s="45">
        <v>1</v>
      </c>
      <c r="T98" s="45">
        <v>0</v>
      </c>
      <c r="U98" s="46">
        <v>0</v>
      </c>
      <c r="V98" s="46">
        <v>0.008495</v>
      </c>
      <c r="W98" s="46">
        <v>0</v>
      </c>
      <c r="X98" s="46">
        <v>0.00271</v>
      </c>
      <c r="Y98" s="46">
        <v>0</v>
      </c>
      <c r="Z98" s="46">
        <v>0</v>
      </c>
      <c r="AA98" s="68">
        <v>98</v>
      </c>
      <c r="AB98" s="68"/>
      <c r="AC98" s="69"/>
      <c r="AD98" s="75" t="s">
        <v>1932</v>
      </c>
      <c r="AE98" s="80" t="s">
        <v>1688</v>
      </c>
      <c r="AF98" s="75">
        <v>378</v>
      </c>
      <c r="AG98" s="75">
        <v>610</v>
      </c>
      <c r="AH98" s="75">
        <v>3178</v>
      </c>
      <c r="AI98" s="75">
        <v>34842</v>
      </c>
      <c r="AJ98" s="75"/>
      <c r="AK98" s="75" t="s">
        <v>2480</v>
      </c>
      <c r="AL98" s="75"/>
      <c r="AM98" s="75"/>
      <c r="AN98" s="75"/>
      <c r="AO98" s="77">
        <v>44566.56828703704</v>
      </c>
      <c r="AP98" s="82" t="str">
        <f>HYPERLINK("https://pbs.twimg.com/profile_banners/1478722479560531971/1662099208")</f>
        <v>https://pbs.twimg.com/profile_banners/1478722479560531971/1662099208</v>
      </c>
      <c r="AQ98" s="75" t="b">
        <v>1</v>
      </c>
      <c r="AR98" s="75" t="b">
        <v>0</v>
      </c>
      <c r="AS98" s="75" t="b">
        <v>0</v>
      </c>
      <c r="AT98" s="75"/>
      <c r="AU98" s="75">
        <v>4</v>
      </c>
      <c r="AV98" s="75"/>
      <c r="AW98" s="75" t="b">
        <v>0</v>
      </c>
      <c r="AX98" s="75" t="s">
        <v>2845</v>
      </c>
      <c r="AY98" s="82" t="str">
        <f>HYPERLINK("https://twitter.com/sarjanenantti")</f>
        <v>https://twitter.com/sarjanenantti</v>
      </c>
      <c r="AZ98" s="75" t="s">
        <v>65</v>
      </c>
      <c r="BA98" s="75" t="str">
        <f>REPLACE(INDEX(GroupVertices[Group],MATCH(Vertices[[#This Row],[Vertex]],GroupVertices[Vertex],0)),1,1,"")</f>
        <v>14</v>
      </c>
      <c r="BB98" s="45"/>
      <c r="BC98" s="46"/>
      <c r="BD98" s="45"/>
      <c r="BE98" s="46"/>
      <c r="BF98" s="45"/>
      <c r="BG98" s="46"/>
      <c r="BH98" s="45"/>
      <c r="BI98" s="46"/>
      <c r="BJ98" s="45"/>
      <c r="BK98" s="45"/>
      <c r="BL98" s="45"/>
      <c r="BM98" s="45"/>
      <c r="BN98" s="45"/>
      <c r="BO98" s="45"/>
      <c r="BP98" s="45"/>
      <c r="BQ98" s="45"/>
      <c r="BR98" s="45"/>
      <c r="BS98" s="45"/>
      <c r="BT98" s="45"/>
      <c r="BU98" s="2"/>
    </row>
    <row r="99" spans="1:73" ht="15">
      <c r="A99" s="61" t="s">
        <v>471</v>
      </c>
      <c r="B99" s="62"/>
      <c r="C99" s="62"/>
      <c r="D99" s="63">
        <v>100</v>
      </c>
      <c r="E99" s="65"/>
      <c r="F99" s="99" t="str">
        <f>HYPERLINK("https://pbs.twimg.com/profile_images/1263838984821780482/id3urW7R_normal.jpg")</f>
        <v>https://pbs.twimg.com/profile_images/1263838984821780482/id3urW7R_normal.jpg</v>
      </c>
      <c r="G99" s="62"/>
      <c r="H99" s="66" t="s">
        <v>471</v>
      </c>
      <c r="I99" s="67"/>
      <c r="J99" s="67"/>
      <c r="K99" s="66" t="s">
        <v>2941</v>
      </c>
      <c r="L99" s="70">
        <v>1</v>
      </c>
      <c r="M99" s="71">
        <v>5934.537109375</v>
      </c>
      <c r="N99" s="71">
        <v>9358.0380859375</v>
      </c>
      <c r="O99" s="72"/>
      <c r="P99" s="73"/>
      <c r="Q99" s="73"/>
      <c r="R99" s="85"/>
      <c r="S99" s="45">
        <v>1</v>
      </c>
      <c r="T99" s="45">
        <v>0</v>
      </c>
      <c r="U99" s="46">
        <v>0</v>
      </c>
      <c r="V99" s="46">
        <v>0.008495</v>
      </c>
      <c r="W99" s="46">
        <v>0</v>
      </c>
      <c r="X99" s="46">
        <v>0.00271</v>
      </c>
      <c r="Y99" s="46">
        <v>0</v>
      </c>
      <c r="Z99" s="46">
        <v>0</v>
      </c>
      <c r="AA99" s="68">
        <v>99</v>
      </c>
      <c r="AB99" s="68"/>
      <c r="AC99" s="69"/>
      <c r="AD99" s="75" t="s">
        <v>1933</v>
      </c>
      <c r="AE99" s="80" t="s">
        <v>1689</v>
      </c>
      <c r="AF99" s="75">
        <v>5588</v>
      </c>
      <c r="AG99" s="75">
        <v>13721</v>
      </c>
      <c r="AH99" s="75">
        <v>64642</v>
      </c>
      <c r="AI99" s="75">
        <v>16355</v>
      </c>
      <c r="AJ99" s="75"/>
      <c r="AK99" s="75" t="s">
        <v>2481</v>
      </c>
      <c r="AL99" s="75" t="s">
        <v>2732</v>
      </c>
      <c r="AM99" s="75"/>
      <c r="AN99" s="75"/>
      <c r="AO99" s="77">
        <v>41205.35899305555</v>
      </c>
      <c r="AP99" s="82" t="str">
        <f>HYPERLINK("https://pbs.twimg.com/profile_banners/899524315/1642704901")</f>
        <v>https://pbs.twimg.com/profile_banners/899524315/1642704901</v>
      </c>
      <c r="AQ99" s="75" t="b">
        <v>0</v>
      </c>
      <c r="AR99" s="75" t="b">
        <v>0</v>
      </c>
      <c r="AS99" s="75" t="b">
        <v>0</v>
      </c>
      <c r="AT99" s="75"/>
      <c r="AU99" s="75">
        <v>126</v>
      </c>
      <c r="AV99" s="82" t="str">
        <f>HYPERLINK("https://abs.twimg.com/images/themes/theme3/bg.gif")</f>
        <v>https://abs.twimg.com/images/themes/theme3/bg.gif</v>
      </c>
      <c r="AW99" s="75" t="b">
        <v>0</v>
      </c>
      <c r="AX99" s="75" t="s">
        <v>2845</v>
      </c>
      <c r="AY99" s="82" t="str">
        <f>HYPERLINK("https://twitter.com/veitera")</f>
        <v>https://twitter.com/veitera</v>
      </c>
      <c r="AZ99" s="75" t="s">
        <v>65</v>
      </c>
      <c r="BA99" s="75" t="str">
        <f>REPLACE(INDEX(GroupVertices[Group],MATCH(Vertices[[#This Row],[Vertex]],GroupVertices[Vertex],0)),1,1,"")</f>
        <v>14</v>
      </c>
      <c r="BB99" s="45"/>
      <c r="BC99" s="46"/>
      <c r="BD99" s="45"/>
      <c r="BE99" s="46"/>
      <c r="BF99" s="45"/>
      <c r="BG99" s="46"/>
      <c r="BH99" s="45"/>
      <c r="BI99" s="46"/>
      <c r="BJ99" s="45"/>
      <c r="BK99" s="45"/>
      <c r="BL99" s="45"/>
      <c r="BM99" s="45"/>
      <c r="BN99" s="45"/>
      <c r="BO99" s="45"/>
      <c r="BP99" s="45"/>
      <c r="BQ99" s="45"/>
      <c r="BR99" s="45"/>
      <c r="BS99" s="45"/>
      <c r="BT99" s="45"/>
      <c r="BU99" s="2"/>
    </row>
    <row r="100" spans="1:73" ht="15">
      <c r="A100" s="61" t="s">
        <v>472</v>
      </c>
      <c r="B100" s="62"/>
      <c r="C100" s="62"/>
      <c r="D100" s="63">
        <v>100</v>
      </c>
      <c r="E100" s="65"/>
      <c r="F100" s="99" t="str">
        <f>HYPERLINK("https://pbs.twimg.com/profile_images/1523553017873985536/QpiJ345d_normal.jpg")</f>
        <v>https://pbs.twimg.com/profile_images/1523553017873985536/QpiJ345d_normal.jpg</v>
      </c>
      <c r="G100" s="62"/>
      <c r="H100" s="66" t="s">
        <v>472</v>
      </c>
      <c r="I100" s="67"/>
      <c r="J100" s="67"/>
      <c r="K100" s="66" t="s">
        <v>2942</v>
      </c>
      <c r="L100" s="70">
        <v>1</v>
      </c>
      <c r="M100" s="71">
        <v>6194.50244140625</v>
      </c>
      <c r="N100" s="71">
        <v>8764.265625</v>
      </c>
      <c r="O100" s="72"/>
      <c r="P100" s="73"/>
      <c r="Q100" s="73"/>
      <c r="R100" s="85"/>
      <c r="S100" s="45">
        <v>1</v>
      </c>
      <c r="T100" s="45">
        <v>0</v>
      </c>
      <c r="U100" s="46">
        <v>0</v>
      </c>
      <c r="V100" s="46">
        <v>0.008495</v>
      </c>
      <c r="W100" s="46">
        <v>0</v>
      </c>
      <c r="X100" s="46">
        <v>0.00271</v>
      </c>
      <c r="Y100" s="46">
        <v>0</v>
      </c>
      <c r="Z100" s="46">
        <v>0</v>
      </c>
      <c r="AA100" s="68">
        <v>100</v>
      </c>
      <c r="AB100" s="68"/>
      <c r="AC100" s="69"/>
      <c r="AD100" s="75" t="s">
        <v>1934</v>
      </c>
      <c r="AE100" s="80" t="s">
        <v>1690</v>
      </c>
      <c r="AF100" s="75">
        <v>19</v>
      </c>
      <c r="AG100" s="75">
        <v>1222</v>
      </c>
      <c r="AH100" s="75">
        <v>2887</v>
      </c>
      <c r="AI100" s="75">
        <v>189</v>
      </c>
      <c r="AJ100" s="75"/>
      <c r="AK100" s="75" t="s">
        <v>2482</v>
      </c>
      <c r="AL100" s="75" t="s">
        <v>2733</v>
      </c>
      <c r="AM100" s="75"/>
      <c r="AN100" s="75"/>
      <c r="AO100" s="77">
        <v>44622.64232638889</v>
      </c>
      <c r="AP100" s="82" t="str">
        <f>HYPERLINK("https://pbs.twimg.com/profile_banners/1499043009521864704/1652078359")</f>
        <v>https://pbs.twimg.com/profile_banners/1499043009521864704/1652078359</v>
      </c>
      <c r="AQ100" s="75" t="b">
        <v>1</v>
      </c>
      <c r="AR100" s="75" t="b">
        <v>0</v>
      </c>
      <c r="AS100" s="75" t="b">
        <v>0</v>
      </c>
      <c r="AT100" s="75"/>
      <c r="AU100" s="75">
        <v>20</v>
      </c>
      <c r="AV100" s="75"/>
      <c r="AW100" s="75" t="b">
        <v>0</v>
      </c>
      <c r="AX100" s="75" t="s">
        <v>2845</v>
      </c>
      <c r="AY100" s="82" t="str">
        <f>HYPERLINK("https://twitter.com/infussambas")</f>
        <v>https://twitter.com/infussambas</v>
      </c>
      <c r="AZ100" s="75" t="s">
        <v>65</v>
      </c>
      <c r="BA100" s="75" t="str">
        <f>REPLACE(INDEX(GroupVertices[Group],MATCH(Vertices[[#This Row],[Vertex]],GroupVertices[Vertex],0)),1,1,"")</f>
        <v>14</v>
      </c>
      <c r="BB100" s="45"/>
      <c r="BC100" s="46"/>
      <c r="BD100" s="45"/>
      <c r="BE100" s="46"/>
      <c r="BF100" s="45"/>
      <c r="BG100" s="46"/>
      <c r="BH100" s="45"/>
      <c r="BI100" s="46"/>
      <c r="BJ100" s="45"/>
      <c r="BK100" s="45"/>
      <c r="BL100" s="45"/>
      <c r="BM100" s="45"/>
      <c r="BN100" s="45"/>
      <c r="BO100" s="45"/>
      <c r="BP100" s="45"/>
      <c r="BQ100" s="45"/>
      <c r="BR100" s="45"/>
      <c r="BS100" s="45"/>
      <c r="BT100" s="45"/>
      <c r="BU100" s="2"/>
    </row>
    <row r="101" spans="1:73" ht="15">
      <c r="A101" s="61" t="s">
        <v>309</v>
      </c>
      <c r="B101" s="62"/>
      <c r="C101" s="62"/>
      <c r="D101" s="63">
        <v>100</v>
      </c>
      <c r="E101" s="65"/>
      <c r="F101" s="99" t="str">
        <f>HYPERLINK("https://pbs.twimg.com/profile_images/1524770362931752962/tIQE3oOi_normal.jpg")</f>
        <v>https://pbs.twimg.com/profile_images/1524770362931752962/tIQE3oOi_normal.jpg</v>
      </c>
      <c r="G101" s="62"/>
      <c r="H101" s="66" t="s">
        <v>309</v>
      </c>
      <c r="I101" s="67"/>
      <c r="J101" s="67"/>
      <c r="K101" s="66" t="s">
        <v>2943</v>
      </c>
      <c r="L101" s="70">
        <v>1</v>
      </c>
      <c r="M101" s="71">
        <v>6731.0341796875</v>
      </c>
      <c r="N101" s="71">
        <v>1458.1875</v>
      </c>
      <c r="O101" s="72"/>
      <c r="P101" s="73"/>
      <c r="Q101" s="73"/>
      <c r="R101" s="85"/>
      <c r="S101" s="45">
        <v>0</v>
      </c>
      <c r="T101" s="45">
        <v>1</v>
      </c>
      <c r="U101" s="46">
        <v>0</v>
      </c>
      <c r="V101" s="46">
        <v>0.005505</v>
      </c>
      <c r="W101" s="46">
        <v>0</v>
      </c>
      <c r="X101" s="46">
        <v>0.00274</v>
      </c>
      <c r="Y101" s="46">
        <v>0</v>
      </c>
      <c r="Z101" s="46">
        <v>0</v>
      </c>
      <c r="AA101" s="68">
        <v>101</v>
      </c>
      <c r="AB101" s="68"/>
      <c r="AC101" s="69"/>
      <c r="AD101" s="75" t="s">
        <v>1935</v>
      </c>
      <c r="AE101" s="80" t="s">
        <v>2241</v>
      </c>
      <c r="AF101" s="75">
        <v>289</v>
      </c>
      <c r="AG101" s="75">
        <v>132</v>
      </c>
      <c r="AH101" s="75">
        <v>47607</v>
      </c>
      <c r="AI101" s="75">
        <v>60081</v>
      </c>
      <c r="AJ101" s="75"/>
      <c r="AK101" s="75" t="s">
        <v>2483</v>
      </c>
      <c r="AL101" s="75" t="s">
        <v>2734</v>
      </c>
      <c r="AM101" s="75"/>
      <c r="AN101" s="75"/>
      <c r="AO101" s="77">
        <v>43670.04814814815</v>
      </c>
      <c r="AP101" s="82" t="str">
        <f>HYPERLINK("https://pbs.twimg.com/profile_banners/1153834516101902336/1564088091")</f>
        <v>https://pbs.twimg.com/profile_banners/1153834516101902336/1564088091</v>
      </c>
      <c r="AQ101" s="75" t="b">
        <v>1</v>
      </c>
      <c r="AR101" s="75" t="b">
        <v>0</v>
      </c>
      <c r="AS101" s="75" t="b">
        <v>0</v>
      </c>
      <c r="AT101" s="75"/>
      <c r="AU101" s="75">
        <v>6</v>
      </c>
      <c r="AV101" s="75"/>
      <c r="AW101" s="75" t="b">
        <v>0</v>
      </c>
      <c r="AX101" s="75" t="s">
        <v>2845</v>
      </c>
      <c r="AY101" s="82" t="str">
        <f>HYPERLINK("https://twitter.com/hassany89")</f>
        <v>https://twitter.com/hassany89</v>
      </c>
      <c r="AZ101" s="75" t="s">
        <v>66</v>
      </c>
      <c r="BA101" s="75" t="str">
        <f>REPLACE(INDEX(GroupVertices[Group],MATCH(Vertices[[#This Row],[Vertex]],GroupVertices[Vertex],0)),1,1,"")</f>
        <v>28</v>
      </c>
      <c r="BB101" s="45">
        <v>0</v>
      </c>
      <c r="BC101" s="46">
        <v>0</v>
      </c>
      <c r="BD101" s="45">
        <v>0</v>
      </c>
      <c r="BE101" s="46">
        <v>0</v>
      </c>
      <c r="BF101" s="45">
        <v>0</v>
      </c>
      <c r="BG101" s="46">
        <v>0</v>
      </c>
      <c r="BH101" s="45">
        <v>24</v>
      </c>
      <c r="BI101" s="46">
        <v>100</v>
      </c>
      <c r="BJ101" s="45">
        <v>24</v>
      </c>
      <c r="BK101" s="45"/>
      <c r="BL101" s="45"/>
      <c r="BM101" s="45"/>
      <c r="BN101" s="45"/>
      <c r="BO101" s="45" t="s">
        <v>818</v>
      </c>
      <c r="BP101" s="45" t="s">
        <v>818</v>
      </c>
      <c r="BQ101" s="110" t="s">
        <v>4127</v>
      </c>
      <c r="BR101" s="110" t="s">
        <v>4127</v>
      </c>
      <c r="BS101" s="110" t="s">
        <v>4262</v>
      </c>
      <c r="BT101" s="110" t="s">
        <v>4262</v>
      </c>
      <c r="BU101" s="2"/>
    </row>
    <row r="102" spans="1:73" ht="15">
      <c r="A102" s="61" t="s">
        <v>340</v>
      </c>
      <c r="B102" s="62"/>
      <c r="C102" s="62"/>
      <c r="D102" s="63">
        <v>109.0909090909091</v>
      </c>
      <c r="E102" s="65"/>
      <c r="F102" s="99" t="str">
        <f>HYPERLINK("https://pbs.twimg.com/profile_images/1509479789685612547/4F-5z5z4_normal.jpg")</f>
        <v>https://pbs.twimg.com/profile_images/1509479789685612547/4F-5z5z4_normal.jpg</v>
      </c>
      <c r="G102" s="62"/>
      <c r="H102" s="66" t="s">
        <v>340</v>
      </c>
      <c r="I102" s="67"/>
      <c r="J102" s="67"/>
      <c r="K102" s="66" t="s">
        <v>2944</v>
      </c>
      <c r="L102" s="70">
        <v>14.335615190445607</v>
      </c>
      <c r="M102" s="71">
        <v>6731.0341796875</v>
      </c>
      <c r="N102" s="71">
        <v>913.3701782226562</v>
      </c>
      <c r="O102" s="72"/>
      <c r="P102" s="73"/>
      <c r="Q102" s="73"/>
      <c r="R102" s="85"/>
      <c r="S102" s="45">
        <v>4</v>
      </c>
      <c r="T102" s="45">
        <v>1</v>
      </c>
      <c r="U102" s="46">
        <v>6</v>
      </c>
      <c r="V102" s="46">
        <v>0.009174</v>
      </c>
      <c r="W102" s="46">
        <v>0</v>
      </c>
      <c r="X102" s="46">
        <v>0.003974</v>
      </c>
      <c r="Y102" s="46">
        <v>0</v>
      </c>
      <c r="Z102" s="46">
        <v>0</v>
      </c>
      <c r="AA102" s="68">
        <v>102</v>
      </c>
      <c r="AB102" s="68"/>
      <c r="AC102" s="69"/>
      <c r="AD102" s="75" t="s">
        <v>1936</v>
      </c>
      <c r="AE102" s="80" t="s">
        <v>2242</v>
      </c>
      <c r="AF102" s="75">
        <v>1499</v>
      </c>
      <c r="AG102" s="75">
        <v>2237</v>
      </c>
      <c r="AH102" s="75">
        <v>4705</v>
      </c>
      <c r="AI102" s="75">
        <v>2399</v>
      </c>
      <c r="AJ102" s="75"/>
      <c r="AK102" s="75" t="s">
        <v>2484</v>
      </c>
      <c r="AL102" s="75"/>
      <c r="AM102" s="82" t="str">
        <f>HYPERLINK("https://t.co/3wSvrEmn5Y")</f>
        <v>https://t.co/3wSvrEmn5Y</v>
      </c>
      <c r="AN102" s="75"/>
      <c r="AO102" s="77">
        <v>42578.635196759256</v>
      </c>
      <c r="AP102" s="82" t="str">
        <f>HYPERLINK("https://pbs.twimg.com/profile_banners/758319705849524224/1648740112")</f>
        <v>https://pbs.twimg.com/profile_banners/758319705849524224/1648740112</v>
      </c>
      <c r="AQ102" s="75" t="b">
        <v>1</v>
      </c>
      <c r="AR102" s="75" t="b">
        <v>0</v>
      </c>
      <c r="AS102" s="75" t="b">
        <v>0</v>
      </c>
      <c r="AT102" s="75"/>
      <c r="AU102" s="75">
        <v>14</v>
      </c>
      <c r="AV102" s="75"/>
      <c r="AW102" s="75" t="b">
        <v>0</v>
      </c>
      <c r="AX102" s="75" t="s">
        <v>2845</v>
      </c>
      <c r="AY102" s="82" t="str">
        <f>HYPERLINK("https://twitter.com/readovkaworld")</f>
        <v>https://twitter.com/readovkaworld</v>
      </c>
      <c r="AZ102" s="75" t="s">
        <v>66</v>
      </c>
      <c r="BA102" s="75" t="str">
        <f>REPLACE(INDEX(GroupVertices[Group],MATCH(Vertices[[#This Row],[Vertex]],GroupVertices[Vertex],0)),1,1,"")</f>
        <v>28</v>
      </c>
      <c r="BB102" s="45">
        <v>0</v>
      </c>
      <c r="BC102" s="46">
        <v>0</v>
      </c>
      <c r="BD102" s="45">
        <v>0</v>
      </c>
      <c r="BE102" s="46">
        <v>0</v>
      </c>
      <c r="BF102" s="45">
        <v>0</v>
      </c>
      <c r="BG102" s="46">
        <v>0</v>
      </c>
      <c r="BH102" s="45">
        <v>24</v>
      </c>
      <c r="BI102" s="46">
        <v>100</v>
      </c>
      <c r="BJ102" s="45">
        <v>24</v>
      </c>
      <c r="BK102" s="45"/>
      <c r="BL102" s="45"/>
      <c r="BM102" s="45"/>
      <c r="BN102" s="45"/>
      <c r="BO102" s="45" t="s">
        <v>818</v>
      </c>
      <c r="BP102" s="45" t="s">
        <v>818</v>
      </c>
      <c r="BQ102" s="110" t="s">
        <v>4127</v>
      </c>
      <c r="BR102" s="110" t="s">
        <v>4127</v>
      </c>
      <c r="BS102" s="110" t="s">
        <v>4262</v>
      </c>
      <c r="BT102" s="110" t="s">
        <v>4262</v>
      </c>
      <c r="BU102" s="2"/>
    </row>
    <row r="103" spans="1:73" ht="15">
      <c r="A103" s="61" t="s">
        <v>310</v>
      </c>
      <c r="B103" s="62"/>
      <c r="C103" s="62"/>
      <c r="D103" s="63">
        <v>100</v>
      </c>
      <c r="E103" s="65"/>
      <c r="F103" s="99" t="str">
        <f>HYPERLINK("https://pbs.twimg.com/profile_images/1216387499846664193/JuclFzGc_normal.jpg")</f>
        <v>https://pbs.twimg.com/profile_images/1216387499846664193/JuclFzGc_normal.jpg</v>
      </c>
      <c r="G103" s="62"/>
      <c r="H103" s="66" t="s">
        <v>310</v>
      </c>
      <c r="I103" s="67"/>
      <c r="J103" s="67"/>
      <c r="K103" s="66" t="s">
        <v>2945</v>
      </c>
      <c r="L103" s="70">
        <v>1</v>
      </c>
      <c r="M103" s="71">
        <v>6535.931640625</v>
      </c>
      <c r="N103" s="71">
        <v>1458.1875</v>
      </c>
      <c r="O103" s="72"/>
      <c r="P103" s="73"/>
      <c r="Q103" s="73"/>
      <c r="R103" s="85"/>
      <c r="S103" s="45">
        <v>0</v>
      </c>
      <c r="T103" s="45">
        <v>1</v>
      </c>
      <c r="U103" s="46">
        <v>0</v>
      </c>
      <c r="V103" s="46">
        <v>0.005505</v>
      </c>
      <c r="W103" s="46">
        <v>0</v>
      </c>
      <c r="X103" s="46">
        <v>0.00274</v>
      </c>
      <c r="Y103" s="46">
        <v>0</v>
      </c>
      <c r="Z103" s="46">
        <v>0</v>
      </c>
      <c r="AA103" s="68">
        <v>103</v>
      </c>
      <c r="AB103" s="68"/>
      <c r="AC103" s="69"/>
      <c r="AD103" s="75" t="s">
        <v>1937</v>
      </c>
      <c r="AE103" s="80" t="s">
        <v>2243</v>
      </c>
      <c r="AF103" s="75">
        <v>414</v>
      </c>
      <c r="AG103" s="75">
        <v>159</v>
      </c>
      <c r="AH103" s="75">
        <v>16888</v>
      </c>
      <c r="AI103" s="75">
        <v>71407</v>
      </c>
      <c r="AJ103" s="75"/>
      <c r="AK103" s="75" t="s">
        <v>2485</v>
      </c>
      <c r="AL103" s="75" t="s">
        <v>2735</v>
      </c>
      <c r="AM103" s="75"/>
      <c r="AN103" s="75"/>
      <c r="AO103" s="77">
        <v>42680.783055555556</v>
      </c>
      <c r="AP103" s="82" t="str">
        <f>HYPERLINK("https://pbs.twimg.com/profile_banners/795336851238354945/1609260106")</f>
        <v>https://pbs.twimg.com/profile_banners/795336851238354945/1609260106</v>
      </c>
      <c r="AQ103" s="75" t="b">
        <v>1</v>
      </c>
      <c r="AR103" s="75" t="b">
        <v>0</v>
      </c>
      <c r="AS103" s="75" t="b">
        <v>0</v>
      </c>
      <c r="AT103" s="75"/>
      <c r="AU103" s="75">
        <v>4</v>
      </c>
      <c r="AV103" s="75"/>
      <c r="AW103" s="75" t="b">
        <v>0</v>
      </c>
      <c r="AX103" s="75" t="s">
        <v>2845</v>
      </c>
      <c r="AY103" s="82" t="str">
        <f>HYPERLINK("https://twitter.com/george_w_bu")</f>
        <v>https://twitter.com/george_w_bu</v>
      </c>
      <c r="AZ103" s="75" t="s">
        <v>66</v>
      </c>
      <c r="BA103" s="75" t="str">
        <f>REPLACE(INDEX(GroupVertices[Group],MATCH(Vertices[[#This Row],[Vertex]],GroupVertices[Vertex],0)),1,1,"")</f>
        <v>28</v>
      </c>
      <c r="BB103" s="45">
        <v>0</v>
      </c>
      <c r="BC103" s="46">
        <v>0</v>
      </c>
      <c r="BD103" s="45">
        <v>0</v>
      </c>
      <c r="BE103" s="46">
        <v>0</v>
      </c>
      <c r="BF103" s="45">
        <v>0</v>
      </c>
      <c r="BG103" s="46">
        <v>0</v>
      </c>
      <c r="BH103" s="45">
        <v>24</v>
      </c>
      <c r="BI103" s="46">
        <v>100</v>
      </c>
      <c r="BJ103" s="45">
        <v>24</v>
      </c>
      <c r="BK103" s="45"/>
      <c r="BL103" s="45"/>
      <c r="BM103" s="45"/>
      <c r="BN103" s="45"/>
      <c r="BO103" s="45" t="s">
        <v>818</v>
      </c>
      <c r="BP103" s="45" t="s">
        <v>818</v>
      </c>
      <c r="BQ103" s="110" t="s">
        <v>4127</v>
      </c>
      <c r="BR103" s="110" t="s">
        <v>4127</v>
      </c>
      <c r="BS103" s="110" t="s">
        <v>4262</v>
      </c>
      <c r="BT103" s="110" t="s">
        <v>4262</v>
      </c>
      <c r="BU103" s="2"/>
    </row>
    <row r="104" spans="1:73" ht="15">
      <c r="A104" s="61" t="s">
        <v>312</v>
      </c>
      <c r="B104" s="62"/>
      <c r="C104" s="62"/>
      <c r="D104" s="63">
        <v>100</v>
      </c>
      <c r="E104" s="65"/>
      <c r="F104" s="99" t="str">
        <f>HYPERLINK("https://pbs.twimg.com/profile_images/1464406829430042625/Wqd9xfTk_normal.jpg")</f>
        <v>https://pbs.twimg.com/profile_images/1464406829430042625/Wqd9xfTk_normal.jpg</v>
      </c>
      <c r="G104" s="62"/>
      <c r="H104" s="66" t="s">
        <v>312</v>
      </c>
      <c r="I104" s="67"/>
      <c r="J104" s="67"/>
      <c r="K104" s="66" t="s">
        <v>2946</v>
      </c>
      <c r="L104" s="70">
        <v>1</v>
      </c>
      <c r="M104" s="71">
        <v>3487.4560546875</v>
      </c>
      <c r="N104" s="71">
        <v>5057.8740234375</v>
      </c>
      <c r="O104" s="72"/>
      <c r="P104" s="73"/>
      <c r="Q104" s="73"/>
      <c r="R104" s="85"/>
      <c r="S104" s="45">
        <v>0</v>
      </c>
      <c r="T104" s="45">
        <v>1</v>
      </c>
      <c r="U104" s="46">
        <v>0</v>
      </c>
      <c r="V104" s="46">
        <v>0.025254</v>
      </c>
      <c r="W104" s="46">
        <v>0</v>
      </c>
      <c r="X104" s="46">
        <v>0.002672</v>
      </c>
      <c r="Y104" s="46">
        <v>0</v>
      </c>
      <c r="Z104" s="46">
        <v>0</v>
      </c>
      <c r="AA104" s="68">
        <v>104</v>
      </c>
      <c r="AB104" s="68"/>
      <c r="AC104" s="69"/>
      <c r="AD104" s="75" t="s">
        <v>1938</v>
      </c>
      <c r="AE104" s="80" t="s">
        <v>2244</v>
      </c>
      <c r="AF104" s="75">
        <v>298</v>
      </c>
      <c r="AG104" s="75">
        <v>203</v>
      </c>
      <c r="AH104" s="75">
        <v>18048</v>
      </c>
      <c r="AI104" s="75">
        <v>17134</v>
      </c>
      <c r="AJ104" s="75"/>
      <c r="AK104" s="75" t="s">
        <v>2486</v>
      </c>
      <c r="AL104" s="75"/>
      <c r="AM104" s="75"/>
      <c r="AN104" s="75"/>
      <c r="AO104" s="77">
        <v>44368.133310185185</v>
      </c>
      <c r="AP104" s="75"/>
      <c r="AQ104" s="75" t="b">
        <v>1</v>
      </c>
      <c r="AR104" s="75" t="b">
        <v>0</v>
      </c>
      <c r="AS104" s="75" t="b">
        <v>1</v>
      </c>
      <c r="AT104" s="75"/>
      <c r="AU104" s="75">
        <v>0</v>
      </c>
      <c r="AV104" s="75"/>
      <c r="AW104" s="75" t="b">
        <v>0</v>
      </c>
      <c r="AX104" s="75" t="s">
        <v>2845</v>
      </c>
      <c r="AY104" s="82" t="str">
        <f>HYPERLINK("https://twitter.com/mengistutefer16")</f>
        <v>https://twitter.com/mengistutefer16</v>
      </c>
      <c r="AZ104" s="75" t="s">
        <v>66</v>
      </c>
      <c r="BA104" s="75" t="str">
        <f>REPLACE(INDEX(GroupVertices[Group],MATCH(Vertices[[#This Row],[Vertex]],GroupVertices[Vertex],0)),1,1,"")</f>
        <v>5</v>
      </c>
      <c r="BB104" s="45">
        <v>1</v>
      </c>
      <c r="BC104" s="46">
        <v>2.5641025641025643</v>
      </c>
      <c r="BD104" s="45">
        <v>0</v>
      </c>
      <c r="BE104" s="46">
        <v>0</v>
      </c>
      <c r="BF104" s="45">
        <v>0</v>
      </c>
      <c r="BG104" s="46">
        <v>0</v>
      </c>
      <c r="BH104" s="45">
        <v>38</v>
      </c>
      <c r="BI104" s="46">
        <v>97.43589743589743</v>
      </c>
      <c r="BJ104" s="45">
        <v>39</v>
      </c>
      <c r="BK104" s="45"/>
      <c r="BL104" s="45"/>
      <c r="BM104" s="45"/>
      <c r="BN104" s="45"/>
      <c r="BO104" s="45" t="s">
        <v>808</v>
      </c>
      <c r="BP104" s="45" t="s">
        <v>808</v>
      </c>
      <c r="BQ104" s="110" t="s">
        <v>4106</v>
      </c>
      <c r="BR104" s="110" t="s">
        <v>4106</v>
      </c>
      <c r="BS104" s="110" t="s">
        <v>4244</v>
      </c>
      <c r="BT104" s="110" t="s">
        <v>4244</v>
      </c>
      <c r="BU104" s="2"/>
    </row>
    <row r="105" spans="1:73" ht="15">
      <c r="A105" s="61" t="s">
        <v>313</v>
      </c>
      <c r="B105" s="62"/>
      <c r="C105" s="62"/>
      <c r="D105" s="63">
        <v>145.45454545454544</v>
      </c>
      <c r="E105" s="65"/>
      <c r="F105" s="99" t="str">
        <f>HYPERLINK("https://pbs.twimg.com/profile_images/1281338721518997505/XqzhddJm_normal.jpg")</f>
        <v>https://pbs.twimg.com/profile_images/1281338721518997505/XqzhddJm_normal.jpg</v>
      </c>
      <c r="G105" s="62"/>
      <c r="H105" s="66" t="s">
        <v>313</v>
      </c>
      <c r="I105" s="67"/>
      <c r="J105" s="67"/>
      <c r="K105" s="66" t="s">
        <v>2947</v>
      </c>
      <c r="L105" s="70">
        <v>67.67807595222803</v>
      </c>
      <c r="M105" s="71">
        <v>5125.720703125</v>
      </c>
      <c r="N105" s="71">
        <v>7707.34716796875</v>
      </c>
      <c r="O105" s="72"/>
      <c r="P105" s="73"/>
      <c r="Q105" s="73"/>
      <c r="R105" s="85"/>
      <c r="S105" s="45">
        <v>0</v>
      </c>
      <c r="T105" s="45">
        <v>4</v>
      </c>
      <c r="U105" s="46">
        <v>30</v>
      </c>
      <c r="V105" s="46">
        <v>0.012487</v>
      </c>
      <c r="W105" s="46">
        <v>0</v>
      </c>
      <c r="X105" s="46">
        <v>0.004042</v>
      </c>
      <c r="Y105" s="46">
        <v>0</v>
      </c>
      <c r="Z105" s="46">
        <v>0</v>
      </c>
      <c r="AA105" s="68">
        <v>105</v>
      </c>
      <c r="AB105" s="68"/>
      <c r="AC105" s="69"/>
      <c r="AD105" s="75" t="s">
        <v>1939</v>
      </c>
      <c r="AE105" s="80" t="s">
        <v>2245</v>
      </c>
      <c r="AF105" s="75">
        <v>106</v>
      </c>
      <c r="AG105" s="75">
        <v>42</v>
      </c>
      <c r="AH105" s="75">
        <v>1625</v>
      </c>
      <c r="AI105" s="75">
        <v>8166</v>
      </c>
      <c r="AJ105" s="75"/>
      <c r="AK105" s="75" t="s">
        <v>2487</v>
      </c>
      <c r="AL105" s="75"/>
      <c r="AM105" s="75"/>
      <c r="AN105" s="75"/>
      <c r="AO105" s="77">
        <v>41081.44547453704</v>
      </c>
      <c r="AP105" s="82" t="str">
        <f>HYPERLINK("https://pbs.twimg.com/profile_banners/614206268/1594330147")</f>
        <v>https://pbs.twimg.com/profile_banners/614206268/1594330147</v>
      </c>
      <c r="AQ105" s="75" t="b">
        <v>0</v>
      </c>
      <c r="AR105" s="75" t="b">
        <v>0</v>
      </c>
      <c r="AS105" s="75" t="b">
        <v>1</v>
      </c>
      <c r="AT105" s="75"/>
      <c r="AU105" s="75">
        <v>0</v>
      </c>
      <c r="AV105" s="82" t="str">
        <f>HYPERLINK("https://abs.twimg.com/images/themes/theme1/bg.png")</f>
        <v>https://abs.twimg.com/images/themes/theme1/bg.png</v>
      </c>
      <c r="AW105" s="75" t="b">
        <v>0</v>
      </c>
      <c r="AX105" s="75" t="s">
        <v>2845</v>
      </c>
      <c r="AY105" s="82" t="str">
        <f>HYPERLINK("https://twitter.com/brian_lefevre_")</f>
        <v>https://twitter.com/brian_lefevre_</v>
      </c>
      <c r="AZ105" s="75" t="s">
        <v>66</v>
      </c>
      <c r="BA105" s="75" t="str">
        <f>REPLACE(INDEX(GroupVertices[Group],MATCH(Vertices[[#This Row],[Vertex]],GroupVertices[Vertex],0)),1,1,"")</f>
        <v>11</v>
      </c>
      <c r="BB105" s="45">
        <v>0</v>
      </c>
      <c r="BC105" s="46">
        <v>0</v>
      </c>
      <c r="BD105" s="45">
        <v>2</v>
      </c>
      <c r="BE105" s="46">
        <v>4.761904761904762</v>
      </c>
      <c r="BF105" s="45">
        <v>0</v>
      </c>
      <c r="BG105" s="46">
        <v>0</v>
      </c>
      <c r="BH105" s="45">
        <v>40</v>
      </c>
      <c r="BI105" s="46">
        <v>95.23809523809524</v>
      </c>
      <c r="BJ105" s="45">
        <v>42</v>
      </c>
      <c r="BK105" s="45"/>
      <c r="BL105" s="45"/>
      <c r="BM105" s="45"/>
      <c r="BN105" s="45"/>
      <c r="BO105" s="45"/>
      <c r="BP105" s="45"/>
      <c r="BQ105" s="110" t="s">
        <v>4464</v>
      </c>
      <c r="BR105" s="110" t="s">
        <v>4464</v>
      </c>
      <c r="BS105" s="110" t="s">
        <v>4584</v>
      </c>
      <c r="BT105" s="110" t="s">
        <v>4584</v>
      </c>
      <c r="BU105" s="2"/>
    </row>
    <row r="106" spans="1:73" ht="15">
      <c r="A106" s="61" t="s">
        <v>473</v>
      </c>
      <c r="B106" s="62"/>
      <c r="C106" s="62"/>
      <c r="D106" s="63">
        <v>100</v>
      </c>
      <c r="E106" s="65"/>
      <c r="F106" s="99" t="str">
        <f>HYPERLINK("https://pbs.twimg.com/profile_images/1197560425870696449/ueztxG7c_normal.jpg")</f>
        <v>https://pbs.twimg.com/profile_images/1197560425870696449/ueztxG7c_normal.jpg</v>
      </c>
      <c r="G106" s="62"/>
      <c r="H106" s="66" t="s">
        <v>473</v>
      </c>
      <c r="I106" s="67"/>
      <c r="J106" s="67"/>
      <c r="K106" s="66" t="s">
        <v>2948</v>
      </c>
      <c r="L106" s="70">
        <v>1</v>
      </c>
      <c r="M106" s="71">
        <v>5389.705078125</v>
      </c>
      <c r="N106" s="71">
        <v>7563.34619140625</v>
      </c>
      <c r="O106" s="72"/>
      <c r="P106" s="73"/>
      <c r="Q106" s="73"/>
      <c r="R106" s="85"/>
      <c r="S106" s="45">
        <v>1</v>
      </c>
      <c r="T106" s="45">
        <v>0</v>
      </c>
      <c r="U106" s="46">
        <v>0</v>
      </c>
      <c r="V106" s="46">
        <v>0.008325</v>
      </c>
      <c r="W106" s="46">
        <v>0</v>
      </c>
      <c r="X106" s="46">
        <v>0.002743</v>
      </c>
      <c r="Y106" s="46">
        <v>0</v>
      </c>
      <c r="Z106" s="46">
        <v>0</v>
      </c>
      <c r="AA106" s="68">
        <v>106</v>
      </c>
      <c r="AB106" s="68"/>
      <c r="AC106" s="69"/>
      <c r="AD106" s="75" t="s">
        <v>1940</v>
      </c>
      <c r="AE106" s="80" t="s">
        <v>2246</v>
      </c>
      <c r="AF106" s="75">
        <v>1285</v>
      </c>
      <c r="AG106" s="75">
        <v>7885</v>
      </c>
      <c r="AH106" s="75">
        <v>18670</v>
      </c>
      <c r="AI106" s="75">
        <v>2756</v>
      </c>
      <c r="AJ106" s="75"/>
      <c r="AK106" s="75" t="s">
        <v>2488</v>
      </c>
      <c r="AL106" s="75" t="s">
        <v>2736</v>
      </c>
      <c r="AM106" s="82" t="str">
        <f>HYPERLINK("https://t.co/6PFsBDm2Nd")</f>
        <v>https://t.co/6PFsBDm2Nd</v>
      </c>
      <c r="AN106" s="75"/>
      <c r="AO106" s="77">
        <v>40751.59196759259</v>
      </c>
      <c r="AP106" s="82" t="str">
        <f>HYPERLINK("https://pbs.twimg.com/profile_banners/343390384/1625760789")</f>
        <v>https://pbs.twimg.com/profile_banners/343390384/1625760789</v>
      </c>
      <c r="AQ106" s="75" t="b">
        <v>0</v>
      </c>
      <c r="AR106" s="75" t="b">
        <v>0</v>
      </c>
      <c r="AS106" s="75" t="b">
        <v>1</v>
      </c>
      <c r="AT106" s="75"/>
      <c r="AU106" s="75">
        <v>172</v>
      </c>
      <c r="AV106" s="82" t="str">
        <f>HYPERLINK("https://abs.twimg.com/images/themes/theme1/bg.png")</f>
        <v>https://abs.twimg.com/images/themes/theme1/bg.png</v>
      </c>
      <c r="AW106" s="75" t="b">
        <v>1</v>
      </c>
      <c r="AX106" s="75" t="s">
        <v>2845</v>
      </c>
      <c r="AY106" s="82" t="str">
        <f>HYPERLINK("https://twitter.com/rus_emb_ireland")</f>
        <v>https://twitter.com/rus_emb_ireland</v>
      </c>
      <c r="AZ106" s="75" t="s">
        <v>65</v>
      </c>
      <c r="BA106" s="75" t="str">
        <f>REPLACE(INDEX(GroupVertices[Group],MATCH(Vertices[[#This Row],[Vertex]],GroupVertices[Vertex],0)),1,1,"")</f>
        <v>11</v>
      </c>
      <c r="BB106" s="45"/>
      <c r="BC106" s="46"/>
      <c r="BD106" s="45"/>
      <c r="BE106" s="46"/>
      <c r="BF106" s="45"/>
      <c r="BG106" s="46"/>
      <c r="BH106" s="45"/>
      <c r="BI106" s="46"/>
      <c r="BJ106" s="45"/>
      <c r="BK106" s="45"/>
      <c r="BL106" s="45"/>
      <c r="BM106" s="45"/>
      <c r="BN106" s="45"/>
      <c r="BO106" s="45"/>
      <c r="BP106" s="45"/>
      <c r="BQ106" s="45"/>
      <c r="BR106" s="45"/>
      <c r="BS106" s="45"/>
      <c r="BT106" s="45"/>
      <c r="BU106" s="2"/>
    </row>
    <row r="107" spans="1:73" ht="15">
      <c r="A107" s="61" t="s">
        <v>474</v>
      </c>
      <c r="B107" s="62"/>
      <c r="C107" s="62"/>
      <c r="D107" s="63">
        <v>100</v>
      </c>
      <c r="E107" s="65"/>
      <c r="F107" s="99" t="str">
        <f>HYPERLINK("https://abs.twimg.com/sticky/default_profile_images/default_profile_normal.png")</f>
        <v>https://abs.twimg.com/sticky/default_profile_images/default_profile_normal.png</v>
      </c>
      <c r="G107" s="62"/>
      <c r="H107" s="66" t="s">
        <v>474</v>
      </c>
      <c r="I107" s="67"/>
      <c r="J107" s="67"/>
      <c r="K107" s="66" t="s">
        <v>2949</v>
      </c>
      <c r="L107" s="70">
        <v>1</v>
      </c>
      <c r="M107" s="71">
        <v>5208.48291015625</v>
      </c>
      <c r="N107" s="71">
        <v>7775.95849609375</v>
      </c>
      <c r="O107" s="72"/>
      <c r="P107" s="73"/>
      <c r="Q107" s="73"/>
      <c r="R107" s="85"/>
      <c r="S107" s="45">
        <v>1</v>
      </c>
      <c r="T107" s="45">
        <v>0</v>
      </c>
      <c r="U107" s="46">
        <v>0</v>
      </c>
      <c r="V107" s="46">
        <v>0.008325</v>
      </c>
      <c r="W107" s="46">
        <v>0</v>
      </c>
      <c r="X107" s="46">
        <v>0.002743</v>
      </c>
      <c r="Y107" s="46">
        <v>0</v>
      </c>
      <c r="Z107" s="46">
        <v>0</v>
      </c>
      <c r="AA107" s="68">
        <v>107</v>
      </c>
      <c r="AB107" s="68"/>
      <c r="AC107" s="69"/>
      <c r="AD107" s="75" t="s">
        <v>1941</v>
      </c>
      <c r="AE107" s="80" t="s">
        <v>2247</v>
      </c>
      <c r="AF107" s="75">
        <v>92</v>
      </c>
      <c r="AG107" s="75">
        <v>6</v>
      </c>
      <c r="AH107" s="75">
        <v>585</v>
      </c>
      <c r="AI107" s="75">
        <v>74</v>
      </c>
      <c r="AJ107" s="75"/>
      <c r="AK107" s="75"/>
      <c r="AL107" s="75"/>
      <c r="AM107" s="75"/>
      <c r="AN107" s="75"/>
      <c r="AO107" s="77">
        <v>42611.94965277778</v>
      </c>
      <c r="AP107" s="75"/>
      <c r="AQ107" s="75" t="b">
        <v>1</v>
      </c>
      <c r="AR107" s="75" t="b">
        <v>1</v>
      </c>
      <c r="AS107" s="75" t="b">
        <v>0</v>
      </c>
      <c r="AT107" s="75"/>
      <c r="AU107" s="75">
        <v>0</v>
      </c>
      <c r="AV107" s="75"/>
      <c r="AW107" s="75" t="b">
        <v>0</v>
      </c>
      <c r="AX107" s="75" t="s">
        <v>2845</v>
      </c>
      <c r="AY107" s="82" t="str">
        <f>HYPERLINK("https://twitter.com/wendellwickets")</f>
        <v>https://twitter.com/wendellwickets</v>
      </c>
      <c r="AZ107" s="75" t="s">
        <v>65</v>
      </c>
      <c r="BA107" s="75" t="str">
        <f>REPLACE(INDEX(GroupVertices[Group],MATCH(Vertices[[#This Row],[Vertex]],GroupVertices[Vertex],0)),1,1,"")</f>
        <v>11</v>
      </c>
      <c r="BB107" s="45"/>
      <c r="BC107" s="46"/>
      <c r="BD107" s="45"/>
      <c r="BE107" s="46"/>
      <c r="BF107" s="45"/>
      <c r="BG107" s="46"/>
      <c r="BH107" s="45"/>
      <c r="BI107" s="46"/>
      <c r="BJ107" s="45"/>
      <c r="BK107" s="45"/>
      <c r="BL107" s="45"/>
      <c r="BM107" s="45"/>
      <c r="BN107" s="45"/>
      <c r="BO107" s="45"/>
      <c r="BP107" s="45"/>
      <c r="BQ107" s="45"/>
      <c r="BR107" s="45"/>
      <c r="BS107" s="45"/>
      <c r="BT107" s="45"/>
      <c r="BU107" s="2"/>
    </row>
    <row r="108" spans="1:73" ht="15">
      <c r="A108" s="61" t="s">
        <v>475</v>
      </c>
      <c r="B108" s="62"/>
      <c r="C108" s="62"/>
      <c r="D108" s="63">
        <v>100</v>
      </c>
      <c r="E108" s="65"/>
      <c r="F108" s="99" t="str">
        <f>HYPERLINK("https://pbs.twimg.com/profile_images/1563109772274110464/VDzKBhRn_normal.jpg")</f>
        <v>https://pbs.twimg.com/profile_images/1563109772274110464/VDzKBhRn_normal.jpg</v>
      </c>
      <c r="G108" s="62"/>
      <c r="H108" s="66" t="s">
        <v>475</v>
      </c>
      <c r="I108" s="67"/>
      <c r="J108" s="67"/>
      <c r="K108" s="66" t="s">
        <v>2950</v>
      </c>
      <c r="L108" s="70">
        <v>1</v>
      </c>
      <c r="M108" s="71">
        <v>5302.79638671875</v>
      </c>
      <c r="N108" s="71">
        <v>7667.6796875</v>
      </c>
      <c r="O108" s="72"/>
      <c r="P108" s="73"/>
      <c r="Q108" s="73"/>
      <c r="R108" s="85"/>
      <c r="S108" s="45">
        <v>1</v>
      </c>
      <c r="T108" s="45">
        <v>0</v>
      </c>
      <c r="U108" s="46">
        <v>0</v>
      </c>
      <c r="V108" s="46">
        <v>0.008325</v>
      </c>
      <c r="W108" s="46">
        <v>0</v>
      </c>
      <c r="X108" s="46">
        <v>0.002743</v>
      </c>
      <c r="Y108" s="46">
        <v>0</v>
      </c>
      <c r="Z108" s="46">
        <v>0</v>
      </c>
      <c r="AA108" s="68">
        <v>108</v>
      </c>
      <c r="AB108" s="68"/>
      <c r="AC108" s="69"/>
      <c r="AD108" s="75" t="s">
        <v>1942</v>
      </c>
      <c r="AE108" s="80" t="s">
        <v>2248</v>
      </c>
      <c r="AF108" s="75">
        <v>1363</v>
      </c>
      <c r="AG108" s="75">
        <v>769</v>
      </c>
      <c r="AH108" s="75">
        <v>11288</v>
      </c>
      <c r="AI108" s="75">
        <v>25158</v>
      </c>
      <c r="AJ108" s="75"/>
      <c r="AK108" s="75" t="s">
        <v>2489</v>
      </c>
      <c r="AL108" s="75" t="s">
        <v>2737</v>
      </c>
      <c r="AM108" s="75"/>
      <c r="AN108" s="75"/>
      <c r="AO108" s="77">
        <v>44659.355717592596</v>
      </c>
      <c r="AP108" s="82" t="str">
        <f>HYPERLINK("https://pbs.twimg.com/profile_banners/1512347529647734788/1650636684")</f>
        <v>https://pbs.twimg.com/profile_banners/1512347529647734788/1650636684</v>
      </c>
      <c r="AQ108" s="75" t="b">
        <v>1</v>
      </c>
      <c r="AR108" s="75" t="b">
        <v>0</v>
      </c>
      <c r="AS108" s="75" t="b">
        <v>0</v>
      </c>
      <c r="AT108" s="75"/>
      <c r="AU108" s="75">
        <v>8</v>
      </c>
      <c r="AV108" s="75"/>
      <c r="AW108" s="75" t="b">
        <v>0</v>
      </c>
      <c r="AX108" s="75" t="s">
        <v>2845</v>
      </c>
      <c r="AY108" s="82" t="str">
        <f>HYPERLINK("https://twitter.com/tucosal75136559")</f>
        <v>https://twitter.com/tucosal75136559</v>
      </c>
      <c r="AZ108" s="75" t="s">
        <v>65</v>
      </c>
      <c r="BA108" s="75" t="str">
        <f>REPLACE(INDEX(GroupVertices[Group],MATCH(Vertices[[#This Row],[Vertex]],GroupVertices[Vertex],0)),1,1,"")</f>
        <v>11</v>
      </c>
      <c r="BB108" s="45"/>
      <c r="BC108" s="46"/>
      <c r="BD108" s="45"/>
      <c r="BE108" s="46"/>
      <c r="BF108" s="45"/>
      <c r="BG108" s="46"/>
      <c r="BH108" s="45"/>
      <c r="BI108" s="46"/>
      <c r="BJ108" s="45"/>
      <c r="BK108" s="45"/>
      <c r="BL108" s="45"/>
      <c r="BM108" s="45"/>
      <c r="BN108" s="45"/>
      <c r="BO108" s="45"/>
      <c r="BP108" s="45"/>
      <c r="BQ108" s="45"/>
      <c r="BR108" s="45"/>
      <c r="BS108" s="45"/>
      <c r="BT108" s="45"/>
      <c r="BU108" s="2"/>
    </row>
    <row r="109" spans="1:73" ht="15">
      <c r="A109" s="61" t="s">
        <v>314</v>
      </c>
      <c r="B109" s="62"/>
      <c r="C109" s="62"/>
      <c r="D109" s="63">
        <v>100</v>
      </c>
      <c r="E109" s="65"/>
      <c r="F109" s="99" t="str">
        <f>HYPERLINK("https://pbs.twimg.com/profile_images/1558576684005265414/xPXXVVG2_normal.jpg")</f>
        <v>https://pbs.twimg.com/profile_images/1558576684005265414/xPXXVVG2_normal.jpg</v>
      </c>
      <c r="G109" s="62"/>
      <c r="H109" s="66" t="s">
        <v>314</v>
      </c>
      <c r="I109" s="67"/>
      <c r="J109" s="67"/>
      <c r="K109" s="66" t="s">
        <v>2951</v>
      </c>
      <c r="L109" s="70">
        <v>1</v>
      </c>
      <c r="M109" s="71">
        <v>3166.01708984375</v>
      </c>
      <c r="N109" s="71">
        <v>8344.5380859375</v>
      </c>
      <c r="O109" s="72"/>
      <c r="P109" s="73"/>
      <c r="Q109" s="73"/>
      <c r="R109" s="85"/>
      <c r="S109" s="45">
        <v>0</v>
      </c>
      <c r="T109" s="45">
        <v>1</v>
      </c>
      <c r="U109" s="46">
        <v>0</v>
      </c>
      <c r="V109" s="46">
        <v>0.071498</v>
      </c>
      <c r="W109" s="46">
        <v>0.030733</v>
      </c>
      <c r="X109" s="46">
        <v>0.002664</v>
      </c>
      <c r="Y109" s="46">
        <v>0</v>
      </c>
      <c r="Z109" s="46">
        <v>0</v>
      </c>
      <c r="AA109" s="68">
        <v>109</v>
      </c>
      <c r="AB109" s="68"/>
      <c r="AC109" s="69"/>
      <c r="AD109" s="75" t="s">
        <v>1943</v>
      </c>
      <c r="AE109" s="80" t="s">
        <v>2249</v>
      </c>
      <c r="AF109" s="75">
        <v>157</v>
      </c>
      <c r="AG109" s="75">
        <v>57</v>
      </c>
      <c r="AH109" s="75">
        <v>549</v>
      </c>
      <c r="AI109" s="75">
        <v>774</v>
      </c>
      <c r="AJ109" s="75"/>
      <c r="AK109" s="75" t="s">
        <v>2490</v>
      </c>
      <c r="AL109" s="75"/>
      <c r="AM109" s="75"/>
      <c r="AN109" s="75"/>
      <c r="AO109" s="77">
        <v>44755.90509259259</v>
      </c>
      <c r="AP109" s="75"/>
      <c r="AQ109" s="75" t="b">
        <v>1</v>
      </c>
      <c r="AR109" s="75" t="b">
        <v>0</v>
      </c>
      <c r="AS109" s="75" t="b">
        <v>0</v>
      </c>
      <c r="AT109" s="75"/>
      <c r="AU109" s="75">
        <v>0</v>
      </c>
      <c r="AV109" s="75"/>
      <c r="AW109" s="75" t="b">
        <v>0</v>
      </c>
      <c r="AX109" s="75" t="s">
        <v>2845</v>
      </c>
      <c r="AY109" s="82" t="str">
        <f>HYPERLINK("https://twitter.com/neprfl")</f>
        <v>https://twitter.com/neprfl</v>
      </c>
      <c r="AZ109" s="75" t="s">
        <v>66</v>
      </c>
      <c r="BA109" s="75" t="str">
        <f>REPLACE(INDEX(GroupVertices[Group],MATCH(Vertices[[#This Row],[Vertex]],GroupVertices[Vertex],0)),1,1,"")</f>
        <v>3</v>
      </c>
      <c r="BB109" s="45">
        <v>0</v>
      </c>
      <c r="BC109" s="46">
        <v>0</v>
      </c>
      <c r="BD109" s="45">
        <v>0</v>
      </c>
      <c r="BE109" s="46">
        <v>0</v>
      </c>
      <c r="BF109" s="45">
        <v>0</v>
      </c>
      <c r="BG109" s="46">
        <v>0</v>
      </c>
      <c r="BH109" s="45">
        <v>5</v>
      </c>
      <c r="BI109" s="46">
        <v>100</v>
      </c>
      <c r="BJ109" s="45">
        <v>5</v>
      </c>
      <c r="BK109" s="45"/>
      <c r="BL109" s="45"/>
      <c r="BM109" s="45"/>
      <c r="BN109" s="45"/>
      <c r="BO109" s="45" t="s">
        <v>819</v>
      </c>
      <c r="BP109" s="45" t="s">
        <v>819</v>
      </c>
      <c r="BQ109" s="110" t="s">
        <v>4465</v>
      </c>
      <c r="BR109" s="110" t="s">
        <v>4465</v>
      </c>
      <c r="BS109" s="110" t="s">
        <v>4585</v>
      </c>
      <c r="BT109" s="110" t="s">
        <v>4585</v>
      </c>
      <c r="BU109" s="2"/>
    </row>
    <row r="110" spans="1:73" ht="15">
      <c r="A110" s="61" t="s">
        <v>315</v>
      </c>
      <c r="B110" s="62"/>
      <c r="C110" s="62"/>
      <c r="D110" s="63">
        <v>100</v>
      </c>
      <c r="E110" s="65"/>
      <c r="F110" s="99" t="str">
        <f>HYPERLINK("https://pbs.twimg.com/profile_images/1568948429656674306/euHVm6a2_normal.jpg")</f>
        <v>https://pbs.twimg.com/profile_images/1568948429656674306/euHVm6a2_normal.jpg</v>
      </c>
      <c r="G110" s="62"/>
      <c r="H110" s="66" t="s">
        <v>315</v>
      </c>
      <c r="I110" s="67"/>
      <c r="J110" s="67"/>
      <c r="K110" s="66" t="s">
        <v>2952</v>
      </c>
      <c r="L110" s="70">
        <v>1</v>
      </c>
      <c r="M110" s="71">
        <v>945.0274658203125</v>
      </c>
      <c r="N110" s="71">
        <v>1698.548095703125</v>
      </c>
      <c r="O110" s="72"/>
      <c r="P110" s="73"/>
      <c r="Q110" s="73"/>
      <c r="R110" s="85"/>
      <c r="S110" s="45">
        <v>1</v>
      </c>
      <c r="T110" s="45">
        <v>1</v>
      </c>
      <c r="U110" s="46">
        <v>0</v>
      </c>
      <c r="V110" s="46">
        <v>0</v>
      </c>
      <c r="W110" s="46">
        <v>0</v>
      </c>
      <c r="X110" s="46">
        <v>0.003049</v>
      </c>
      <c r="Y110" s="46">
        <v>0</v>
      </c>
      <c r="Z110" s="46">
        <v>0</v>
      </c>
      <c r="AA110" s="68">
        <v>110</v>
      </c>
      <c r="AB110" s="68"/>
      <c r="AC110" s="69"/>
      <c r="AD110" s="75" t="s">
        <v>1944</v>
      </c>
      <c r="AE110" s="80" t="s">
        <v>2250</v>
      </c>
      <c r="AF110" s="75">
        <v>3175</v>
      </c>
      <c r="AG110" s="75">
        <v>917</v>
      </c>
      <c r="AH110" s="75">
        <v>18066</v>
      </c>
      <c r="AI110" s="75">
        <v>14885</v>
      </c>
      <c r="AJ110" s="75"/>
      <c r="AK110" s="75" t="s">
        <v>2491</v>
      </c>
      <c r="AL110" s="75"/>
      <c r="AM110" s="75"/>
      <c r="AN110" s="75"/>
      <c r="AO110" s="77">
        <v>44788.593981481485</v>
      </c>
      <c r="AP110" s="82" t="str">
        <f>HYPERLINK("https://pbs.twimg.com/profile_banners/1559181834767966208/1662901382")</f>
        <v>https://pbs.twimg.com/profile_banners/1559181834767966208/1662901382</v>
      </c>
      <c r="AQ110" s="75" t="b">
        <v>1</v>
      </c>
      <c r="AR110" s="75" t="b">
        <v>0</v>
      </c>
      <c r="AS110" s="75" t="b">
        <v>0</v>
      </c>
      <c r="AT110" s="75"/>
      <c r="AU110" s="75">
        <v>10</v>
      </c>
      <c r="AV110" s="75"/>
      <c r="AW110" s="75" t="b">
        <v>0</v>
      </c>
      <c r="AX110" s="75" t="s">
        <v>2845</v>
      </c>
      <c r="AY110" s="82" t="str">
        <f>HYPERLINK("https://twitter.com/doctornazab")</f>
        <v>https://twitter.com/doctornazab</v>
      </c>
      <c r="AZ110" s="75" t="s">
        <v>66</v>
      </c>
      <c r="BA110" s="75" t="str">
        <f>REPLACE(INDEX(GroupVertices[Group],MATCH(Vertices[[#This Row],[Vertex]],GroupVertices[Vertex],0)),1,1,"")</f>
        <v>2</v>
      </c>
      <c r="BB110" s="45">
        <v>0</v>
      </c>
      <c r="BC110" s="46">
        <v>0</v>
      </c>
      <c r="BD110" s="45">
        <v>0</v>
      </c>
      <c r="BE110" s="46">
        <v>0</v>
      </c>
      <c r="BF110" s="45">
        <v>0</v>
      </c>
      <c r="BG110" s="46">
        <v>0</v>
      </c>
      <c r="BH110" s="45">
        <v>12</v>
      </c>
      <c r="BI110" s="46">
        <v>100</v>
      </c>
      <c r="BJ110" s="45">
        <v>12</v>
      </c>
      <c r="BK110" s="45" t="s">
        <v>3973</v>
      </c>
      <c r="BL110" s="45" t="s">
        <v>3973</v>
      </c>
      <c r="BM110" s="45" t="s">
        <v>783</v>
      </c>
      <c r="BN110" s="45" t="s">
        <v>783</v>
      </c>
      <c r="BO110" s="45" t="s">
        <v>820</v>
      </c>
      <c r="BP110" s="45" t="s">
        <v>820</v>
      </c>
      <c r="BQ110" s="110" t="s">
        <v>4466</v>
      </c>
      <c r="BR110" s="110" t="s">
        <v>4466</v>
      </c>
      <c r="BS110" s="110" t="s">
        <v>4586</v>
      </c>
      <c r="BT110" s="110" t="s">
        <v>4586</v>
      </c>
      <c r="BU110" s="2"/>
    </row>
    <row r="111" spans="1:73" ht="15">
      <c r="A111" s="61" t="s">
        <v>316</v>
      </c>
      <c r="B111" s="62"/>
      <c r="C111" s="62"/>
      <c r="D111" s="63">
        <v>100</v>
      </c>
      <c r="E111" s="65"/>
      <c r="F111" s="99" t="str">
        <f>HYPERLINK("https://pbs.twimg.com/profile_images/1523823077171208192/-W8oi3yt_normal.jpg")</f>
        <v>https://pbs.twimg.com/profile_images/1523823077171208192/-W8oi3yt_normal.jpg</v>
      </c>
      <c r="G111" s="62"/>
      <c r="H111" s="66" t="s">
        <v>316</v>
      </c>
      <c r="I111" s="67"/>
      <c r="J111" s="67"/>
      <c r="K111" s="66" t="s">
        <v>2953</v>
      </c>
      <c r="L111" s="70">
        <v>1</v>
      </c>
      <c r="M111" s="71">
        <v>6194.50244140625</v>
      </c>
      <c r="N111" s="71">
        <v>6884.33349609375</v>
      </c>
      <c r="O111" s="72"/>
      <c r="P111" s="73"/>
      <c r="Q111" s="73"/>
      <c r="R111" s="85"/>
      <c r="S111" s="45">
        <v>0</v>
      </c>
      <c r="T111" s="45">
        <v>1</v>
      </c>
      <c r="U111" s="46">
        <v>0</v>
      </c>
      <c r="V111" s="46">
        <v>0.008495</v>
      </c>
      <c r="W111" s="46">
        <v>0</v>
      </c>
      <c r="X111" s="46">
        <v>0.002682</v>
      </c>
      <c r="Y111" s="46">
        <v>0</v>
      </c>
      <c r="Z111" s="46">
        <v>0</v>
      </c>
      <c r="AA111" s="68">
        <v>111</v>
      </c>
      <c r="AB111" s="68"/>
      <c r="AC111" s="69"/>
      <c r="AD111" s="75" t="s">
        <v>1945</v>
      </c>
      <c r="AE111" s="80" t="s">
        <v>2251</v>
      </c>
      <c r="AF111" s="75">
        <v>244</v>
      </c>
      <c r="AG111" s="75">
        <v>469</v>
      </c>
      <c r="AH111" s="75">
        <v>60051</v>
      </c>
      <c r="AI111" s="75">
        <v>110835</v>
      </c>
      <c r="AJ111" s="75"/>
      <c r="AK111" s="75" t="s">
        <v>2492</v>
      </c>
      <c r="AL111" s="75"/>
      <c r="AM111" s="75"/>
      <c r="AN111" s="75"/>
      <c r="AO111" s="77">
        <v>44234.11547453704</v>
      </c>
      <c r="AP111" s="82" t="str">
        <f>HYPERLINK("https://pbs.twimg.com/profile_banners/1358245615642181632/1648258033")</f>
        <v>https://pbs.twimg.com/profile_banners/1358245615642181632/1648258033</v>
      </c>
      <c r="AQ111" s="75" t="b">
        <v>1</v>
      </c>
      <c r="AR111" s="75" t="b">
        <v>0</v>
      </c>
      <c r="AS111" s="75" t="b">
        <v>0</v>
      </c>
      <c r="AT111" s="75"/>
      <c r="AU111" s="75">
        <v>18</v>
      </c>
      <c r="AV111" s="75"/>
      <c r="AW111" s="75" t="b">
        <v>0</v>
      </c>
      <c r="AX111" s="75" t="s">
        <v>2845</v>
      </c>
      <c r="AY111" s="82" t="str">
        <f>HYPERLINK("https://twitter.com/alex87431641")</f>
        <v>https://twitter.com/alex87431641</v>
      </c>
      <c r="AZ111" s="75" t="s">
        <v>66</v>
      </c>
      <c r="BA111" s="75" t="str">
        <f>REPLACE(INDEX(GroupVertices[Group],MATCH(Vertices[[#This Row],[Vertex]],GroupVertices[Vertex],0)),1,1,"")</f>
        <v>13</v>
      </c>
      <c r="BB111" s="45">
        <v>0</v>
      </c>
      <c r="BC111" s="46">
        <v>0</v>
      </c>
      <c r="BD111" s="45">
        <v>1</v>
      </c>
      <c r="BE111" s="46">
        <v>6.25</v>
      </c>
      <c r="BF111" s="45">
        <v>0</v>
      </c>
      <c r="BG111" s="46">
        <v>0</v>
      </c>
      <c r="BH111" s="45">
        <v>15</v>
      </c>
      <c r="BI111" s="46">
        <v>93.75</v>
      </c>
      <c r="BJ111" s="45">
        <v>16</v>
      </c>
      <c r="BK111" s="45" t="s">
        <v>4002</v>
      </c>
      <c r="BL111" s="45" t="s">
        <v>4002</v>
      </c>
      <c r="BM111" s="45" t="s">
        <v>783</v>
      </c>
      <c r="BN111" s="45" t="s">
        <v>783</v>
      </c>
      <c r="BO111" s="45" t="s">
        <v>821</v>
      </c>
      <c r="BP111" s="45" t="s">
        <v>821</v>
      </c>
      <c r="BQ111" s="110" t="s">
        <v>4467</v>
      </c>
      <c r="BR111" s="110" t="s">
        <v>4467</v>
      </c>
      <c r="BS111" s="110" t="s">
        <v>4587</v>
      </c>
      <c r="BT111" s="110" t="s">
        <v>4587</v>
      </c>
      <c r="BU111" s="2"/>
    </row>
    <row r="112" spans="1:73" ht="15">
      <c r="A112" s="61" t="s">
        <v>379</v>
      </c>
      <c r="B112" s="62"/>
      <c r="C112" s="62"/>
      <c r="D112" s="63">
        <v>113.13131363636364</v>
      </c>
      <c r="E112" s="65"/>
      <c r="F112" s="99" t="str">
        <f>HYPERLINK("https://pbs.twimg.com/profile_images/1504562358076772352/JsJgUY8e_normal.jpg")</f>
        <v>https://pbs.twimg.com/profile_images/1504562358076772352/JsJgUY8e_normal.jpg</v>
      </c>
      <c r="G112" s="62"/>
      <c r="H112" s="66" t="s">
        <v>379</v>
      </c>
      <c r="I112" s="67"/>
      <c r="J112" s="67"/>
      <c r="K112" s="66" t="s">
        <v>2954</v>
      </c>
      <c r="L112" s="70">
        <v>20.26255601595561</v>
      </c>
      <c r="M112" s="71">
        <v>5663.7861328125</v>
      </c>
      <c r="N112" s="71">
        <v>6568.78271484375</v>
      </c>
      <c r="O112" s="72"/>
      <c r="P112" s="73"/>
      <c r="Q112" s="73"/>
      <c r="R112" s="85"/>
      <c r="S112" s="45">
        <v>5</v>
      </c>
      <c r="T112" s="45">
        <v>3</v>
      </c>
      <c r="U112" s="46">
        <v>8.666667</v>
      </c>
      <c r="V112" s="46">
        <v>0.015291</v>
      </c>
      <c r="W112" s="46">
        <v>0</v>
      </c>
      <c r="X112" s="46">
        <v>0.003607</v>
      </c>
      <c r="Y112" s="46">
        <v>0.25</v>
      </c>
      <c r="Z112" s="46">
        <v>0.2</v>
      </c>
      <c r="AA112" s="68">
        <v>112</v>
      </c>
      <c r="AB112" s="68"/>
      <c r="AC112" s="69"/>
      <c r="AD112" s="75" t="s">
        <v>1946</v>
      </c>
      <c r="AE112" s="80" t="s">
        <v>2252</v>
      </c>
      <c r="AF112" s="75">
        <v>400</v>
      </c>
      <c r="AG112" s="75">
        <v>109</v>
      </c>
      <c r="AH112" s="75">
        <v>1086</v>
      </c>
      <c r="AI112" s="75">
        <v>1684</v>
      </c>
      <c r="AJ112" s="75"/>
      <c r="AK112" s="75" t="s">
        <v>2493</v>
      </c>
      <c r="AL112" s="75" t="s">
        <v>2738</v>
      </c>
      <c r="AM112" s="75"/>
      <c r="AN112" s="75"/>
      <c r="AO112" s="77">
        <v>40292.64258101852</v>
      </c>
      <c r="AP112" s="82" t="str">
        <f>HYPERLINK("https://pbs.twimg.com/profile_banners/136666777/1662403887")</f>
        <v>https://pbs.twimg.com/profile_banners/136666777/1662403887</v>
      </c>
      <c r="AQ112" s="75" t="b">
        <v>0</v>
      </c>
      <c r="AR112" s="75" t="b">
        <v>0</v>
      </c>
      <c r="AS112" s="75" t="b">
        <v>1</v>
      </c>
      <c r="AT112" s="75"/>
      <c r="AU112" s="75">
        <v>3</v>
      </c>
      <c r="AV112" s="82" t="str">
        <f>HYPERLINK("https://abs.twimg.com/images/themes/theme13/bg.gif")</f>
        <v>https://abs.twimg.com/images/themes/theme13/bg.gif</v>
      </c>
      <c r="AW112" s="75" t="b">
        <v>0</v>
      </c>
      <c r="AX112" s="75" t="s">
        <v>2845</v>
      </c>
      <c r="AY112" s="82" t="str">
        <f>HYPERLINK("https://twitter.com/vasilsimeonovbg")</f>
        <v>https://twitter.com/vasilsimeonovbg</v>
      </c>
      <c r="AZ112" s="75" t="s">
        <v>66</v>
      </c>
      <c r="BA112" s="75" t="str">
        <f>REPLACE(INDEX(GroupVertices[Group],MATCH(Vertices[[#This Row],[Vertex]],GroupVertices[Vertex],0)),1,1,"")</f>
        <v>13</v>
      </c>
      <c r="BB112" s="45">
        <v>5</v>
      </c>
      <c r="BC112" s="46">
        <v>5.555555555555555</v>
      </c>
      <c r="BD112" s="45">
        <v>3</v>
      </c>
      <c r="BE112" s="46">
        <v>3.3333333333333335</v>
      </c>
      <c r="BF112" s="45">
        <v>0</v>
      </c>
      <c r="BG112" s="46">
        <v>0</v>
      </c>
      <c r="BH112" s="45">
        <v>82</v>
      </c>
      <c r="BI112" s="46">
        <v>91.11111111111111</v>
      </c>
      <c r="BJ112" s="45">
        <v>90</v>
      </c>
      <c r="BK112" s="45" t="s">
        <v>4002</v>
      </c>
      <c r="BL112" s="45" t="s">
        <v>4002</v>
      </c>
      <c r="BM112" s="45" t="s">
        <v>783</v>
      </c>
      <c r="BN112" s="45" t="s">
        <v>783</v>
      </c>
      <c r="BO112" s="45" t="s">
        <v>4081</v>
      </c>
      <c r="BP112" s="45" t="s">
        <v>4428</v>
      </c>
      <c r="BQ112" s="110" t="s">
        <v>4468</v>
      </c>
      <c r="BR112" s="110" t="s">
        <v>4544</v>
      </c>
      <c r="BS112" s="110" t="s">
        <v>4251</v>
      </c>
      <c r="BT112" s="110" t="s">
        <v>4251</v>
      </c>
      <c r="BU112" s="2"/>
    </row>
    <row r="113" spans="1:73" ht="15">
      <c r="A113" s="61" t="s">
        <v>317</v>
      </c>
      <c r="B113" s="62"/>
      <c r="C113" s="62"/>
      <c r="D113" s="63">
        <v>709.0909090909091</v>
      </c>
      <c r="E113" s="65"/>
      <c r="F113" s="99" t="str">
        <f>HYPERLINK("https://pbs.twimg.com/profile_images/1542401699238789124/Qzd6s1He_normal.jpg")</f>
        <v>https://pbs.twimg.com/profile_images/1542401699238789124/Qzd6s1He_normal.jpg</v>
      </c>
      <c r="G113" s="62"/>
      <c r="H113" s="66" t="s">
        <v>317</v>
      </c>
      <c r="I113" s="67"/>
      <c r="J113" s="67"/>
      <c r="K113" s="66" t="s">
        <v>2955</v>
      </c>
      <c r="L113" s="70">
        <v>894.4862177598557</v>
      </c>
      <c r="M113" s="71">
        <v>8328.435546875</v>
      </c>
      <c r="N113" s="71">
        <v>8396.595703125</v>
      </c>
      <c r="O113" s="72"/>
      <c r="P113" s="73"/>
      <c r="Q113" s="73"/>
      <c r="R113" s="85"/>
      <c r="S113" s="45">
        <v>0</v>
      </c>
      <c r="T113" s="45">
        <v>3</v>
      </c>
      <c r="U113" s="46">
        <v>402</v>
      </c>
      <c r="V113" s="46">
        <v>0.061303</v>
      </c>
      <c r="W113" s="46">
        <v>0.003781</v>
      </c>
      <c r="X113" s="46">
        <v>0.003638</v>
      </c>
      <c r="Y113" s="46">
        <v>0</v>
      </c>
      <c r="Z113" s="46">
        <v>0</v>
      </c>
      <c r="AA113" s="68">
        <v>113</v>
      </c>
      <c r="AB113" s="68"/>
      <c r="AC113" s="69"/>
      <c r="AD113" s="75" t="s">
        <v>1947</v>
      </c>
      <c r="AE113" s="80" t="s">
        <v>2253</v>
      </c>
      <c r="AF113" s="75">
        <v>201</v>
      </c>
      <c r="AG113" s="75">
        <v>91</v>
      </c>
      <c r="AH113" s="75">
        <v>905</v>
      </c>
      <c r="AI113" s="75">
        <v>4524</v>
      </c>
      <c r="AJ113" s="75"/>
      <c r="AK113" s="75" t="s">
        <v>2494</v>
      </c>
      <c r="AL113" s="75"/>
      <c r="AM113" s="75"/>
      <c r="AN113" s="75"/>
      <c r="AO113" s="77">
        <v>44541.84380787037</v>
      </c>
      <c r="AP113" s="82" t="str">
        <f>HYPERLINK("https://pbs.twimg.com/profile_banners/1469761835293417484/1656538005")</f>
        <v>https://pbs.twimg.com/profile_banners/1469761835293417484/1656538005</v>
      </c>
      <c r="AQ113" s="75" t="b">
        <v>1</v>
      </c>
      <c r="AR113" s="75" t="b">
        <v>0</v>
      </c>
      <c r="AS113" s="75" t="b">
        <v>0</v>
      </c>
      <c r="AT113" s="75"/>
      <c r="AU113" s="75">
        <v>1</v>
      </c>
      <c r="AV113" s="75"/>
      <c r="AW113" s="75" t="b">
        <v>0</v>
      </c>
      <c r="AX113" s="75" t="s">
        <v>2845</v>
      </c>
      <c r="AY113" s="82" t="str">
        <f>HYPERLINK("https://twitter.com/levin3700")</f>
        <v>https://twitter.com/levin3700</v>
      </c>
      <c r="AZ113" s="75" t="s">
        <v>66</v>
      </c>
      <c r="BA113" s="75" t="str">
        <f>REPLACE(INDEX(GroupVertices[Group],MATCH(Vertices[[#This Row],[Vertex]],GroupVertices[Vertex],0)),1,1,"")</f>
        <v>25</v>
      </c>
      <c r="BB113" s="45">
        <v>0</v>
      </c>
      <c r="BC113" s="46">
        <v>0</v>
      </c>
      <c r="BD113" s="45">
        <v>0</v>
      </c>
      <c r="BE113" s="46">
        <v>0</v>
      </c>
      <c r="BF113" s="45">
        <v>0</v>
      </c>
      <c r="BG113" s="46">
        <v>0</v>
      </c>
      <c r="BH113" s="45">
        <v>4</v>
      </c>
      <c r="BI113" s="46">
        <v>100</v>
      </c>
      <c r="BJ113" s="45">
        <v>4</v>
      </c>
      <c r="BK113" s="45"/>
      <c r="BL113" s="45"/>
      <c r="BM113" s="45"/>
      <c r="BN113" s="45"/>
      <c r="BO113" s="45" t="s">
        <v>795</v>
      </c>
      <c r="BP113" s="45" t="s">
        <v>795</v>
      </c>
      <c r="BQ113" s="110" t="s">
        <v>4469</v>
      </c>
      <c r="BR113" s="110" t="s">
        <v>4469</v>
      </c>
      <c r="BS113" s="110" t="s">
        <v>4588</v>
      </c>
      <c r="BT113" s="110" t="s">
        <v>4588</v>
      </c>
      <c r="BU113" s="2"/>
    </row>
    <row r="114" spans="1:73" ht="15">
      <c r="A114" s="61" t="s">
        <v>476</v>
      </c>
      <c r="B114" s="62"/>
      <c r="C114" s="62"/>
      <c r="D114" s="63">
        <v>100</v>
      </c>
      <c r="E114" s="65"/>
      <c r="F114" s="99" t="str">
        <f>HYPERLINK("https://pbs.twimg.com/profile_images/1529553341310803969/Ut_3gqHa_normal.jpg")</f>
        <v>https://pbs.twimg.com/profile_images/1529553341310803969/Ut_3gqHa_normal.jpg</v>
      </c>
      <c r="G114" s="62"/>
      <c r="H114" s="66" t="s">
        <v>476</v>
      </c>
      <c r="I114" s="67"/>
      <c r="J114" s="67"/>
      <c r="K114" s="66" t="s">
        <v>2956</v>
      </c>
      <c r="L114" s="70">
        <v>1</v>
      </c>
      <c r="M114" s="71">
        <v>8499.150390625</v>
      </c>
      <c r="N114" s="71">
        <v>9037.5576171875</v>
      </c>
      <c r="O114" s="72"/>
      <c r="P114" s="73"/>
      <c r="Q114" s="73"/>
      <c r="R114" s="85"/>
      <c r="S114" s="45">
        <v>1</v>
      </c>
      <c r="T114" s="45">
        <v>0</v>
      </c>
      <c r="U114" s="46">
        <v>0</v>
      </c>
      <c r="V114" s="46">
        <v>0.051317</v>
      </c>
      <c r="W114" s="46">
        <v>0.000671</v>
      </c>
      <c r="X114" s="46">
        <v>0.002773</v>
      </c>
      <c r="Y114" s="46">
        <v>0</v>
      </c>
      <c r="Z114" s="46">
        <v>0</v>
      </c>
      <c r="AA114" s="68">
        <v>114</v>
      </c>
      <c r="AB114" s="68"/>
      <c r="AC114" s="69"/>
      <c r="AD114" s="75" t="s">
        <v>1948</v>
      </c>
      <c r="AE114" s="80" t="s">
        <v>2254</v>
      </c>
      <c r="AF114" s="75">
        <v>4237</v>
      </c>
      <c r="AG114" s="75">
        <v>8859</v>
      </c>
      <c r="AH114" s="75">
        <v>18383</v>
      </c>
      <c r="AI114" s="75">
        <v>64409</v>
      </c>
      <c r="AJ114" s="75"/>
      <c r="AK114" s="75" t="s">
        <v>2495</v>
      </c>
      <c r="AL114" s="75" t="s">
        <v>2739</v>
      </c>
      <c r="AM114" s="75"/>
      <c r="AN114" s="75"/>
      <c r="AO114" s="77">
        <v>40097.572488425925</v>
      </c>
      <c r="AP114" s="82" t="str">
        <f>HYPERLINK("https://pbs.twimg.com/profile_banners/81596596/1632994979")</f>
        <v>https://pbs.twimg.com/profile_banners/81596596/1632994979</v>
      </c>
      <c r="AQ114" s="75" t="b">
        <v>1</v>
      </c>
      <c r="AR114" s="75" t="b">
        <v>0</v>
      </c>
      <c r="AS114" s="75" t="b">
        <v>1</v>
      </c>
      <c r="AT114" s="75"/>
      <c r="AU114" s="75">
        <v>131</v>
      </c>
      <c r="AV114" s="82" t="str">
        <f>HYPERLINK("https://abs.twimg.com/images/themes/theme1/bg.png")</f>
        <v>https://abs.twimg.com/images/themes/theme1/bg.png</v>
      </c>
      <c r="AW114" s="75" t="b">
        <v>1</v>
      </c>
      <c r="AX114" s="75" t="s">
        <v>2845</v>
      </c>
      <c r="AY114" s="82" t="str">
        <f>HYPERLINK("https://twitter.com/sarananni")</f>
        <v>https://twitter.com/sarananni</v>
      </c>
      <c r="AZ114" s="75" t="s">
        <v>65</v>
      </c>
      <c r="BA114" s="75" t="str">
        <f>REPLACE(INDEX(GroupVertices[Group],MATCH(Vertices[[#This Row],[Vertex]],GroupVertices[Vertex],0)),1,1,"")</f>
        <v>25</v>
      </c>
      <c r="BB114" s="45"/>
      <c r="BC114" s="46"/>
      <c r="BD114" s="45"/>
      <c r="BE114" s="46"/>
      <c r="BF114" s="45"/>
      <c r="BG114" s="46"/>
      <c r="BH114" s="45"/>
      <c r="BI114" s="46"/>
      <c r="BJ114" s="45"/>
      <c r="BK114" s="45"/>
      <c r="BL114" s="45"/>
      <c r="BM114" s="45"/>
      <c r="BN114" s="45"/>
      <c r="BO114" s="45"/>
      <c r="BP114" s="45"/>
      <c r="BQ114" s="45"/>
      <c r="BR114" s="45"/>
      <c r="BS114" s="45"/>
      <c r="BT114" s="45"/>
      <c r="BU114" s="2"/>
    </row>
    <row r="115" spans="1:73" ht="15">
      <c r="A115" s="61" t="s">
        <v>477</v>
      </c>
      <c r="B115" s="62"/>
      <c r="C115" s="62"/>
      <c r="D115" s="63">
        <v>100</v>
      </c>
      <c r="E115" s="65"/>
      <c r="F115" s="99" t="str">
        <f>HYPERLINK("https://pbs.twimg.com/profile_images/1518115726145564673/bYOEfIDo_normal.jpg")</f>
        <v>https://pbs.twimg.com/profile_images/1518115726145564673/bYOEfIDo_normal.jpg</v>
      </c>
      <c r="G115" s="62"/>
      <c r="H115" s="66" t="s">
        <v>477</v>
      </c>
      <c r="I115" s="67"/>
      <c r="J115" s="67"/>
      <c r="K115" s="66" t="s">
        <v>2957</v>
      </c>
      <c r="L115" s="70">
        <v>1</v>
      </c>
      <c r="M115" s="71">
        <v>8328.435546875</v>
      </c>
      <c r="N115" s="71">
        <v>9037.5576171875</v>
      </c>
      <c r="O115" s="72"/>
      <c r="P115" s="73"/>
      <c r="Q115" s="73"/>
      <c r="R115" s="85"/>
      <c r="S115" s="45">
        <v>1</v>
      </c>
      <c r="T115" s="45">
        <v>0</v>
      </c>
      <c r="U115" s="46">
        <v>0</v>
      </c>
      <c r="V115" s="46">
        <v>0.051317</v>
      </c>
      <c r="W115" s="46">
        <v>0.000671</v>
      </c>
      <c r="X115" s="46">
        <v>0.002773</v>
      </c>
      <c r="Y115" s="46">
        <v>0</v>
      </c>
      <c r="Z115" s="46">
        <v>0</v>
      </c>
      <c r="AA115" s="68">
        <v>115</v>
      </c>
      <c r="AB115" s="68"/>
      <c r="AC115" s="69"/>
      <c r="AD115" s="75" t="s">
        <v>1949</v>
      </c>
      <c r="AE115" s="80" t="s">
        <v>1692</v>
      </c>
      <c r="AF115" s="75">
        <v>1944</v>
      </c>
      <c r="AG115" s="75">
        <v>219184</v>
      </c>
      <c r="AH115" s="75">
        <v>18821</v>
      </c>
      <c r="AI115" s="75">
        <v>25528</v>
      </c>
      <c r="AJ115" s="75"/>
      <c r="AK115" s="75" t="s">
        <v>2496</v>
      </c>
      <c r="AL115" s="75"/>
      <c r="AM115" s="82" t="str">
        <f>HYPERLINK("https://t.co/aoRZaA4WHk")</f>
        <v>https://t.co/aoRZaA4WHk</v>
      </c>
      <c r="AN115" s="75"/>
      <c r="AO115" s="77">
        <v>41094.353159722225</v>
      </c>
      <c r="AP115" s="82" t="str">
        <f>HYPERLINK("https://pbs.twimg.com/profile_banners/626287930/1656680088")</f>
        <v>https://pbs.twimg.com/profile_banners/626287930/1656680088</v>
      </c>
      <c r="AQ115" s="75" t="b">
        <v>0</v>
      </c>
      <c r="AR115" s="75" t="b">
        <v>0</v>
      </c>
      <c r="AS115" s="75" t="b">
        <v>1</v>
      </c>
      <c r="AT115" s="75"/>
      <c r="AU115" s="75">
        <v>1528</v>
      </c>
      <c r="AV115" s="82" t="str">
        <f>HYPERLINK("https://abs.twimg.com/images/themes/theme13/bg.gif")</f>
        <v>https://abs.twimg.com/images/themes/theme13/bg.gif</v>
      </c>
      <c r="AW115" s="75" t="b">
        <v>1</v>
      </c>
      <c r="AX115" s="75" t="s">
        <v>2845</v>
      </c>
      <c r="AY115" s="82" t="str">
        <f>HYPERLINK("https://twitter.com/goeringeckardt")</f>
        <v>https://twitter.com/goeringeckardt</v>
      </c>
      <c r="AZ115" s="75" t="s">
        <v>65</v>
      </c>
      <c r="BA115" s="75" t="str">
        <f>REPLACE(INDEX(GroupVertices[Group],MATCH(Vertices[[#This Row],[Vertex]],GroupVertices[Vertex],0)),1,1,"")</f>
        <v>25</v>
      </c>
      <c r="BB115" s="45"/>
      <c r="BC115" s="46"/>
      <c r="BD115" s="45"/>
      <c r="BE115" s="46"/>
      <c r="BF115" s="45"/>
      <c r="BG115" s="46"/>
      <c r="BH115" s="45"/>
      <c r="BI115" s="46"/>
      <c r="BJ115" s="45"/>
      <c r="BK115" s="45"/>
      <c r="BL115" s="45"/>
      <c r="BM115" s="45"/>
      <c r="BN115" s="45"/>
      <c r="BO115" s="45"/>
      <c r="BP115" s="45"/>
      <c r="BQ115" s="45"/>
      <c r="BR115" s="45"/>
      <c r="BS115" s="45"/>
      <c r="BT115" s="45"/>
      <c r="BU115" s="2"/>
    </row>
    <row r="116" spans="1:73" ht="15">
      <c r="A116" s="61" t="s">
        <v>478</v>
      </c>
      <c r="B116" s="62"/>
      <c r="C116" s="62"/>
      <c r="D116" s="63">
        <v>1000</v>
      </c>
      <c r="E116" s="65"/>
      <c r="F116" s="99" t="str">
        <f>HYPERLINK("https://pbs.twimg.com/profile_images/1555103756143960064/HTGWw8Pc_normal.jpg")</f>
        <v>https://pbs.twimg.com/profile_images/1555103756143960064/HTGWw8Pc_normal.jpg</v>
      </c>
      <c r="G116" s="62"/>
      <c r="H116" s="66" t="s">
        <v>478</v>
      </c>
      <c r="I116" s="67"/>
      <c r="J116" s="67"/>
      <c r="K116" s="66" t="s">
        <v>2958</v>
      </c>
      <c r="L116" s="70">
        <v>1321.225903854115</v>
      </c>
      <c r="M116" s="71">
        <v>8499.150390625</v>
      </c>
      <c r="N116" s="71">
        <v>8396.595703125</v>
      </c>
      <c r="O116" s="72"/>
      <c r="P116" s="73"/>
      <c r="Q116" s="73"/>
      <c r="R116" s="85"/>
      <c r="S116" s="45">
        <v>2</v>
      </c>
      <c r="T116" s="45">
        <v>0</v>
      </c>
      <c r="U116" s="46">
        <v>594</v>
      </c>
      <c r="V116" s="46">
        <v>0.075395</v>
      </c>
      <c r="W116" s="46">
        <v>0.019964</v>
      </c>
      <c r="X116" s="46">
        <v>0.002859</v>
      </c>
      <c r="Y116" s="46">
        <v>0</v>
      </c>
      <c r="Z116" s="46">
        <v>0</v>
      </c>
      <c r="AA116" s="68">
        <v>116</v>
      </c>
      <c r="AB116" s="68"/>
      <c r="AC116" s="69"/>
      <c r="AD116" s="75" t="s">
        <v>1950</v>
      </c>
      <c r="AE116" s="80" t="s">
        <v>2255</v>
      </c>
      <c r="AF116" s="75">
        <v>73</v>
      </c>
      <c r="AG116" s="75">
        <v>492269</v>
      </c>
      <c r="AH116" s="75">
        <v>208</v>
      </c>
      <c r="AI116" s="75">
        <v>49</v>
      </c>
      <c r="AJ116" s="75"/>
      <c r="AK116" s="75" t="s">
        <v>2497</v>
      </c>
      <c r="AL116" s="75" t="s">
        <v>2740</v>
      </c>
      <c r="AM116" s="82" t="str">
        <f>HYPERLINK("https://t.co/bR6R0XD5I5")</f>
        <v>https://t.co/bR6R0XD5I5</v>
      </c>
      <c r="AN116" s="75"/>
      <c r="AO116" s="77">
        <v>44540.46925925926</v>
      </c>
      <c r="AP116" s="82" t="str">
        <f>HYPERLINK("https://pbs.twimg.com/profile_banners/1469264387512979461/1647890690")</f>
        <v>https://pbs.twimg.com/profile_banners/1469264387512979461/1647890690</v>
      </c>
      <c r="AQ116" s="75" t="b">
        <v>1</v>
      </c>
      <c r="AR116" s="75" t="b">
        <v>0</v>
      </c>
      <c r="AS116" s="75" t="b">
        <v>1</v>
      </c>
      <c r="AT116" s="75"/>
      <c r="AU116" s="75">
        <v>1258</v>
      </c>
      <c r="AV116" s="75"/>
      <c r="AW116" s="75" t="b">
        <v>1</v>
      </c>
      <c r="AX116" s="75" t="s">
        <v>2845</v>
      </c>
      <c r="AY116" s="82" t="str">
        <f>HYPERLINK("https://twitter.com/abaerbock")</f>
        <v>https://twitter.com/abaerbock</v>
      </c>
      <c r="AZ116" s="75" t="s">
        <v>65</v>
      </c>
      <c r="BA116" s="75" t="str">
        <f>REPLACE(INDEX(GroupVertices[Group],MATCH(Vertices[[#This Row],[Vertex]],GroupVertices[Vertex],0)),1,1,"")</f>
        <v>25</v>
      </c>
      <c r="BB116" s="45"/>
      <c r="BC116" s="46"/>
      <c r="BD116" s="45"/>
      <c r="BE116" s="46"/>
      <c r="BF116" s="45"/>
      <c r="BG116" s="46"/>
      <c r="BH116" s="45"/>
      <c r="BI116" s="46"/>
      <c r="BJ116" s="45"/>
      <c r="BK116" s="45"/>
      <c r="BL116" s="45"/>
      <c r="BM116" s="45"/>
      <c r="BN116" s="45"/>
      <c r="BO116" s="45"/>
      <c r="BP116" s="45"/>
      <c r="BQ116" s="45"/>
      <c r="BR116" s="45"/>
      <c r="BS116" s="45"/>
      <c r="BT116" s="45"/>
      <c r="BU116" s="2"/>
    </row>
    <row r="117" spans="1:73" ht="15">
      <c r="A117" s="61" t="s">
        <v>319</v>
      </c>
      <c r="B117" s="62"/>
      <c r="C117" s="62"/>
      <c r="D117" s="63">
        <v>101.81818181818181</v>
      </c>
      <c r="E117" s="65"/>
      <c r="F117" s="99" t="str">
        <f>HYPERLINK("https://pbs.twimg.com/profile_images/1563852833165905921/coR9qwp7_normal.jpg")</f>
        <v>https://pbs.twimg.com/profile_images/1563852833165905921/coR9qwp7_normal.jpg</v>
      </c>
      <c r="G117" s="62"/>
      <c r="H117" s="66" t="s">
        <v>319</v>
      </c>
      <c r="I117" s="67"/>
      <c r="J117" s="67"/>
      <c r="K117" s="66" t="s">
        <v>2959</v>
      </c>
      <c r="L117" s="70">
        <v>3.6671230380891213</v>
      </c>
      <c r="M117" s="71">
        <v>5389.705078125</v>
      </c>
      <c r="N117" s="71">
        <v>6173.58642578125</v>
      </c>
      <c r="O117" s="72"/>
      <c r="P117" s="73"/>
      <c r="Q117" s="73"/>
      <c r="R117" s="85"/>
      <c r="S117" s="45">
        <v>0</v>
      </c>
      <c r="T117" s="45">
        <v>4</v>
      </c>
      <c r="U117" s="46">
        <v>1.2</v>
      </c>
      <c r="V117" s="46">
        <v>0.014985</v>
      </c>
      <c r="W117" s="46">
        <v>8E-06</v>
      </c>
      <c r="X117" s="46">
        <v>0.002942</v>
      </c>
      <c r="Y117" s="46">
        <v>0.25</v>
      </c>
      <c r="Z117" s="46">
        <v>0</v>
      </c>
      <c r="AA117" s="68">
        <v>117</v>
      </c>
      <c r="AB117" s="68"/>
      <c r="AC117" s="69"/>
      <c r="AD117" s="75" t="s">
        <v>1951</v>
      </c>
      <c r="AE117" s="80" t="s">
        <v>2256</v>
      </c>
      <c r="AF117" s="75">
        <v>500</v>
      </c>
      <c r="AG117" s="75">
        <v>509</v>
      </c>
      <c r="AH117" s="75">
        <v>16682</v>
      </c>
      <c r="AI117" s="75">
        <v>21853</v>
      </c>
      <c r="AJ117" s="75"/>
      <c r="AK117" s="75" t="s">
        <v>2498</v>
      </c>
      <c r="AL117" s="75"/>
      <c r="AM117" s="75"/>
      <c r="AN117" s="75"/>
      <c r="AO117" s="77">
        <v>44658.83563657408</v>
      </c>
      <c r="AP117" s="82" t="str">
        <f>HYPERLINK("https://pbs.twimg.com/profile_banners/1512158975017553929/1649931439")</f>
        <v>https://pbs.twimg.com/profile_banners/1512158975017553929/1649931439</v>
      </c>
      <c r="AQ117" s="75" t="b">
        <v>1</v>
      </c>
      <c r="AR117" s="75" t="b">
        <v>0</v>
      </c>
      <c r="AS117" s="75" t="b">
        <v>0</v>
      </c>
      <c r="AT117" s="75"/>
      <c r="AU117" s="75">
        <v>0</v>
      </c>
      <c r="AV117" s="75"/>
      <c r="AW117" s="75" t="b">
        <v>0</v>
      </c>
      <c r="AX117" s="75" t="s">
        <v>2845</v>
      </c>
      <c r="AY117" s="82" t="str">
        <f>HYPERLINK("https://twitter.com/jeanonekit")</f>
        <v>https://twitter.com/jeanonekit</v>
      </c>
      <c r="AZ117" s="75" t="s">
        <v>66</v>
      </c>
      <c r="BA117" s="75" t="str">
        <f>REPLACE(INDEX(GroupVertices[Group],MATCH(Vertices[[#This Row],[Vertex]],GroupVertices[Vertex],0)),1,1,"")</f>
        <v>10</v>
      </c>
      <c r="BB117" s="45">
        <v>0</v>
      </c>
      <c r="BC117" s="46">
        <v>0</v>
      </c>
      <c r="BD117" s="45">
        <v>1</v>
      </c>
      <c r="BE117" s="46">
        <v>2.7777777777777777</v>
      </c>
      <c r="BF117" s="45">
        <v>0</v>
      </c>
      <c r="BG117" s="46">
        <v>0</v>
      </c>
      <c r="BH117" s="45">
        <v>35</v>
      </c>
      <c r="BI117" s="46">
        <v>97.22222222222223</v>
      </c>
      <c r="BJ117" s="45">
        <v>36</v>
      </c>
      <c r="BK117" s="45"/>
      <c r="BL117" s="45"/>
      <c r="BM117" s="45"/>
      <c r="BN117" s="45"/>
      <c r="BO117" s="45" t="s">
        <v>792</v>
      </c>
      <c r="BP117" s="45" t="s">
        <v>792</v>
      </c>
      <c r="BQ117" s="110" t="s">
        <v>4110</v>
      </c>
      <c r="BR117" s="110" t="s">
        <v>4110</v>
      </c>
      <c r="BS117" s="110" t="s">
        <v>4248</v>
      </c>
      <c r="BT117" s="110" t="s">
        <v>4248</v>
      </c>
      <c r="BU117" s="2"/>
    </row>
    <row r="118" spans="1:73" ht="15">
      <c r="A118" s="61" t="s">
        <v>320</v>
      </c>
      <c r="B118" s="62"/>
      <c r="C118" s="62"/>
      <c r="D118" s="63">
        <v>100</v>
      </c>
      <c r="E118" s="65"/>
      <c r="F118" s="99" t="str">
        <f>HYPERLINK("https://pbs.twimg.com/profile_images/1544171727412150273/O6KLm71w_normal.jpg")</f>
        <v>https://pbs.twimg.com/profile_images/1544171727412150273/O6KLm71w_normal.jpg</v>
      </c>
      <c r="G118" s="62"/>
      <c r="H118" s="66" t="s">
        <v>320</v>
      </c>
      <c r="I118" s="67"/>
      <c r="J118" s="67"/>
      <c r="K118" s="66" t="s">
        <v>2960</v>
      </c>
      <c r="L118" s="70">
        <v>1</v>
      </c>
      <c r="M118" s="71">
        <v>1225.4871826171875</v>
      </c>
      <c r="N118" s="71">
        <v>993.4903564453125</v>
      </c>
      <c r="O118" s="72"/>
      <c r="P118" s="73"/>
      <c r="Q118" s="73"/>
      <c r="R118" s="85"/>
      <c r="S118" s="45">
        <v>1</v>
      </c>
      <c r="T118" s="45">
        <v>1</v>
      </c>
      <c r="U118" s="46">
        <v>0</v>
      </c>
      <c r="V118" s="46">
        <v>0</v>
      </c>
      <c r="W118" s="46">
        <v>0</v>
      </c>
      <c r="X118" s="46">
        <v>0.003049</v>
      </c>
      <c r="Y118" s="46">
        <v>0</v>
      </c>
      <c r="Z118" s="46">
        <v>0</v>
      </c>
      <c r="AA118" s="68">
        <v>118</v>
      </c>
      <c r="AB118" s="68"/>
      <c r="AC118" s="69"/>
      <c r="AD118" s="75" t="s">
        <v>1952</v>
      </c>
      <c r="AE118" s="80" t="s">
        <v>2257</v>
      </c>
      <c r="AF118" s="75">
        <v>31</v>
      </c>
      <c r="AG118" s="75">
        <v>3</v>
      </c>
      <c r="AH118" s="75">
        <v>391</v>
      </c>
      <c r="AI118" s="75">
        <v>42</v>
      </c>
      <c r="AJ118" s="75"/>
      <c r="AK118" s="75" t="s">
        <v>2499</v>
      </c>
      <c r="AL118" s="75" t="s">
        <v>2741</v>
      </c>
      <c r="AM118" s="75"/>
      <c r="AN118" s="75"/>
      <c r="AO118" s="77">
        <v>43386.0177662037</v>
      </c>
      <c r="AP118" s="82" t="str">
        <f>HYPERLINK("https://pbs.twimg.com/profile_banners/1050905351304835072/1656994208")</f>
        <v>https://pbs.twimg.com/profile_banners/1050905351304835072/1656994208</v>
      </c>
      <c r="AQ118" s="75" t="b">
        <v>1</v>
      </c>
      <c r="AR118" s="75" t="b">
        <v>0</v>
      </c>
      <c r="AS118" s="75" t="b">
        <v>0</v>
      </c>
      <c r="AT118" s="75"/>
      <c r="AU118" s="75">
        <v>0</v>
      </c>
      <c r="AV118" s="75"/>
      <c r="AW118" s="75" t="b">
        <v>0</v>
      </c>
      <c r="AX118" s="75" t="s">
        <v>2845</v>
      </c>
      <c r="AY118" s="82" t="str">
        <f>HYPERLINK("https://twitter.com/hamfordjohn")</f>
        <v>https://twitter.com/hamfordjohn</v>
      </c>
      <c r="AZ118" s="75" t="s">
        <v>66</v>
      </c>
      <c r="BA118" s="75" t="str">
        <f>REPLACE(INDEX(GroupVertices[Group],MATCH(Vertices[[#This Row],[Vertex]],GroupVertices[Vertex],0)),1,1,"")</f>
        <v>2</v>
      </c>
      <c r="BB118" s="45">
        <v>0</v>
      </c>
      <c r="BC118" s="46">
        <v>0</v>
      </c>
      <c r="BD118" s="45">
        <v>0</v>
      </c>
      <c r="BE118" s="46">
        <v>0</v>
      </c>
      <c r="BF118" s="45">
        <v>0</v>
      </c>
      <c r="BG118" s="46">
        <v>0</v>
      </c>
      <c r="BH118" s="45">
        <v>17</v>
      </c>
      <c r="BI118" s="46">
        <v>100</v>
      </c>
      <c r="BJ118" s="45">
        <v>17</v>
      </c>
      <c r="BK118" s="45"/>
      <c r="BL118" s="45"/>
      <c r="BM118" s="45"/>
      <c r="BN118" s="45"/>
      <c r="BO118" s="45" t="s">
        <v>795</v>
      </c>
      <c r="BP118" s="45" t="s">
        <v>795</v>
      </c>
      <c r="BQ118" s="110" t="s">
        <v>4470</v>
      </c>
      <c r="BR118" s="110" t="s">
        <v>4470</v>
      </c>
      <c r="BS118" s="110" t="s">
        <v>4589</v>
      </c>
      <c r="BT118" s="110" t="s">
        <v>4589</v>
      </c>
      <c r="BU118" s="2"/>
    </row>
    <row r="119" spans="1:73" ht="15">
      <c r="A119" s="61" t="s">
        <v>321</v>
      </c>
      <c r="B119" s="62"/>
      <c r="C119" s="62"/>
      <c r="D119" s="63">
        <v>100</v>
      </c>
      <c r="E119" s="65"/>
      <c r="F119" s="99" t="str">
        <f>HYPERLINK("https://pbs.twimg.com/profile_images/1558145228825059337/iMGMDJlF_normal.jpg")</f>
        <v>https://pbs.twimg.com/profile_images/1558145228825059337/iMGMDJlF_normal.jpg</v>
      </c>
      <c r="G119" s="62"/>
      <c r="H119" s="66" t="s">
        <v>321</v>
      </c>
      <c r="I119" s="67"/>
      <c r="J119" s="67"/>
      <c r="K119" s="66" t="s">
        <v>2961</v>
      </c>
      <c r="L119" s="70">
        <v>1</v>
      </c>
      <c r="M119" s="71">
        <v>2225.822265625</v>
      </c>
      <c r="N119" s="71">
        <v>8384.6328125</v>
      </c>
      <c r="O119" s="72"/>
      <c r="P119" s="73"/>
      <c r="Q119" s="73"/>
      <c r="R119" s="85"/>
      <c r="S119" s="45">
        <v>0</v>
      </c>
      <c r="T119" s="45">
        <v>1</v>
      </c>
      <c r="U119" s="46">
        <v>0</v>
      </c>
      <c r="V119" s="46">
        <v>0.071498</v>
      </c>
      <c r="W119" s="46">
        <v>0.030733</v>
      </c>
      <c r="X119" s="46">
        <v>0.002664</v>
      </c>
      <c r="Y119" s="46">
        <v>0</v>
      </c>
      <c r="Z119" s="46">
        <v>0</v>
      </c>
      <c r="AA119" s="68">
        <v>119</v>
      </c>
      <c r="AB119" s="68"/>
      <c r="AC119" s="69"/>
      <c r="AD119" s="75" t="s">
        <v>1953</v>
      </c>
      <c r="AE119" s="80" t="s">
        <v>2258</v>
      </c>
      <c r="AF119" s="75">
        <v>79</v>
      </c>
      <c r="AG119" s="75">
        <v>173</v>
      </c>
      <c r="AH119" s="75">
        <v>42</v>
      </c>
      <c r="AI119" s="75">
        <v>1308</v>
      </c>
      <c r="AJ119" s="75"/>
      <c r="AK119" s="75" t="s">
        <v>2500</v>
      </c>
      <c r="AL119" s="75" t="s">
        <v>2742</v>
      </c>
      <c r="AM119" s="75"/>
      <c r="AN119" s="75"/>
      <c r="AO119" s="77">
        <v>41899.46806712963</v>
      </c>
      <c r="AP119" s="82" t="str">
        <f>HYPERLINK("https://pbs.twimg.com/profile_banners/2773431484/1653487669")</f>
        <v>https://pbs.twimg.com/profile_banners/2773431484/1653487669</v>
      </c>
      <c r="AQ119" s="75" t="b">
        <v>1</v>
      </c>
      <c r="AR119" s="75" t="b">
        <v>0</v>
      </c>
      <c r="AS119" s="75" t="b">
        <v>0</v>
      </c>
      <c r="AT119" s="75"/>
      <c r="AU119" s="75">
        <v>1</v>
      </c>
      <c r="AV119" s="82" t="str">
        <f>HYPERLINK("https://abs.twimg.com/images/themes/theme1/bg.png")</f>
        <v>https://abs.twimg.com/images/themes/theme1/bg.png</v>
      </c>
      <c r="AW119" s="75" t="b">
        <v>0</v>
      </c>
      <c r="AX119" s="75" t="s">
        <v>2845</v>
      </c>
      <c r="AY119" s="82" t="str">
        <f>HYPERLINK("https://twitter.com/bilgeozyurt")</f>
        <v>https://twitter.com/bilgeozyurt</v>
      </c>
      <c r="AZ119" s="75" t="s">
        <v>66</v>
      </c>
      <c r="BA119" s="75" t="str">
        <f>REPLACE(INDEX(GroupVertices[Group],MATCH(Vertices[[#This Row],[Vertex]],GroupVertices[Vertex],0)),1,1,"")</f>
        <v>3</v>
      </c>
      <c r="BB119" s="45">
        <v>0</v>
      </c>
      <c r="BC119" s="46">
        <v>0</v>
      </c>
      <c r="BD119" s="45">
        <v>0</v>
      </c>
      <c r="BE119" s="46">
        <v>0</v>
      </c>
      <c r="BF119" s="45">
        <v>0</v>
      </c>
      <c r="BG119" s="46">
        <v>0</v>
      </c>
      <c r="BH119" s="45">
        <v>5</v>
      </c>
      <c r="BI119" s="46">
        <v>100</v>
      </c>
      <c r="BJ119" s="45">
        <v>5</v>
      </c>
      <c r="BK119" s="45"/>
      <c r="BL119" s="45"/>
      <c r="BM119" s="45"/>
      <c r="BN119" s="45"/>
      <c r="BO119" s="45" t="s">
        <v>819</v>
      </c>
      <c r="BP119" s="45" t="s">
        <v>819</v>
      </c>
      <c r="BQ119" s="110" t="s">
        <v>4465</v>
      </c>
      <c r="BR119" s="110" t="s">
        <v>4465</v>
      </c>
      <c r="BS119" s="110" t="s">
        <v>4585</v>
      </c>
      <c r="BT119" s="110" t="s">
        <v>4585</v>
      </c>
      <c r="BU119" s="2"/>
    </row>
    <row r="120" spans="1:73" ht="15">
      <c r="A120" s="61" t="s">
        <v>322</v>
      </c>
      <c r="B120" s="62"/>
      <c r="C120" s="62"/>
      <c r="D120" s="63">
        <v>118.18181818181819</v>
      </c>
      <c r="E120" s="65"/>
      <c r="F120" s="99" t="str">
        <f>HYPERLINK("https://pbs.twimg.com/profile_images/1564861883064242177/pOz801Wy_normal.jpg")</f>
        <v>https://pbs.twimg.com/profile_images/1564861883064242177/pOz801Wy_normal.jpg</v>
      </c>
      <c r="G120" s="62"/>
      <c r="H120" s="66" t="s">
        <v>322</v>
      </c>
      <c r="I120" s="67"/>
      <c r="J120" s="67"/>
      <c r="K120" s="66" t="s">
        <v>2962</v>
      </c>
      <c r="L120" s="70">
        <v>27.671230380891213</v>
      </c>
      <c r="M120" s="71">
        <v>5914.04248046875</v>
      </c>
      <c r="N120" s="71">
        <v>4646.97119140625</v>
      </c>
      <c r="O120" s="72"/>
      <c r="P120" s="73"/>
      <c r="Q120" s="73"/>
      <c r="R120" s="85"/>
      <c r="S120" s="45">
        <v>0</v>
      </c>
      <c r="T120" s="45">
        <v>4</v>
      </c>
      <c r="U120" s="46">
        <v>12</v>
      </c>
      <c r="V120" s="46">
        <v>0.012232</v>
      </c>
      <c r="W120" s="46">
        <v>0</v>
      </c>
      <c r="X120" s="46">
        <v>0.004242</v>
      </c>
      <c r="Y120" s="46">
        <v>0</v>
      </c>
      <c r="Z120" s="46">
        <v>0</v>
      </c>
      <c r="AA120" s="68">
        <v>120</v>
      </c>
      <c r="AB120" s="68"/>
      <c r="AC120" s="69"/>
      <c r="AD120" s="75" t="s">
        <v>1954</v>
      </c>
      <c r="AE120" s="80" t="s">
        <v>2259</v>
      </c>
      <c r="AF120" s="75">
        <v>185</v>
      </c>
      <c r="AG120" s="75">
        <v>41</v>
      </c>
      <c r="AH120" s="75">
        <v>1520</v>
      </c>
      <c r="AI120" s="75">
        <v>4538</v>
      </c>
      <c r="AJ120" s="75"/>
      <c r="AK120" s="75" t="s">
        <v>2501</v>
      </c>
      <c r="AL120" s="75" t="s">
        <v>2743</v>
      </c>
      <c r="AM120" s="75"/>
      <c r="AN120" s="75"/>
      <c r="AO120" s="77">
        <v>44803.53603009259</v>
      </c>
      <c r="AP120" s="82" t="str">
        <f>HYPERLINK("https://pbs.twimg.com/profile_banners/1564596721862189056/1661927122")</f>
        <v>https://pbs.twimg.com/profile_banners/1564596721862189056/1661927122</v>
      </c>
      <c r="AQ120" s="75" t="b">
        <v>1</v>
      </c>
      <c r="AR120" s="75" t="b">
        <v>0</v>
      </c>
      <c r="AS120" s="75" t="b">
        <v>0</v>
      </c>
      <c r="AT120" s="75"/>
      <c r="AU120" s="75">
        <v>0</v>
      </c>
      <c r="AV120" s="75"/>
      <c r="AW120" s="75" t="b">
        <v>0</v>
      </c>
      <c r="AX120" s="75" t="s">
        <v>2845</v>
      </c>
      <c r="AY120" s="82" t="str">
        <f>HYPERLINK("https://twitter.com/filipkatundsk")</f>
        <v>https://twitter.com/filipkatundsk</v>
      </c>
      <c r="AZ120" s="75" t="s">
        <v>66</v>
      </c>
      <c r="BA120" s="75" t="str">
        <f>REPLACE(INDEX(GroupVertices[Group],MATCH(Vertices[[#This Row],[Vertex]],GroupVertices[Vertex],0)),1,1,"")</f>
        <v>18</v>
      </c>
      <c r="BB120" s="45">
        <v>0</v>
      </c>
      <c r="BC120" s="46">
        <v>0</v>
      </c>
      <c r="BD120" s="45">
        <v>2</v>
      </c>
      <c r="BE120" s="46">
        <v>2.6666666666666665</v>
      </c>
      <c r="BF120" s="45">
        <v>0</v>
      </c>
      <c r="BG120" s="46">
        <v>0</v>
      </c>
      <c r="BH120" s="45">
        <v>73</v>
      </c>
      <c r="BI120" s="46">
        <v>97.33333333333333</v>
      </c>
      <c r="BJ120" s="45">
        <v>75</v>
      </c>
      <c r="BK120" s="45"/>
      <c r="BL120" s="45"/>
      <c r="BM120" s="45"/>
      <c r="BN120" s="45"/>
      <c r="BO120" s="45"/>
      <c r="BP120" s="45"/>
      <c r="BQ120" s="110" t="s">
        <v>4471</v>
      </c>
      <c r="BR120" s="110" t="s">
        <v>4545</v>
      </c>
      <c r="BS120" s="110" t="s">
        <v>4256</v>
      </c>
      <c r="BT120" s="110" t="s">
        <v>4654</v>
      </c>
      <c r="BU120" s="2"/>
    </row>
    <row r="121" spans="1:73" ht="15">
      <c r="A121" s="61" t="s">
        <v>479</v>
      </c>
      <c r="B121" s="62"/>
      <c r="C121" s="62"/>
      <c r="D121" s="63">
        <v>100</v>
      </c>
      <c r="E121" s="65"/>
      <c r="F121" s="99" t="str">
        <f>HYPERLINK("https://pbs.twimg.com/profile_images/1371648771142995969/Or1GFqxc_normal.jpg")</f>
        <v>https://pbs.twimg.com/profile_images/1371648771142995969/Or1GFqxc_normal.jpg</v>
      </c>
      <c r="G121" s="62"/>
      <c r="H121" s="66" t="s">
        <v>479</v>
      </c>
      <c r="I121" s="67"/>
      <c r="J121" s="67"/>
      <c r="K121" s="66" t="s">
        <v>2963</v>
      </c>
      <c r="L121" s="70">
        <v>1</v>
      </c>
      <c r="M121" s="71">
        <v>6194.50244140625</v>
      </c>
      <c r="N121" s="71">
        <v>4665.9482421875</v>
      </c>
      <c r="O121" s="72"/>
      <c r="P121" s="73"/>
      <c r="Q121" s="73"/>
      <c r="R121" s="85"/>
      <c r="S121" s="45">
        <v>1</v>
      </c>
      <c r="T121" s="45">
        <v>0</v>
      </c>
      <c r="U121" s="46">
        <v>0</v>
      </c>
      <c r="V121" s="46">
        <v>0.00699</v>
      </c>
      <c r="W121" s="46">
        <v>0</v>
      </c>
      <c r="X121" s="46">
        <v>0.002751</v>
      </c>
      <c r="Y121" s="46">
        <v>0</v>
      </c>
      <c r="Z121" s="46">
        <v>0</v>
      </c>
      <c r="AA121" s="68">
        <v>121</v>
      </c>
      <c r="AB121" s="68"/>
      <c r="AC121" s="69"/>
      <c r="AD121" s="75" t="s">
        <v>1955</v>
      </c>
      <c r="AE121" s="80" t="s">
        <v>2260</v>
      </c>
      <c r="AF121" s="75">
        <v>62</v>
      </c>
      <c r="AG121" s="75">
        <v>55</v>
      </c>
      <c r="AH121" s="75">
        <v>18</v>
      </c>
      <c r="AI121" s="75">
        <v>113</v>
      </c>
      <c r="AJ121" s="75"/>
      <c r="AK121" s="75" t="s">
        <v>2502</v>
      </c>
      <c r="AL121" s="75"/>
      <c r="AM121" s="82" t="str">
        <f>HYPERLINK("https://t.co/M3vl9XqI7v")</f>
        <v>https://t.co/M3vl9XqI7v</v>
      </c>
      <c r="AN121" s="75"/>
      <c r="AO121" s="77">
        <v>44271.10054398148</v>
      </c>
      <c r="AP121" s="75"/>
      <c r="AQ121" s="75" t="b">
        <v>1</v>
      </c>
      <c r="AR121" s="75" t="b">
        <v>0</v>
      </c>
      <c r="AS121" s="75" t="b">
        <v>0</v>
      </c>
      <c r="AT121" s="75"/>
      <c r="AU121" s="75">
        <v>0</v>
      </c>
      <c r="AV121" s="75"/>
      <c r="AW121" s="75" t="b">
        <v>0</v>
      </c>
      <c r="AX121" s="75" t="s">
        <v>2845</v>
      </c>
      <c r="AY121" s="82" t="str">
        <f>HYPERLINK("https://twitter.com/josh_watt_")</f>
        <v>https://twitter.com/josh_watt_</v>
      </c>
      <c r="AZ121" s="75" t="s">
        <v>65</v>
      </c>
      <c r="BA121" s="75" t="str">
        <f>REPLACE(INDEX(GroupVertices[Group],MATCH(Vertices[[#This Row],[Vertex]],GroupVertices[Vertex],0)),1,1,"")</f>
        <v>18</v>
      </c>
      <c r="BB121" s="45"/>
      <c r="BC121" s="46"/>
      <c r="BD121" s="45"/>
      <c r="BE121" s="46"/>
      <c r="BF121" s="45"/>
      <c r="BG121" s="46"/>
      <c r="BH121" s="45"/>
      <c r="BI121" s="46"/>
      <c r="BJ121" s="45"/>
      <c r="BK121" s="45"/>
      <c r="BL121" s="45"/>
      <c r="BM121" s="45"/>
      <c r="BN121" s="45"/>
      <c r="BO121" s="45"/>
      <c r="BP121" s="45"/>
      <c r="BQ121" s="45"/>
      <c r="BR121" s="45"/>
      <c r="BS121" s="45"/>
      <c r="BT121" s="45"/>
      <c r="BU121" s="2"/>
    </row>
    <row r="122" spans="1:73" ht="15">
      <c r="A122" s="61" t="s">
        <v>480</v>
      </c>
      <c r="B122" s="62"/>
      <c r="C122" s="62"/>
      <c r="D122" s="63">
        <v>100</v>
      </c>
      <c r="E122" s="65"/>
      <c r="F122" s="99" t="str">
        <f>HYPERLINK("https://pbs.twimg.com/profile_images/1496257797063069699/0JHdns5m_normal.jpg")</f>
        <v>https://pbs.twimg.com/profile_images/1496257797063069699/0JHdns5m_normal.jpg</v>
      </c>
      <c r="G122" s="62"/>
      <c r="H122" s="66" t="s">
        <v>480</v>
      </c>
      <c r="I122" s="67"/>
      <c r="J122" s="67"/>
      <c r="K122" s="66" t="s">
        <v>2964</v>
      </c>
      <c r="L122" s="70">
        <v>1</v>
      </c>
      <c r="M122" s="71">
        <v>5923.8115234375</v>
      </c>
      <c r="N122" s="71">
        <v>4102.15380859375</v>
      </c>
      <c r="O122" s="72"/>
      <c r="P122" s="73"/>
      <c r="Q122" s="73"/>
      <c r="R122" s="85"/>
      <c r="S122" s="45">
        <v>1</v>
      </c>
      <c r="T122" s="45">
        <v>0</v>
      </c>
      <c r="U122" s="46">
        <v>0</v>
      </c>
      <c r="V122" s="46">
        <v>0.00699</v>
      </c>
      <c r="W122" s="46">
        <v>0</v>
      </c>
      <c r="X122" s="46">
        <v>0.002751</v>
      </c>
      <c r="Y122" s="46">
        <v>0</v>
      </c>
      <c r="Z122" s="46">
        <v>0</v>
      </c>
      <c r="AA122" s="68">
        <v>122</v>
      </c>
      <c r="AB122" s="68"/>
      <c r="AC122" s="69"/>
      <c r="AD122" s="75" t="s">
        <v>1956</v>
      </c>
      <c r="AE122" s="80" t="s">
        <v>2261</v>
      </c>
      <c r="AF122" s="75">
        <v>292</v>
      </c>
      <c r="AG122" s="75">
        <v>18</v>
      </c>
      <c r="AH122" s="75">
        <v>367</v>
      </c>
      <c r="AI122" s="75">
        <v>842</v>
      </c>
      <c r="AJ122" s="75"/>
      <c r="AK122" s="75" t="s">
        <v>2503</v>
      </c>
      <c r="AL122" s="75"/>
      <c r="AM122" s="75"/>
      <c r="AN122" s="75"/>
      <c r="AO122" s="77">
        <v>42779.50616898148</v>
      </c>
      <c r="AP122" s="75"/>
      <c r="AQ122" s="75" t="b">
        <v>1</v>
      </c>
      <c r="AR122" s="75" t="b">
        <v>0</v>
      </c>
      <c r="AS122" s="75" t="b">
        <v>1</v>
      </c>
      <c r="AT122" s="75"/>
      <c r="AU122" s="75">
        <v>0</v>
      </c>
      <c r="AV122" s="75"/>
      <c r="AW122" s="75" t="b">
        <v>0</v>
      </c>
      <c r="AX122" s="75" t="s">
        <v>2845</v>
      </c>
      <c r="AY122" s="82" t="str">
        <f>HYPERLINK("https://twitter.com/antonio27182818")</f>
        <v>https://twitter.com/antonio27182818</v>
      </c>
      <c r="AZ122" s="75" t="s">
        <v>65</v>
      </c>
      <c r="BA122" s="75" t="str">
        <f>REPLACE(INDEX(GroupVertices[Group],MATCH(Vertices[[#This Row],[Vertex]],GroupVertices[Vertex],0)),1,1,"")</f>
        <v>18</v>
      </c>
      <c r="BB122" s="45"/>
      <c r="BC122" s="46"/>
      <c r="BD122" s="45"/>
      <c r="BE122" s="46"/>
      <c r="BF122" s="45"/>
      <c r="BG122" s="46"/>
      <c r="BH122" s="45"/>
      <c r="BI122" s="46"/>
      <c r="BJ122" s="45"/>
      <c r="BK122" s="45"/>
      <c r="BL122" s="45"/>
      <c r="BM122" s="45"/>
      <c r="BN122" s="45"/>
      <c r="BO122" s="45"/>
      <c r="BP122" s="45"/>
      <c r="BQ122" s="45"/>
      <c r="BR122" s="45"/>
      <c r="BS122" s="45"/>
      <c r="BT122" s="45"/>
      <c r="BU122" s="2"/>
    </row>
    <row r="123" spans="1:73" ht="15">
      <c r="A123" s="61" t="s">
        <v>481</v>
      </c>
      <c r="B123" s="62"/>
      <c r="C123" s="62"/>
      <c r="D123" s="63">
        <v>100</v>
      </c>
      <c r="E123" s="65"/>
      <c r="F123" s="99" t="str">
        <f>HYPERLINK("https://pbs.twimg.com/profile_images/1535272887535427588/N6Nth3A4_normal.jpg")</f>
        <v>https://pbs.twimg.com/profile_images/1535272887535427588/N6Nth3A4_normal.jpg</v>
      </c>
      <c r="G123" s="62"/>
      <c r="H123" s="66" t="s">
        <v>481</v>
      </c>
      <c r="I123" s="67"/>
      <c r="J123" s="67"/>
      <c r="K123" s="66" t="s">
        <v>2965</v>
      </c>
      <c r="L123" s="70">
        <v>1</v>
      </c>
      <c r="M123" s="71">
        <v>5633.5830078125</v>
      </c>
      <c r="N123" s="71">
        <v>4627.994140625</v>
      </c>
      <c r="O123" s="72"/>
      <c r="P123" s="73"/>
      <c r="Q123" s="73"/>
      <c r="R123" s="85"/>
      <c r="S123" s="45">
        <v>1</v>
      </c>
      <c r="T123" s="45">
        <v>0</v>
      </c>
      <c r="U123" s="46">
        <v>0</v>
      </c>
      <c r="V123" s="46">
        <v>0.00699</v>
      </c>
      <c r="W123" s="46">
        <v>0</v>
      </c>
      <c r="X123" s="46">
        <v>0.002751</v>
      </c>
      <c r="Y123" s="46">
        <v>0</v>
      </c>
      <c r="Z123" s="46">
        <v>0</v>
      </c>
      <c r="AA123" s="68">
        <v>123</v>
      </c>
      <c r="AB123" s="68"/>
      <c r="AC123" s="69"/>
      <c r="AD123" s="75" t="s">
        <v>1957</v>
      </c>
      <c r="AE123" s="80" t="s">
        <v>1693</v>
      </c>
      <c r="AF123" s="75">
        <v>3416</v>
      </c>
      <c r="AG123" s="75">
        <v>3562</v>
      </c>
      <c r="AH123" s="75">
        <v>18481</v>
      </c>
      <c r="AI123" s="75">
        <v>30428</v>
      </c>
      <c r="AJ123" s="75"/>
      <c r="AK123" s="75" t="s">
        <v>2504</v>
      </c>
      <c r="AL123" s="75"/>
      <c r="AM123" s="75"/>
      <c r="AN123" s="75"/>
      <c r="AO123" s="77">
        <v>43934.29552083334</v>
      </c>
      <c r="AP123" s="82" t="str">
        <f>HYPERLINK("https://pbs.twimg.com/profile_banners/1249594507202617346/1654872556")</f>
        <v>https://pbs.twimg.com/profile_banners/1249594507202617346/1654872556</v>
      </c>
      <c r="AQ123" s="75" t="b">
        <v>1</v>
      </c>
      <c r="AR123" s="75" t="b">
        <v>0</v>
      </c>
      <c r="AS123" s="75" t="b">
        <v>0</v>
      </c>
      <c r="AT123" s="75"/>
      <c r="AU123" s="75">
        <v>3</v>
      </c>
      <c r="AV123" s="75"/>
      <c r="AW123" s="75" t="b">
        <v>0</v>
      </c>
      <c r="AX123" s="75" t="s">
        <v>2845</v>
      </c>
      <c r="AY123" s="82" t="str">
        <f>HYPERLINK("https://twitter.com/onequantumleap")</f>
        <v>https://twitter.com/onequantumleap</v>
      </c>
      <c r="AZ123" s="75" t="s">
        <v>65</v>
      </c>
      <c r="BA123" s="75" t="str">
        <f>REPLACE(INDEX(GroupVertices[Group],MATCH(Vertices[[#This Row],[Vertex]],GroupVertices[Vertex],0)),1,1,"")</f>
        <v>18</v>
      </c>
      <c r="BB123" s="45"/>
      <c r="BC123" s="46"/>
      <c r="BD123" s="45"/>
      <c r="BE123" s="46"/>
      <c r="BF123" s="45"/>
      <c r="BG123" s="46"/>
      <c r="BH123" s="45"/>
      <c r="BI123" s="46"/>
      <c r="BJ123" s="45"/>
      <c r="BK123" s="45"/>
      <c r="BL123" s="45"/>
      <c r="BM123" s="45"/>
      <c r="BN123" s="45"/>
      <c r="BO123" s="45"/>
      <c r="BP123" s="45"/>
      <c r="BQ123" s="45"/>
      <c r="BR123" s="45"/>
      <c r="BS123" s="45"/>
      <c r="BT123" s="45"/>
      <c r="BU123" s="2"/>
    </row>
    <row r="124" spans="1:73" ht="15">
      <c r="A124" s="61" t="s">
        <v>482</v>
      </c>
      <c r="B124" s="62"/>
      <c r="C124" s="62"/>
      <c r="D124" s="63">
        <v>100</v>
      </c>
      <c r="E124" s="65"/>
      <c r="F124" s="99" t="str">
        <f>HYPERLINK("https://pbs.twimg.com/profile_images/1565646100865974272/lDWXQkE8_normal.jpg")</f>
        <v>https://pbs.twimg.com/profile_images/1565646100865974272/lDWXQkE8_normal.jpg</v>
      </c>
      <c r="G124" s="62"/>
      <c r="H124" s="66" t="s">
        <v>482</v>
      </c>
      <c r="I124" s="67"/>
      <c r="J124" s="67"/>
      <c r="K124" s="66" t="s">
        <v>2966</v>
      </c>
      <c r="L124" s="70">
        <v>1</v>
      </c>
      <c r="M124" s="71">
        <v>5904.27392578125</v>
      </c>
      <c r="N124" s="71">
        <v>5191.78857421875</v>
      </c>
      <c r="O124" s="72"/>
      <c r="P124" s="73"/>
      <c r="Q124" s="73"/>
      <c r="R124" s="85"/>
      <c r="S124" s="45">
        <v>1</v>
      </c>
      <c r="T124" s="45">
        <v>0</v>
      </c>
      <c r="U124" s="46">
        <v>0</v>
      </c>
      <c r="V124" s="46">
        <v>0.00699</v>
      </c>
      <c r="W124" s="46">
        <v>0</v>
      </c>
      <c r="X124" s="46">
        <v>0.002751</v>
      </c>
      <c r="Y124" s="46">
        <v>0</v>
      </c>
      <c r="Z124" s="46">
        <v>0</v>
      </c>
      <c r="AA124" s="68">
        <v>124</v>
      </c>
      <c r="AB124" s="68"/>
      <c r="AC124" s="69"/>
      <c r="AD124" s="75" t="s">
        <v>1958</v>
      </c>
      <c r="AE124" s="80" t="s">
        <v>1694</v>
      </c>
      <c r="AF124" s="75">
        <v>723</v>
      </c>
      <c r="AG124" s="75">
        <v>751</v>
      </c>
      <c r="AH124" s="75">
        <v>2820</v>
      </c>
      <c r="AI124" s="75">
        <v>2521</v>
      </c>
      <c r="AJ124" s="75"/>
      <c r="AK124" s="75" t="s">
        <v>2505</v>
      </c>
      <c r="AL124" s="75" t="s">
        <v>2744</v>
      </c>
      <c r="AM124" s="75"/>
      <c r="AN124" s="75"/>
      <c r="AO124" s="77">
        <v>40458.8440162037</v>
      </c>
      <c r="AP124" s="82" t="str">
        <f>HYPERLINK("https://pbs.twimg.com/profile_banners/199821647/1662116471")</f>
        <v>https://pbs.twimg.com/profile_banners/199821647/1662116471</v>
      </c>
      <c r="AQ124" s="75" t="b">
        <v>1</v>
      </c>
      <c r="AR124" s="75" t="b">
        <v>0</v>
      </c>
      <c r="AS124" s="75" t="b">
        <v>1</v>
      </c>
      <c r="AT124" s="75"/>
      <c r="AU124" s="75">
        <v>5</v>
      </c>
      <c r="AV124" s="82" t="str">
        <f>HYPERLINK("https://abs.twimg.com/images/themes/theme1/bg.png")</f>
        <v>https://abs.twimg.com/images/themes/theme1/bg.png</v>
      </c>
      <c r="AW124" s="75" t="b">
        <v>0</v>
      </c>
      <c r="AX124" s="75" t="s">
        <v>2845</v>
      </c>
      <c r="AY124" s="82" t="str">
        <f>HYPERLINK("https://twitter.com/freilichlior")</f>
        <v>https://twitter.com/freilichlior</v>
      </c>
      <c r="AZ124" s="75" t="s">
        <v>65</v>
      </c>
      <c r="BA124" s="75" t="str">
        <f>REPLACE(INDEX(GroupVertices[Group],MATCH(Vertices[[#This Row],[Vertex]],GroupVertices[Vertex],0)),1,1,"")</f>
        <v>18</v>
      </c>
      <c r="BB124" s="45"/>
      <c r="BC124" s="46"/>
      <c r="BD124" s="45"/>
      <c r="BE124" s="46"/>
      <c r="BF124" s="45"/>
      <c r="BG124" s="46"/>
      <c r="BH124" s="45"/>
      <c r="BI124" s="46"/>
      <c r="BJ124" s="45"/>
      <c r="BK124" s="45"/>
      <c r="BL124" s="45"/>
      <c r="BM124" s="45"/>
      <c r="BN124" s="45"/>
      <c r="BO124" s="45"/>
      <c r="BP124" s="45"/>
      <c r="BQ124" s="45"/>
      <c r="BR124" s="45"/>
      <c r="BS124" s="45"/>
      <c r="BT124" s="45"/>
      <c r="BU124" s="2"/>
    </row>
    <row r="125" spans="1:73" ht="15">
      <c r="A125" s="61" t="s">
        <v>323</v>
      </c>
      <c r="B125" s="62"/>
      <c r="C125" s="62"/>
      <c r="D125" s="63">
        <v>100</v>
      </c>
      <c r="E125" s="65"/>
      <c r="F125" s="99" t="str">
        <f>HYPERLINK("https://pbs.twimg.com/profile_images/1454814605964939264/gx1lpE_A_normal.jpg")</f>
        <v>https://pbs.twimg.com/profile_images/1454814605964939264/gx1lpE_A_normal.jpg</v>
      </c>
      <c r="G125" s="62"/>
      <c r="H125" s="66" t="s">
        <v>323</v>
      </c>
      <c r="I125" s="67"/>
      <c r="J125" s="67"/>
      <c r="K125" s="66" t="s">
        <v>2967</v>
      </c>
      <c r="L125" s="70">
        <v>1</v>
      </c>
      <c r="M125" s="71">
        <v>7767.515625</v>
      </c>
      <c r="N125" s="71">
        <v>753.1298217773438</v>
      </c>
      <c r="O125" s="72"/>
      <c r="P125" s="73"/>
      <c r="Q125" s="73"/>
      <c r="R125" s="85"/>
      <c r="S125" s="45">
        <v>0</v>
      </c>
      <c r="T125" s="45">
        <v>1</v>
      </c>
      <c r="U125" s="46">
        <v>0</v>
      </c>
      <c r="V125" s="46">
        <v>0.003058</v>
      </c>
      <c r="W125" s="46">
        <v>0</v>
      </c>
      <c r="X125" s="46">
        <v>0.003049</v>
      </c>
      <c r="Y125" s="46">
        <v>0</v>
      </c>
      <c r="Z125" s="46">
        <v>0</v>
      </c>
      <c r="AA125" s="68">
        <v>125</v>
      </c>
      <c r="AB125" s="68"/>
      <c r="AC125" s="69"/>
      <c r="AD125" s="75" t="s">
        <v>1959</v>
      </c>
      <c r="AE125" s="80" t="s">
        <v>2262</v>
      </c>
      <c r="AF125" s="75">
        <v>487</v>
      </c>
      <c r="AG125" s="75">
        <v>102</v>
      </c>
      <c r="AH125" s="75">
        <v>915</v>
      </c>
      <c r="AI125" s="75">
        <v>584</v>
      </c>
      <c r="AJ125" s="75"/>
      <c r="AK125" s="75" t="s">
        <v>2506</v>
      </c>
      <c r="AL125" s="75"/>
      <c r="AM125" s="75"/>
      <c r="AN125" s="75"/>
      <c r="AO125" s="77">
        <v>44192.37975694444</v>
      </c>
      <c r="AP125" s="82" t="str">
        <f>HYPERLINK("https://pbs.twimg.com/profile_banners/1343120882076700672/1612201961")</f>
        <v>https://pbs.twimg.com/profile_banners/1343120882076700672/1612201961</v>
      </c>
      <c r="AQ125" s="75" t="b">
        <v>1</v>
      </c>
      <c r="AR125" s="75" t="b">
        <v>0</v>
      </c>
      <c r="AS125" s="75" t="b">
        <v>0</v>
      </c>
      <c r="AT125" s="75"/>
      <c r="AU125" s="75">
        <v>0</v>
      </c>
      <c r="AV125" s="75"/>
      <c r="AW125" s="75" t="b">
        <v>0</v>
      </c>
      <c r="AX125" s="75" t="s">
        <v>2845</v>
      </c>
      <c r="AY125" s="82" t="str">
        <f>HYPERLINK("https://twitter.com/nzabakira4")</f>
        <v>https://twitter.com/nzabakira4</v>
      </c>
      <c r="AZ125" s="75" t="s">
        <v>66</v>
      </c>
      <c r="BA125" s="75" t="str">
        <f>REPLACE(INDEX(GroupVertices[Group],MATCH(Vertices[[#This Row],[Vertex]],GroupVertices[Vertex],0)),1,1,"")</f>
        <v>53</v>
      </c>
      <c r="BB125" s="45">
        <v>0</v>
      </c>
      <c r="BC125" s="46">
        <v>0</v>
      </c>
      <c r="BD125" s="45">
        <v>0</v>
      </c>
      <c r="BE125" s="46">
        <v>0</v>
      </c>
      <c r="BF125" s="45">
        <v>0</v>
      </c>
      <c r="BG125" s="46">
        <v>0</v>
      </c>
      <c r="BH125" s="45">
        <v>2</v>
      </c>
      <c r="BI125" s="46">
        <v>100</v>
      </c>
      <c r="BJ125" s="45">
        <v>2</v>
      </c>
      <c r="BK125" s="45"/>
      <c r="BL125" s="45"/>
      <c r="BM125" s="45"/>
      <c r="BN125" s="45"/>
      <c r="BO125" s="45" t="s">
        <v>795</v>
      </c>
      <c r="BP125" s="45" t="s">
        <v>795</v>
      </c>
      <c r="BQ125" s="110" t="s">
        <v>4472</v>
      </c>
      <c r="BR125" s="110" t="s">
        <v>4472</v>
      </c>
      <c r="BS125" s="110" t="s">
        <v>4590</v>
      </c>
      <c r="BT125" s="110" t="s">
        <v>4590</v>
      </c>
      <c r="BU125" s="2"/>
    </row>
    <row r="126" spans="1:73" ht="15">
      <c r="A126" s="61" t="s">
        <v>483</v>
      </c>
      <c r="B126" s="62"/>
      <c r="C126" s="62"/>
      <c r="D126" s="63">
        <v>100</v>
      </c>
      <c r="E126" s="65"/>
      <c r="F126" s="99" t="str">
        <f>HYPERLINK("https://pbs.twimg.com/profile_images/1395637638594547714/Gsjn9OAS_normal.jpg")</f>
        <v>https://pbs.twimg.com/profile_images/1395637638594547714/Gsjn9OAS_normal.jpg</v>
      </c>
      <c r="G126" s="62"/>
      <c r="H126" s="66" t="s">
        <v>483</v>
      </c>
      <c r="I126" s="67"/>
      <c r="J126" s="67"/>
      <c r="K126" s="66" t="s">
        <v>2968</v>
      </c>
      <c r="L126" s="70">
        <v>1</v>
      </c>
      <c r="M126" s="71">
        <v>7767.515625</v>
      </c>
      <c r="N126" s="71">
        <v>977.4663696289062</v>
      </c>
      <c r="O126" s="72"/>
      <c r="P126" s="73"/>
      <c r="Q126" s="73"/>
      <c r="R126" s="85"/>
      <c r="S126" s="45">
        <v>1</v>
      </c>
      <c r="T126" s="45">
        <v>0</v>
      </c>
      <c r="U126" s="46">
        <v>0</v>
      </c>
      <c r="V126" s="46">
        <v>0.003058</v>
      </c>
      <c r="W126" s="46">
        <v>0</v>
      </c>
      <c r="X126" s="46">
        <v>0.003049</v>
      </c>
      <c r="Y126" s="46">
        <v>0</v>
      </c>
      <c r="Z126" s="46">
        <v>0</v>
      </c>
      <c r="AA126" s="68">
        <v>126</v>
      </c>
      <c r="AB126" s="68"/>
      <c r="AC126" s="69"/>
      <c r="AD126" s="75" t="s">
        <v>1960</v>
      </c>
      <c r="AE126" s="80" t="s">
        <v>1695</v>
      </c>
      <c r="AF126" s="75">
        <v>1151</v>
      </c>
      <c r="AG126" s="75">
        <v>225796</v>
      </c>
      <c r="AH126" s="75">
        <v>16078</v>
      </c>
      <c r="AI126" s="75">
        <v>3311</v>
      </c>
      <c r="AJ126" s="75"/>
      <c r="AK126" s="75" t="s">
        <v>2507</v>
      </c>
      <c r="AL126" s="75" t="s">
        <v>2745</v>
      </c>
      <c r="AM126" s="82" t="str">
        <f>HYPERLINK("https://t.co/hHr9jUVCzP")</f>
        <v>https://t.co/hHr9jUVCzP</v>
      </c>
      <c r="AN126" s="75"/>
      <c r="AO126" s="77">
        <v>42895.467777777776</v>
      </c>
      <c r="AP126" s="82" t="str">
        <f>HYPERLINK("https://pbs.twimg.com/profile_banners/873135988440223745/1656020597")</f>
        <v>https://pbs.twimg.com/profile_banners/873135988440223745/1656020597</v>
      </c>
      <c r="AQ126" s="75" t="b">
        <v>0</v>
      </c>
      <c r="AR126" s="75" t="b">
        <v>0</v>
      </c>
      <c r="AS126" s="75" t="b">
        <v>1</v>
      </c>
      <c r="AT126" s="75"/>
      <c r="AU126" s="75">
        <v>3863</v>
      </c>
      <c r="AV126" s="82" t="str">
        <f>HYPERLINK("https://abs.twimg.com/images/themes/theme1/bg.png")</f>
        <v>https://abs.twimg.com/images/themes/theme1/bg.png</v>
      </c>
      <c r="AW126" s="75" t="b">
        <v>1</v>
      </c>
      <c r="AX126" s="75" t="s">
        <v>2845</v>
      </c>
      <c r="AY126" s="82" t="str">
        <f>HYPERLINK("https://twitter.com/ukraine_world")</f>
        <v>https://twitter.com/ukraine_world</v>
      </c>
      <c r="AZ126" s="75" t="s">
        <v>65</v>
      </c>
      <c r="BA126" s="75" t="str">
        <f>REPLACE(INDEX(GroupVertices[Group],MATCH(Vertices[[#This Row],[Vertex]],GroupVertices[Vertex],0)),1,1,"")</f>
        <v>53</v>
      </c>
      <c r="BB126" s="45"/>
      <c r="BC126" s="46"/>
      <c r="BD126" s="45"/>
      <c r="BE126" s="46"/>
      <c r="BF126" s="45"/>
      <c r="BG126" s="46"/>
      <c r="BH126" s="45"/>
      <c r="BI126" s="46"/>
      <c r="BJ126" s="45"/>
      <c r="BK126" s="45"/>
      <c r="BL126" s="45"/>
      <c r="BM126" s="45"/>
      <c r="BN126" s="45"/>
      <c r="BO126" s="45"/>
      <c r="BP126" s="45"/>
      <c r="BQ126" s="45"/>
      <c r="BR126" s="45"/>
      <c r="BS126" s="45"/>
      <c r="BT126" s="45"/>
      <c r="BU126" s="2"/>
    </row>
    <row r="127" spans="1:73" ht="15">
      <c r="A127" s="61" t="s">
        <v>324</v>
      </c>
      <c r="B127" s="62"/>
      <c r="C127" s="62"/>
      <c r="D127" s="63">
        <v>100</v>
      </c>
      <c r="E127" s="65"/>
      <c r="F127" s="99" t="str">
        <f>HYPERLINK("https://pbs.twimg.com/profile_images/1569229813604560896/uGgriCjb_normal.jpg")</f>
        <v>https://pbs.twimg.com/profile_images/1569229813604560896/uGgriCjb_normal.jpg</v>
      </c>
      <c r="G127" s="62"/>
      <c r="H127" s="66" t="s">
        <v>324</v>
      </c>
      <c r="I127" s="67"/>
      <c r="J127" s="67"/>
      <c r="K127" s="66" t="s">
        <v>2969</v>
      </c>
      <c r="L127" s="70">
        <v>1</v>
      </c>
      <c r="M127" s="71">
        <v>8718.640625</v>
      </c>
      <c r="N127" s="71">
        <v>5592.3896484375</v>
      </c>
      <c r="O127" s="72"/>
      <c r="P127" s="73"/>
      <c r="Q127" s="73"/>
      <c r="R127" s="85"/>
      <c r="S127" s="45">
        <v>0</v>
      </c>
      <c r="T127" s="45">
        <v>1</v>
      </c>
      <c r="U127" s="46">
        <v>0</v>
      </c>
      <c r="V127" s="46">
        <v>0.003058</v>
      </c>
      <c r="W127" s="46">
        <v>0</v>
      </c>
      <c r="X127" s="46">
        <v>0.003049</v>
      </c>
      <c r="Y127" s="46">
        <v>0</v>
      </c>
      <c r="Z127" s="46">
        <v>0</v>
      </c>
      <c r="AA127" s="68">
        <v>127</v>
      </c>
      <c r="AB127" s="68"/>
      <c r="AC127" s="69"/>
      <c r="AD127" s="75" t="s">
        <v>1961</v>
      </c>
      <c r="AE127" s="80" t="s">
        <v>2263</v>
      </c>
      <c r="AF127" s="75">
        <v>5</v>
      </c>
      <c r="AG127" s="75">
        <v>4</v>
      </c>
      <c r="AH127" s="75">
        <v>561</v>
      </c>
      <c r="AI127" s="75">
        <v>215</v>
      </c>
      <c r="AJ127" s="75"/>
      <c r="AK127" s="75" t="s">
        <v>2508</v>
      </c>
      <c r="AL127" s="75"/>
      <c r="AM127" s="75"/>
      <c r="AN127" s="75"/>
      <c r="AO127" s="77">
        <v>44629.03685185185</v>
      </c>
      <c r="AP127" s="82" t="str">
        <f>HYPERLINK("https://pbs.twimg.com/profile_banners/1501360253136371716/1662010249")</f>
        <v>https://pbs.twimg.com/profile_banners/1501360253136371716/1662010249</v>
      </c>
      <c r="AQ127" s="75" t="b">
        <v>1</v>
      </c>
      <c r="AR127" s="75" t="b">
        <v>0</v>
      </c>
      <c r="AS127" s="75" t="b">
        <v>0</v>
      </c>
      <c r="AT127" s="75"/>
      <c r="AU127" s="75">
        <v>0</v>
      </c>
      <c r="AV127" s="75"/>
      <c r="AW127" s="75" t="b">
        <v>0</v>
      </c>
      <c r="AX127" s="75" t="s">
        <v>2845</v>
      </c>
      <c r="AY127" s="82" t="str">
        <f>HYPERLINK("https://twitter.com/serpens48")</f>
        <v>https://twitter.com/serpens48</v>
      </c>
      <c r="AZ127" s="75" t="s">
        <v>66</v>
      </c>
      <c r="BA127" s="75" t="str">
        <f>REPLACE(INDEX(GroupVertices[Group],MATCH(Vertices[[#This Row],[Vertex]],GroupVertices[Vertex],0)),1,1,"")</f>
        <v>52</v>
      </c>
      <c r="BB127" s="45">
        <v>0</v>
      </c>
      <c r="BC127" s="46">
        <v>0</v>
      </c>
      <c r="BD127" s="45">
        <v>0</v>
      </c>
      <c r="BE127" s="46">
        <v>0</v>
      </c>
      <c r="BF127" s="45">
        <v>0</v>
      </c>
      <c r="BG127" s="46">
        <v>0</v>
      </c>
      <c r="BH127" s="45">
        <v>40</v>
      </c>
      <c r="BI127" s="46">
        <v>100</v>
      </c>
      <c r="BJ127" s="45">
        <v>40</v>
      </c>
      <c r="BK127" s="45"/>
      <c r="BL127" s="45"/>
      <c r="BM127" s="45"/>
      <c r="BN127" s="45"/>
      <c r="BO127" s="45"/>
      <c r="BP127" s="45"/>
      <c r="BQ127" s="110" t="s">
        <v>4473</v>
      </c>
      <c r="BR127" s="110" t="s">
        <v>4473</v>
      </c>
      <c r="BS127" s="110" t="s">
        <v>4591</v>
      </c>
      <c r="BT127" s="110" t="s">
        <v>4591</v>
      </c>
      <c r="BU127" s="2"/>
    </row>
    <row r="128" spans="1:73" ht="15">
      <c r="A128" s="61" t="s">
        <v>484</v>
      </c>
      <c r="B128" s="62"/>
      <c r="C128" s="62"/>
      <c r="D128" s="63">
        <v>100</v>
      </c>
      <c r="E128" s="65"/>
      <c r="F128" s="99" t="str">
        <f>HYPERLINK("https://abs.twimg.com/sticky/default_profile_images/default_profile_normal.png")</f>
        <v>https://abs.twimg.com/sticky/default_profile_images/default_profile_normal.png</v>
      </c>
      <c r="G128" s="62"/>
      <c r="H128" s="66" t="s">
        <v>484</v>
      </c>
      <c r="I128" s="67"/>
      <c r="J128" s="67"/>
      <c r="K128" s="66" t="s">
        <v>2970</v>
      </c>
      <c r="L128" s="70">
        <v>1</v>
      </c>
      <c r="M128" s="71">
        <v>8718.640625</v>
      </c>
      <c r="N128" s="71">
        <v>5880.822265625</v>
      </c>
      <c r="O128" s="72"/>
      <c r="P128" s="73"/>
      <c r="Q128" s="73"/>
      <c r="R128" s="85"/>
      <c r="S128" s="45">
        <v>1</v>
      </c>
      <c r="T128" s="45">
        <v>0</v>
      </c>
      <c r="U128" s="46">
        <v>0</v>
      </c>
      <c r="V128" s="46">
        <v>0.003058</v>
      </c>
      <c r="W128" s="46">
        <v>0</v>
      </c>
      <c r="X128" s="46">
        <v>0.003049</v>
      </c>
      <c r="Y128" s="46">
        <v>0</v>
      </c>
      <c r="Z128" s="46">
        <v>0</v>
      </c>
      <c r="AA128" s="68">
        <v>128</v>
      </c>
      <c r="AB128" s="68"/>
      <c r="AC128" s="69"/>
      <c r="AD128" s="75" t="s">
        <v>1962</v>
      </c>
      <c r="AE128" s="80" t="s">
        <v>1696</v>
      </c>
      <c r="AF128" s="75">
        <v>1</v>
      </c>
      <c r="AG128" s="75">
        <v>0</v>
      </c>
      <c r="AH128" s="75">
        <v>19</v>
      </c>
      <c r="AI128" s="75">
        <v>0</v>
      </c>
      <c r="AJ128" s="75"/>
      <c r="AK128" s="75"/>
      <c r="AL128" s="75"/>
      <c r="AM128" s="75"/>
      <c r="AN128" s="75"/>
      <c r="AO128" s="77">
        <v>44804.68179398148</v>
      </c>
      <c r="AP128" s="75"/>
      <c r="AQ128" s="75" t="b">
        <v>1</v>
      </c>
      <c r="AR128" s="75" t="b">
        <v>1</v>
      </c>
      <c r="AS128" s="75" t="b">
        <v>0</v>
      </c>
      <c r="AT128" s="75"/>
      <c r="AU128" s="75">
        <v>0</v>
      </c>
      <c r="AV128" s="75"/>
      <c r="AW128" s="75" t="b">
        <v>0</v>
      </c>
      <c r="AX128" s="75" t="s">
        <v>2845</v>
      </c>
      <c r="AY128" s="82" t="str">
        <f>HYPERLINK("https://twitter.com/sangreal1965")</f>
        <v>https://twitter.com/sangreal1965</v>
      </c>
      <c r="AZ128" s="75" t="s">
        <v>65</v>
      </c>
      <c r="BA128" s="75" t="str">
        <f>REPLACE(INDEX(GroupVertices[Group],MATCH(Vertices[[#This Row],[Vertex]],GroupVertices[Vertex],0)),1,1,"")</f>
        <v>52</v>
      </c>
      <c r="BB128" s="45"/>
      <c r="BC128" s="46"/>
      <c r="BD128" s="45"/>
      <c r="BE128" s="46"/>
      <c r="BF128" s="45"/>
      <c r="BG128" s="46"/>
      <c r="BH128" s="45"/>
      <c r="BI128" s="46"/>
      <c r="BJ128" s="45"/>
      <c r="BK128" s="45"/>
      <c r="BL128" s="45"/>
      <c r="BM128" s="45"/>
      <c r="BN128" s="45"/>
      <c r="BO128" s="45"/>
      <c r="BP128" s="45"/>
      <c r="BQ128" s="45"/>
      <c r="BR128" s="45"/>
      <c r="BS128" s="45"/>
      <c r="BT128" s="45"/>
      <c r="BU128" s="2"/>
    </row>
    <row r="129" spans="1:73" ht="15">
      <c r="A129" s="61" t="s">
        <v>325</v>
      </c>
      <c r="B129" s="62"/>
      <c r="C129" s="62"/>
      <c r="D129" s="63">
        <v>100</v>
      </c>
      <c r="E129" s="65"/>
      <c r="F129" s="99" t="str">
        <f>HYPERLINK("https://pbs.twimg.com/profile_images/1567936250111221762/yooKi464_normal.jpg")</f>
        <v>https://pbs.twimg.com/profile_images/1567936250111221762/yooKi464_normal.jpg</v>
      </c>
      <c r="G129" s="62"/>
      <c r="H129" s="66" t="s">
        <v>325</v>
      </c>
      <c r="I129" s="67"/>
      <c r="J129" s="67"/>
      <c r="K129" s="66" t="s">
        <v>2971</v>
      </c>
      <c r="L129" s="70">
        <v>1</v>
      </c>
      <c r="M129" s="71">
        <v>3731.334228515625</v>
      </c>
      <c r="N129" s="71">
        <v>4496.31982421875</v>
      </c>
      <c r="O129" s="72"/>
      <c r="P129" s="73"/>
      <c r="Q129" s="73"/>
      <c r="R129" s="85"/>
      <c r="S129" s="45">
        <v>0</v>
      </c>
      <c r="T129" s="45">
        <v>1</v>
      </c>
      <c r="U129" s="46">
        <v>0</v>
      </c>
      <c r="V129" s="46">
        <v>0.073479</v>
      </c>
      <c r="W129" s="46">
        <v>0.019276</v>
      </c>
      <c r="X129" s="46">
        <v>0.002671</v>
      </c>
      <c r="Y129" s="46">
        <v>0</v>
      </c>
      <c r="Z129" s="46">
        <v>0</v>
      </c>
      <c r="AA129" s="68">
        <v>129</v>
      </c>
      <c r="AB129" s="68"/>
      <c r="AC129" s="69"/>
      <c r="AD129" s="75" t="s">
        <v>1963</v>
      </c>
      <c r="AE129" s="80" t="s">
        <v>2264</v>
      </c>
      <c r="AF129" s="75">
        <v>117</v>
      </c>
      <c r="AG129" s="75">
        <v>64</v>
      </c>
      <c r="AH129" s="75">
        <v>1338</v>
      </c>
      <c r="AI129" s="75">
        <v>1324</v>
      </c>
      <c r="AJ129" s="75"/>
      <c r="AK129" s="75" t="s">
        <v>2509</v>
      </c>
      <c r="AL129" s="75"/>
      <c r="AM129" s="75"/>
      <c r="AN129" s="75"/>
      <c r="AO129" s="77">
        <v>44812.74872685185</v>
      </c>
      <c r="AP129" s="82" t="str">
        <f>HYPERLINK("https://pbs.twimg.com/profile_banners/1567935258468794370/1662668715")</f>
        <v>https://pbs.twimg.com/profile_banners/1567935258468794370/1662668715</v>
      </c>
      <c r="AQ129" s="75" t="b">
        <v>1</v>
      </c>
      <c r="AR129" s="75" t="b">
        <v>0</v>
      </c>
      <c r="AS129" s="75" t="b">
        <v>0</v>
      </c>
      <c r="AT129" s="75"/>
      <c r="AU129" s="75">
        <v>0</v>
      </c>
      <c r="AV129" s="75"/>
      <c r="AW129" s="75" t="b">
        <v>0</v>
      </c>
      <c r="AX129" s="75" t="s">
        <v>2845</v>
      </c>
      <c r="AY129" s="82" t="str">
        <f>HYPERLINK("https://twitter.com/genoisemile")</f>
        <v>https://twitter.com/genoisemile</v>
      </c>
      <c r="AZ129" s="75" t="s">
        <v>66</v>
      </c>
      <c r="BA129" s="75" t="str">
        <f>REPLACE(INDEX(GroupVertices[Group],MATCH(Vertices[[#This Row],[Vertex]],GroupVertices[Vertex],0)),1,1,"")</f>
        <v>7</v>
      </c>
      <c r="BB129" s="45">
        <v>0</v>
      </c>
      <c r="BC129" s="46">
        <v>0</v>
      </c>
      <c r="BD129" s="45">
        <v>0</v>
      </c>
      <c r="BE129" s="46">
        <v>0</v>
      </c>
      <c r="BF129" s="45">
        <v>0</v>
      </c>
      <c r="BG129" s="46">
        <v>0</v>
      </c>
      <c r="BH129" s="45">
        <v>27</v>
      </c>
      <c r="BI129" s="46">
        <v>100</v>
      </c>
      <c r="BJ129" s="45">
        <v>27</v>
      </c>
      <c r="BK129" s="45" t="s">
        <v>3956</v>
      </c>
      <c r="BL129" s="45" t="s">
        <v>3956</v>
      </c>
      <c r="BM129" s="45" t="s">
        <v>785</v>
      </c>
      <c r="BN129" s="45" t="s">
        <v>785</v>
      </c>
      <c r="BO129" s="45" t="s">
        <v>822</v>
      </c>
      <c r="BP129" s="45" t="s">
        <v>822</v>
      </c>
      <c r="BQ129" s="110" t="s">
        <v>4474</v>
      </c>
      <c r="BR129" s="110" t="s">
        <v>4474</v>
      </c>
      <c r="BS129" s="110" t="s">
        <v>4245</v>
      </c>
      <c r="BT129" s="110" t="s">
        <v>4245</v>
      </c>
      <c r="BU129" s="2"/>
    </row>
    <row r="130" spans="1:73" ht="15">
      <c r="A130" s="61" t="s">
        <v>337</v>
      </c>
      <c r="B130" s="62"/>
      <c r="C130" s="62"/>
      <c r="D130" s="63">
        <v>1000</v>
      </c>
      <c r="E130" s="65"/>
      <c r="F130" s="99" t="str">
        <f>HYPERLINK("https://pbs.twimg.com/profile_images/1564567919417298946/6MJU1pFB_normal.jpg")</f>
        <v>https://pbs.twimg.com/profile_images/1564567919417298946/6MJU1pFB_normal.jpg</v>
      </c>
      <c r="G130" s="62"/>
      <c r="H130" s="66" t="s">
        <v>337</v>
      </c>
      <c r="I130" s="67"/>
      <c r="J130" s="67"/>
      <c r="K130" s="66" t="s">
        <v>2972</v>
      </c>
      <c r="L130" s="70">
        <v>4476.545352786542</v>
      </c>
      <c r="M130" s="71">
        <v>4097.14794921875</v>
      </c>
      <c r="N130" s="71">
        <v>4710.95458984375</v>
      </c>
      <c r="O130" s="72"/>
      <c r="P130" s="73"/>
      <c r="Q130" s="73"/>
      <c r="R130" s="85"/>
      <c r="S130" s="45">
        <v>11</v>
      </c>
      <c r="T130" s="45">
        <v>3</v>
      </c>
      <c r="U130" s="46">
        <v>2013.650794</v>
      </c>
      <c r="V130" s="46">
        <v>0.095833</v>
      </c>
      <c r="W130" s="46">
        <v>0.10863</v>
      </c>
      <c r="X130" s="46">
        <v>0.006901</v>
      </c>
      <c r="Y130" s="46">
        <v>0</v>
      </c>
      <c r="Z130" s="46">
        <v>0</v>
      </c>
      <c r="AA130" s="68">
        <v>130</v>
      </c>
      <c r="AB130" s="68"/>
      <c r="AC130" s="69"/>
      <c r="AD130" s="75" t="s">
        <v>1964</v>
      </c>
      <c r="AE130" s="80" t="s">
        <v>2265</v>
      </c>
      <c r="AF130" s="75">
        <v>2056</v>
      </c>
      <c r="AG130" s="75">
        <v>424</v>
      </c>
      <c r="AH130" s="75">
        <v>1926</v>
      </c>
      <c r="AI130" s="75">
        <v>2839</v>
      </c>
      <c r="AJ130" s="75"/>
      <c r="AK130" s="75" t="s">
        <v>2510</v>
      </c>
      <c r="AL130" s="75"/>
      <c r="AM130" s="75"/>
      <c r="AN130" s="75"/>
      <c r="AO130" s="77">
        <v>44802.839375</v>
      </c>
      <c r="AP130" s="82" t="str">
        <f>HYPERLINK("https://pbs.twimg.com/profile_banners/1564344228959903745/1661864134")</f>
        <v>https://pbs.twimg.com/profile_banners/1564344228959903745/1661864134</v>
      </c>
      <c r="AQ130" s="75" t="b">
        <v>1</v>
      </c>
      <c r="AR130" s="75" t="b">
        <v>0</v>
      </c>
      <c r="AS130" s="75" t="b">
        <v>0</v>
      </c>
      <c r="AT130" s="75"/>
      <c r="AU130" s="75">
        <v>1</v>
      </c>
      <c r="AV130" s="75"/>
      <c r="AW130" s="75" t="b">
        <v>0</v>
      </c>
      <c r="AX130" s="75" t="s">
        <v>2845</v>
      </c>
      <c r="AY130" s="82" t="str">
        <f>HYPERLINK("https://twitter.com/brutionnepnm")</f>
        <v>https://twitter.com/brutionnepnm</v>
      </c>
      <c r="AZ130" s="75" t="s">
        <v>66</v>
      </c>
      <c r="BA130" s="75" t="str">
        <f>REPLACE(INDEX(GroupVertices[Group],MATCH(Vertices[[#This Row],[Vertex]],GroupVertices[Vertex],0)),1,1,"")</f>
        <v>7</v>
      </c>
      <c r="BB130" s="45">
        <v>0</v>
      </c>
      <c r="BC130" s="46">
        <v>0</v>
      </c>
      <c r="BD130" s="45">
        <v>4</v>
      </c>
      <c r="BE130" s="46">
        <v>6.779661016949152</v>
      </c>
      <c r="BF130" s="45">
        <v>0</v>
      </c>
      <c r="BG130" s="46">
        <v>0</v>
      </c>
      <c r="BH130" s="45">
        <v>55</v>
      </c>
      <c r="BI130" s="46">
        <v>93.22033898305085</v>
      </c>
      <c r="BJ130" s="45">
        <v>59</v>
      </c>
      <c r="BK130" s="45" t="s">
        <v>4001</v>
      </c>
      <c r="BL130" s="45" t="s">
        <v>4001</v>
      </c>
      <c r="BM130" s="45" t="s">
        <v>4022</v>
      </c>
      <c r="BN130" s="45" t="s">
        <v>4022</v>
      </c>
      <c r="BO130" s="45" t="s">
        <v>4412</v>
      </c>
      <c r="BP130" s="45" t="s">
        <v>4429</v>
      </c>
      <c r="BQ130" s="110" t="s">
        <v>4475</v>
      </c>
      <c r="BR130" s="110" t="s">
        <v>4546</v>
      </c>
      <c r="BS130" s="110" t="s">
        <v>4592</v>
      </c>
      <c r="BT130" s="110" t="s">
        <v>4655</v>
      </c>
      <c r="BU130" s="2"/>
    </row>
    <row r="131" spans="1:73" ht="15">
      <c r="A131" s="61" t="s">
        <v>326</v>
      </c>
      <c r="B131" s="62"/>
      <c r="C131" s="62"/>
      <c r="D131" s="63">
        <v>109.0909090909091</v>
      </c>
      <c r="E131" s="65"/>
      <c r="F131" s="99" t="str">
        <f>HYPERLINK("https://pbs.twimg.com/profile_images/1495462778240475136/aqiyN_O6_normal.jpg")</f>
        <v>https://pbs.twimg.com/profile_images/1495462778240475136/aqiyN_O6_normal.jpg</v>
      </c>
      <c r="G131" s="62"/>
      <c r="H131" s="66" t="s">
        <v>326</v>
      </c>
      <c r="I131" s="67"/>
      <c r="J131" s="67"/>
      <c r="K131" s="66" t="s">
        <v>2973</v>
      </c>
      <c r="L131" s="70">
        <v>14.335615190445607</v>
      </c>
      <c r="M131" s="71">
        <v>7913.8427734375</v>
      </c>
      <c r="N131" s="71">
        <v>8396.595703125</v>
      </c>
      <c r="O131" s="72"/>
      <c r="P131" s="73"/>
      <c r="Q131" s="73"/>
      <c r="R131" s="85"/>
      <c r="S131" s="45">
        <v>0</v>
      </c>
      <c r="T131" s="45">
        <v>3</v>
      </c>
      <c r="U131" s="46">
        <v>6</v>
      </c>
      <c r="V131" s="46">
        <v>0.009174</v>
      </c>
      <c r="W131" s="46">
        <v>0</v>
      </c>
      <c r="X131" s="46">
        <v>0.003844</v>
      </c>
      <c r="Y131" s="46">
        <v>0</v>
      </c>
      <c r="Z131" s="46">
        <v>0</v>
      </c>
      <c r="AA131" s="68">
        <v>131</v>
      </c>
      <c r="AB131" s="68"/>
      <c r="AC131" s="69"/>
      <c r="AD131" s="75" t="s">
        <v>1965</v>
      </c>
      <c r="AE131" s="80" t="s">
        <v>2266</v>
      </c>
      <c r="AF131" s="75">
        <v>1099</v>
      </c>
      <c r="AG131" s="75">
        <v>621</v>
      </c>
      <c r="AH131" s="75">
        <v>5342</v>
      </c>
      <c r="AI131" s="75">
        <v>18926</v>
      </c>
      <c r="AJ131" s="75"/>
      <c r="AK131" s="75" t="s">
        <v>2511</v>
      </c>
      <c r="AL131" s="75"/>
      <c r="AM131" s="75"/>
      <c r="AN131" s="75"/>
      <c r="AO131" s="77">
        <v>44537.855416666665</v>
      </c>
      <c r="AP131" s="82" t="str">
        <f>HYPERLINK("https://pbs.twimg.com/profile_banners/1468317257680166914/1638910272")</f>
        <v>https://pbs.twimg.com/profile_banners/1468317257680166914/1638910272</v>
      </c>
      <c r="AQ131" s="75" t="b">
        <v>1</v>
      </c>
      <c r="AR131" s="75" t="b">
        <v>0</v>
      </c>
      <c r="AS131" s="75" t="b">
        <v>0</v>
      </c>
      <c r="AT131" s="75"/>
      <c r="AU131" s="75">
        <v>1</v>
      </c>
      <c r="AV131" s="75"/>
      <c r="AW131" s="75" t="b">
        <v>0</v>
      </c>
      <c r="AX131" s="75" t="s">
        <v>2845</v>
      </c>
      <c r="AY131" s="82" t="str">
        <f>HYPERLINK("https://twitter.com/reservoir_dogs8")</f>
        <v>https://twitter.com/reservoir_dogs8</v>
      </c>
      <c r="AZ131" s="75" t="s">
        <v>66</v>
      </c>
      <c r="BA131" s="75" t="str">
        <f>REPLACE(INDEX(GroupVertices[Group],MATCH(Vertices[[#This Row],[Vertex]],GroupVertices[Vertex],0)),1,1,"")</f>
        <v>29</v>
      </c>
      <c r="BB131" s="45">
        <v>0</v>
      </c>
      <c r="BC131" s="46">
        <v>0</v>
      </c>
      <c r="BD131" s="45">
        <v>0</v>
      </c>
      <c r="BE131" s="46">
        <v>0</v>
      </c>
      <c r="BF131" s="45">
        <v>0</v>
      </c>
      <c r="BG131" s="46">
        <v>0</v>
      </c>
      <c r="BH131" s="45">
        <v>12</v>
      </c>
      <c r="BI131" s="46">
        <v>100</v>
      </c>
      <c r="BJ131" s="45">
        <v>12</v>
      </c>
      <c r="BK131" s="45"/>
      <c r="BL131" s="45"/>
      <c r="BM131" s="45"/>
      <c r="BN131" s="45"/>
      <c r="BO131" s="45" t="s">
        <v>795</v>
      </c>
      <c r="BP131" s="45" t="s">
        <v>795</v>
      </c>
      <c r="BQ131" s="110" t="s">
        <v>4476</v>
      </c>
      <c r="BR131" s="110" t="s">
        <v>4547</v>
      </c>
      <c r="BS131" s="110" t="s">
        <v>4593</v>
      </c>
      <c r="BT131" s="110" t="s">
        <v>4593</v>
      </c>
      <c r="BU131" s="2"/>
    </row>
    <row r="132" spans="1:73" ht="15">
      <c r="A132" s="61" t="s">
        <v>485</v>
      </c>
      <c r="B132" s="62"/>
      <c r="C132" s="62"/>
      <c r="D132" s="63">
        <v>100</v>
      </c>
      <c r="E132" s="65"/>
      <c r="F132" s="99" t="str">
        <f>HYPERLINK("https://pbs.twimg.com/profile_images/1331214122634141697/Fe5C1LJy_normal.jpg")</f>
        <v>https://pbs.twimg.com/profile_images/1331214122634141697/Fe5C1LJy_normal.jpg</v>
      </c>
      <c r="G132" s="62"/>
      <c r="H132" s="66" t="s">
        <v>485</v>
      </c>
      <c r="I132" s="67"/>
      <c r="J132" s="67"/>
      <c r="K132" s="66" t="s">
        <v>2974</v>
      </c>
      <c r="L132" s="70">
        <v>1</v>
      </c>
      <c r="M132" s="71">
        <v>7913.8427734375</v>
      </c>
      <c r="N132" s="71">
        <v>9037.5576171875</v>
      </c>
      <c r="O132" s="72"/>
      <c r="P132" s="73"/>
      <c r="Q132" s="73"/>
      <c r="R132" s="85"/>
      <c r="S132" s="45">
        <v>1</v>
      </c>
      <c r="T132" s="45">
        <v>0</v>
      </c>
      <c r="U132" s="46">
        <v>0</v>
      </c>
      <c r="V132" s="46">
        <v>0.005505</v>
      </c>
      <c r="W132" s="46">
        <v>0</v>
      </c>
      <c r="X132" s="46">
        <v>0.002784</v>
      </c>
      <c r="Y132" s="46">
        <v>0</v>
      </c>
      <c r="Z132" s="46">
        <v>0</v>
      </c>
      <c r="AA132" s="68">
        <v>132</v>
      </c>
      <c r="AB132" s="68"/>
      <c r="AC132" s="69"/>
      <c r="AD132" s="75" t="s">
        <v>1966</v>
      </c>
      <c r="AE132" s="80" t="s">
        <v>1697</v>
      </c>
      <c r="AF132" s="75">
        <v>1083</v>
      </c>
      <c r="AG132" s="75">
        <v>35474</v>
      </c>
      <c r="AH132" s="75">
        <v>1044</v>
      </c>
      <c r="AI132" s="75">
        <v>2522</v>
      </c>
      <c r="AJ132" s="75"/>
      <c r="AK132" s="75" t="s">
        <v>2512</v>
      </c>
      <c r="AL132" s="75" t="s">
        <v>2704</v>
      </c>
      <c r="AM132" s="82" t="str">
        <f>HYPERLINK("https://t.co/aF5upmdxQA")</f>
        <v>https://t.co/aF5upmdxQA</v>
      </c>
      <c r="AN132" s="75"/>
      <c r="AO132" s="77">
        <v>43384.551516203705</v>
      </c>
      <c r="AP132" s="82" t="str">
        <f>HYPERLINK("https://pbs.twimg.com/profile_banners/1050373998587056128/1608039420")</f>
        <v>https://pbs.twimg.com/profile_banners/1050373998587056128/1608039420</v>
      </c>
      <c r="AQ132" s="75" t="b">
        <v>1</v>
      </c>
      <c r="AR132" s="75" t="b">
        <v>0</v>
      </c>
      <c r="AS132" s="75" t="b">
        <v>0</v>
      </c>
      <c r="AT132" s="75"/>
      <c r="AU132" s="75">
        <v>278</v>
      </c>
      <c r="AV132" s="75"/>
      <c r="AW132" s="75" t="b">
        <v>1</v>
      </c>
      <c r="AX132" s="75" t="s">
        <v>2845</v>
      </c>
      <c r="AY132" s="82" t="str">
        <f>HYPERLINK("https://twitter.com/dassenlaurens")</f>
        <v>https://twitter.com/dassenlaurens</v>
      </c>
      <c r="AZ132" s="75" t="s">
        <v>65</v>
      </c>
      <c r="BA132" s="75" t="str">
        <f>REPLACE(INDEX(GroupVertices[Group],MATCH(Vertices[[#This Row],[Vertex]],GroupVertices[Vertex],0)),1,1,"")</f>
        <v>29</v>
      </c>
      <c r="BB132" s="45"/>
      <c r="BC132" s="46"/>
      <c r="BD132" s="45"/>
      <c r="BE132" s="46"/>
      <c r="BF132" s="45"/>
      <c r="BG132" s="46"/>
      <c r="BH132" s="45"/>
      <c r="BI132" s="46"/>
      <c r="BJ132" s="45"/>
      <c r="BK132" s="45"/>
      <c r="BL132" s="45"/>
      <c r="BM132" s="45"/>
      <c r="BN132" s="45"/>
      <c r="BO132" s="45"/>
      <c r="BP132" s="45"/>
      <c r="BQ132" s="45"/>
      <c r="BR132" s="45"/>
      <c r="BS132" s="45"/>
      <c r="BT132" s="45"/>
      <c r="BU132" s="2"/>
    </row>
    <row r="133" spans="1:73" ht="15">
      <c r="A133" s="61" t="s">
        <v>486</v>
      </c>
      <c r="B133" s="62"/>
      <c r="C133" s="62"/>
      <c r="D133" s="63">
        <v>100</v>
      </c>
      <c r="E133" s="65"/>
      <c r="F133" s="99" t="str">
        <f>HYPERLINK("https://pbs.twimg.com/profile_images/1300340221897248768/2qmSOW7X_normal.jpg")</f>
        <v>https://pbs.twimg.com/profile_images/1300340221897248768/2qmSOW7X_normal.jpg</v>
      </c>
      <c r="G133" s="62"/>
      <c r="H133" s="66" t="s">
        <v>486</v>
      </c>
      <c r="I133" s="67"/>
      <c r="J133" s="67"/>
      <c r="K133" s="66" t="s">
        <v>2975</v>
      </c>
      <c r="L133" s="70">
        <v>1</v>
      </c>
      <c r="M133" s="71">
        <v>7743.1279296875</v>
      </c>
      <c r="N133" s="71">
        <v>9037.5576171875</v>
      </c>
      <c r="O133" s="72"/>
      <c r="P133" s="73"/>
      <c r="Q133" s="73"/>
      <c r="R133" s="85"/>
      <c r="S133" s="45">
        <v>1</v>
      </c>
      <c r="T133" s="45">
        <v>0</v>
      </c>
      <c r="U133" s="46">
        <v>0</v>
      </c>
      <c r="V133" s="46">
        <v>0.005505</v>
      </c>
      <c r="W133" s="46">
        <v>0</v>
      </c>
      <c r="X133" s="46">
        <v>0.002784</v>
      </c>
      <c r="Y133" s="46">
        <v>0</v>
      </c>
      <c r="Z133" s="46">
        <v>0</v>
      </c>
      <c r="AA133" s="68">
        <v>133</v>
      </c>
      <c r="AB133" s="68"/>
      <c r="AC133" s="69"/>
      <c r="AD133" s="75" t="s">
        <v>1967</v>
      </c>
      <c r="AE133" s="80" t="s">
        <v>1698</v>
      </c>
      <c r="AF133" s="75">
        <v>691</v>
      </c>
      <c r="AG133" s="75">
        <v>76665</v>
      </c>
      <c r="AH133" s="75">
        <v>46201</v>
      </c>
      <c r="AI133" s="75">
        <v>23761</v>
      </c>
      <c r="AJ133" s="75"/>
      <c r="AK133" s="75" t="s">
        <v>2513</v>
      </c>
      <c r="AL133" s="75"/>
      <c r="AM133" s="82" t="str">
        <f>HYPERLINK("https://t.co/hy5j0hXWdz")</f>
        <v>https://t.co/hy5j0hXWdz</v>
      </c>
      <c r="AN133" s="75"/>
      <c r="AO133" s="77">
        <v>40239.820023148146</v>
      </c>
      <c r="AP133" s="82" t="str">
        <f>HYPERLINK("https://pbs.twimg.com/profile_banners/119136331/1485169279")</f>
        <v>https://pbs.twimg.com/profile_banners/119136331/1485169279</v>
      </c>
      <c r="AQ133" s="75" t="b">
        <v>1</v>
      </c>
      <c r="AR133" s="75" t="b">
        <v>0</v>
      </c>
      <c r="AS133" s="75" t="b">
        <v>0</v>
      </c>
      <c r="AT133" s="75"/>
      <c r="AU133" s="75">
        <v>737</v>
      </c>
      <c r="AV133" s="82" t="str">
        <f>HYPERLINK("https://abs.twimg.com/images/themes/theme1/bg.png")</f>
        <v>https://abs.twimg.com/images/themes/theme1/bg.png</v>
      </c>
      <c r="AW133" s="75" t="b">
        <v>1</v>
      </c>
      <c r="AX133" s="75" t="s">
        <v>2845</v>
      </c>
      <c r="AY133" s="82" t="str">
        <f>HYPERLINK("https://twitter.com/gertjansegers")</f>
        <v>https://twitter.com/gertjansegers</v>
      </c>
      <c r="AZ133" s="75" t="s">
        <v>65</v>
      </c>
      <c r="BA133" s="75" t="str">
        <f>REPLACE(INDEX(GroupVertices[Group],MATCH(Vertices[[#This Row],[Vertex]],GroupVertices[Vertex],0)),1,1,"")</f>
        <v>29</v>
      </c>
      <c r="BB133" s="45"/>
      <c r="BC133" s="46"/>
      <c r="BD133" s="45"/>
      <c r="BE133" s="46"/>
      <c r="BF133" s="45"/>
      <c r="BG133" s="46"/>
      <c r="BH133" s="45"/>
      <c r="BI133" s="46"/>
      <c r="BJ133" s="45"/>
      <c r="BK133" s="45"/>
      <c r="BL133" s="45"/>
      <c r="BM133" s="45"/>
      <c r="BN133" s="45"/>
      <c r="BO133" s="45"/>
      <c r="BP133" s="45"/>
      <c r="BQ133" s="45"/>
      <c r="BR133" s="45"/>
      <c r="BS133" s="45"/>
      <c r="BT133" s="45"/>
      <c r="BU133" s="2"/>
    </row>
    <row r="134" spans="1:73" ht="15">
      <c r="A134" s="61" t="s">
        <v>487</v>
      </c>
      <c r="B134" s="62"/>
      <c r="C134" s="62"/>
      <c r="D134" s="63">
        <v>100</v>
      </c>
      <c r="E134" s="65"/>
      <c r="F134" s="99" t="str">
        <f>HYPERLINK("https://pbs.twimg.com/profile_images/3010984202/6939fdd270e2b38b02270910e18eb929_normal.jpeg")</f>
        <v>https://pbs.twimg.com/profile_images/3010984202/6939fdd270e2b38b02270910e18eb929_normal.jpeg</v>
      </c>
      <c r="G134" s="62"/>
      <c r="H134" s="66" t="s">
        <v>487</v>
      </c>
      <c r="I134" s="67"/>
      <c r="J134" s="67"/>
      <c r="K134" s="66" t="s">
        <v>2976</v>
      </c>
      <c r="L134" s="70">
        <v>1</v>
      </c>
      <c r="M134" s="71">
        <v>7743.1279296875</v>
      </c>
      <c r="N134" s="71">
        <v>8396.595703125</v>
      </c>
      <c r="O134" s="72"/>
      <c r="P134" s="73"/>
      <c r="Q134" s="73"/>
      <c r="R134" s="85"/>
      <c r="S134" s="45">
        <v>1</v>
      </c>
      <c r="T134" s="45">
        <v>0</v>
      </c>
      <c r="U134" s="46">
        <v>0</v>
      </c>
      <c r="V134" s="46">
        <v>0.005505</v>
      </c>
      <c r="W134" s="46">
        <v>0</v>
      </c>
      <c r="X134" s="46">
        <v>0.002784</v>
      </c>
      <c r="Y134" s="46">
        <v>0</v>
      </c>
      <c r="Z134" s="46">
        <v>0</v>
      </c>
      <c r="AA134" s="68">
        <v>134</v>
      </c>
      <c r="AB134" s="68"/>
      <c r="AC134" s="69"/>
      <c r="AD134" s="75" t="s">
        <v>1968</v>
      </c>
      <c r="AE134" s="80" t="s">
        <v>1699</v>
      </c>
      <c r="AF134" s="75">
        <v>1190</v>
      </c>
      <c r="AG134" s="75">
        <v>1137</v>
      </c>
      <c r="AH134" s="75">
        <v>7184</v>
      </c>
      <c r="AI134" s="75">
        <v>8915</v>
      </c>
      <c r="AJ134" s="75"/>
      <c r="AK134" s="75" t="s">
        <v>2514</v>
      </c>
      <c r="AL134" s="75" t="s">
        <v>2746</v>
      </c>
      <c r="AM134" s="82" t="str">
        <f>HYPERLINK("https://t.co/cyPhvj5p6r")</f>
        <v>https://t.co/cyPhvj5p6r</v>
      </c>
      <c r="AN134" s="75"/>
      <c r="AO134" s="77">
        <v>39847.88890046296</v>
      </c>
      <c r="AP134" s="82" t="str">
        <f>HYPERLINK("https://pbs.twimg.com/profile_banners/20004999/1534763608")</f>
        <v>https://pbs.twimg.com/profile_banners/20004999/1534763608</v>
      </c>
      <c r="AQ134" s="75" t="b">
        <v>0</v>
      </c>
      <c r="AR134" s="75" t="b">
        <v>0</v>
      </c>
      <c r="AS134" s="75" t="b">
        <v>1</v>
      </c>
      <c r="AT134" s="75"/>
      <c r="AU134" s="75">
        <v>39</v>
      </c>
      <c r="AV134" s="82" t="str">
        <f>HYPERLINK("https://abs.twimg.com/images/themes/theme1/bg.png")</f>
        <v>https://abs.twimg.com/images/themes/theme1/bg.png</v>
      </c>
      <c r="AW134" s="75" t="b">
        <v>0</v>
      </c>
      <c r="AX134" s="75" t="s">
        <v>2845</v>
      </c>
      <c r="AY134" s="82" t="str">
        <f>HYPERLINK("https://twitter.com/cjbjcjbj")</f>
        <v>https://twitter.com/cjbjcjbj</v>
      </c>
      <c r="AZ134" s="75" t="s">
        <v>65</v>
      </c>
      <c r="BA134" s="75" t="str">
        <f>REPLACE(INDEX(GroupVertices[Group],MATCH(Vertices[[#This Row],[Vertex]],GroupVertices[Vertex],0)),1,1,"")</f>
        <v>29</v>
      </c>
      <c r="BB134" s="45"/>
      <c r="BC134" s="46"/>
      <c r="BD134" s="45"/>
      <c r="BE134" s="46"/>
      <c r="BF134" s="45"/>
      <c r="BG134" s="46"/>
      <c r="BH134" s="45"/>
      <c r="BI134" s="46"/>
      <c r="BJ134" s="45"/>
      <c r="BK134" s="45"/>
      <c r="BL134" s="45"/>
      <c r="BM134" s="45"/>
      <c r="BN134" s="45"/>
      <c r="BO134" s="45"/>
      <c r="BP134" s="45"/>
      <c r="BQ134" s="45"/>
      <c r="BR134" s="45"/>
      <c r="BS134" s="45"/>
      <c r="BT134" s="45"/>
      <c r="BU134" s="2"/>
    </row>
    <row r="135" spans="1:73" ht="15">
      <c r="A135" s="61" t="s">
        <v>327</v>
      </c>
      <c r="B135" s="62"/>
      <c r="C135" s="62"/>
      <c r="D135" s="63">
        <v>100</v>
      </c>
      <c r="E135" s="65"/>
      <c r="F135" s="99" t="str">
        <f>HYPERLINK("https://pbs.twimg.com/profile_images/1459825612328210437/u88l91HM_normal.png")</f>
        <v>https://pbs.twimg.com/profile_images/1459825612328210437/u88l91HM_normal.png</v>
      </c>
      <c r="G135" s="62"/>
      <c r="H135" s="66" t="s">
        <v>327</v>
      </c>
      <c r="I135" s="67"/>
      <c r="J135" s="67"/>
      <c r="K135" s="66" t="s">
        <v>2977</v>
      </c>
      <c r="L135" s="70">
        <v>1</v>
      </c>
      <c r="M135" s="71">
        <v>3764.025634765625</v>
      </c>
      <c r="N135" s="71">
        <v>5268.71337890625</v>
      </c>
      <c r="O135" s="72"/>
      <c r="P135" s="73"/>
      <c r="Q135" s="73"/>
      <c r="R135" s="85"/>
      <c r="S135" s="45">
        <v>0</v>
      </c>
      <c r="T135" s="45">
        <v>1</v>
      </c>
      <c r="U135" s="46">
        <v>0</v>
      </c>
      <c r="V135" s="46">
        <v>0.073479</v>
      </c>
      <c r="W135" s="46">
        <v>0.019276</v>
      </c>
      <c r="X135" s="46">
        <v>0.002671</v>
      </c>
      <c r="Y135" s="46">
        <v>0</v>
      </c>
      <c r="Z135" s="46">
        <v>0</v>
      </c>
      <c r="AA135" s="68">
        <v>135</v>
      </c>
      <c r="AB135" s="68"/>
      <c r="AC135" s="69"/>
      <c r="AD135" s="75" t="s">
        <v>1969</v>
      </c>
      <c r="AE135" s="80" t="s">
        <v>2267</v>
      </c>
      <c r="AF135" s="75">
        <v>202</v>
      </c>
      <c r="AG135" s="75">
        <v>272</v>
      </c>
      <c r="AH135" s="75">
        <v>4264</v>
      </c>
      <c r="AI135" s="75">
        <v>26600</v>
      </c>
      <c r="AJ135" s="75"/>
      <c r="AK135" s="75" t="s">
        <v>2515</v>
      </c>
      <c r="AL135" s="75"/>
      <c r="AM135" s="75"/>
      <c r="AN135" s="75"/>
      <c r="AO135" s="77">
        <v>44514.42270833333</v>
      </c>
      <c r="AP135" s="75"/>
      <c r="AQ135" s="75" t="b">
        <v>1</v>
      </c>
      <c r="AR135" s="75" t="b">
        <v>0</v>
      </c>
      <c r="AS135" s="75" t="b">
        <v>0</v>
      </c>
      <c r="AT135" s="75"/>
      <c r="AU135" s="75">
        <v>1</v>
      </c>
      <c r="AV135" s="75"/>
      <c r="AW135" s="75" t="b">
        <v>0</v>
      </c>
      <c r="AX135" s="75" t="s">
        <v>2845</v>
      </c>
      <c r="AY135" s="82" t="str">
        <f>HYPERLINK("https://twitter.com/patricialcq")</f>
        <v>https://twitter.com/patricialcq</v>
      </c>
      <c r="AZ135" s="75" t="s">
        <v>66</v>
      </c>
      <c r="BA135" s="75" t="str">
        <f>REPLACE(INDEX(GroupVertices[Group],MATCH(Vertices[[#This Row],[Vertex]],GroupVertices[Vertex],0)),1,1,"")</f>
        <v>7</v>
      </c>
      <c r="BB135" s="45">
        <v>0</v>
      </c>
      <c r="BC135" s="46">
        <v>0</v>
      </c>
      <c r="BD135" s="45">
        <v>0</v>
      </c>
      <c r="BE135" s="46">
        <v>0</v>
      </c>
      <c r="BF135" s="45">
        <v>0</v>
      </c>
      <c r="BG135" s="46">
        <v>0</v>
      </c>
      <c r="BH135" s="45">
        <v>27</v>
      </c>
      <c r="BI135" s="46">
        <v>100</v>
      </c>
      <c r="BJ135" s="45">
        <v>27</v>
      </c>
      <c r="BK135" s="45" t="s">
        <v>3956</v>
      </c>
      <c r="BL135" s="45" t="s">
        <v>3956</v>
      </c>
      <c r="BM135" s="45" t="s">
        <v>785</v>
      </c>
      <c r="BN135" s="45" t="s">
        <v>785</v>
      </c>
      <c r="BO135" s="45" t="s">
        <v>822</v>
      </c>
      <c r="BP135" s="45" t="s">
        <v>822</v>
      </c>
      <c r="BQ135" s="110" t="s">
        <v>4474</v>
      </c>
      <c r="BR135" s="110" t="s">
        <v>4474</v>
      </c>
      <c r="BS135" s="110" t="s">
        <v>4245</v>
      </c>
      <c r="BT135" s="110" t="s">
        <v>4245</v>
      </c>
      <c r="BU135" s="2"/>
    </row>
    <row r="136" spans="1:73" ht="15">
      <c r="A136" s="61" t="s">
        <v>328</v>
      </c>
      <c r="B136" s="62"/>
      <c r="C136" s="62"/>
      <c r="D136" s="63">
        <v>1000</v>
      </c>
      <c r="E136" s="65"/>
      <c r="F136" s="99" t="str">
        <f>HYPERLINK("https://pbs.twimg.com/profile_images/1555622770612084736/m52yWA-w_normal.jpg")</f>
        <v>https://pbs.twimg.com/profile_images/1555622770612084736/m52yWA-w_normal.jpg</v>
      </c>
      <c r="G136" s="62"/>
      <c r="H136" s="66" t="s">
        <v>328</v>
      </c>
      <c r="I136" s="67"/>
      <c r="J136" s="67"/>
      <c r="K136" s="66" t="s">
        <v>2978</v>
      </c>
      <c r="L136" s="70">
        <v>2676.8652739731015</v>
      </c>
      <c r="M136" s="71">
        <v>5060.87939453125</v>
      </c>
      <c r="N136" s="71">
        <v>3640.34375</v>
      </c>
      <c r="O136" s="72"/>
      <c r="P136" s="73"/>
      <c r="Q136" s="73"/>
      <c r="R136" s="85"/>
      <c r="S136" s="45">
        <v>1</v>
      </c>
      <c r="T136" s="45">
        <v>9</v>
      </c>
      <c r="U136" s="46">
        <v>1203.933333</v>
      </c>
      <c r="V136" s="46">
        <v>0.088873</v>
      </c>
      <c r="W136" s="46">
        <v>0.074697</v>
      </c>
      <c r="X136" s="46">
        <v>0.00538</v>
      </c>
      <c r="Y136" s="46">
        <v>0</v>
      </c>
      <c r="Z136" s="46">
        <v>0</v>
      </c>
      <c r="AA136" s="68">
        <v>136</v>
      </c>
      <c r="AB136" s="68"/>
      <c r="AC136" s="69"/>
      <c r="AD136" s="75" t="s">
        <v>1970</v>
      </c>
      <c r="AE136" s="80" t="s">
        <v>1705</v>
      </c>
      <c r="AF136" s="75">
        <v>817</v>
      </c>
      <c r="AG136" s="75">
        <v>253</v>
      </c>
      <c r="AH136" s="75">
        <v>8135</v>
      </c>
      <c r="AI136" s="75">
        <v>9188</v>
      </c>
      <c r="AJ136" s="75"/>
      <c r="AK136" s="75" t="s">
        <v>2516</v>
      </c>
      <c r="AL136" s="75" t="s">
        <v>2747</v>
      </c>
      <c r="AM136" s="75"/>
      <c r="AN136" s="75"/>
      <c r="AO136" s="77">
        <v>40490.889375</v>
      </c>
      <c r="AP136" s="82" t="str">
        <f>HYPERLINK("https://pbs.twimg.com/profile_banners/213410859/1606072620")</f>
        <v>https://pbs.twimg.com/profile_banners/213410859/1606072620</v>
      </c>
      <c r="AQ136" s="75" t="b">
        <v>0</v>
      </c>
      <c r="AR136" s="75" t="b">
        <v>0</v>
      </c>
      <c r="AS136" s="75" t="b">
        <v>0</v>
      </c>
      <c r="AT136" s="75"/>
      <c r="AU136" s="75">
        <v>2</v>
      </c>
      <c r="AV136" s="82" t="str">
        <f>HYPERLINK("https://abs.twimg.com/images/themes/theme18/bg.gif")</f>
        <v>https://abs.twimg.com/images/themes/theme18/bg.gif</v>
      </c>
      <c r="AW136" s="75" t="b">
        <v>0</v>
      </c>
      <c r="AX136" s="75" t="s">
        <v>2845</v>
      </c>
      <c r="AY136" s="82" t="str">
        <f>HYPERLINK("https://twitter.com/kakukktakukta")</f>
        <v>https://twitter.com/kakukktakukta</v>
      </c>
      <c r="AZ136" s="75" t="s">
        <v>66</v>
      </c>
      <c r="BA136" s="75" t="str">
        <f>REPLACE(INDEX(GroupVertices[Group],MATCH(Vertices[[#This Row],[Vertex]],GroupVertices[Vertex],0)),1,1,"")</f>
        <v>9</v>
      </c>
      <c r="BB136" s="45">
        <v>0</v>
      </c>
      <c r="BC136" s="46">
        <v>0</v>
      </c>
      <c r="BD136" s="45">
        <v>0</v>
      </c>
      <c r="BE136" s="46">
        <v>0</v>
      </c>
      <c r="BF136" s="45">
        <v>0</v>
      </c>
      <c r="BG136" s="46">
        <v>0</v>
      </c>
      <c r="BH136" s="45">
        <v>47</v>
      </c>
      <c r="BI136" s="46">
        <v>100</v>
      </c>
      <c r="BJ136" s="45">
        <v>47</v>
      </c>
      <c r="BK136" s="45"/>
      <c r="BL136" s="45"/>
      <c r="BM136" s="45"/>
      <c r="BN136" s="45"/>
      <c r="BO136" s="45" t="s">
        <v>795</v>
      </c>
      <c r="BP136" s="45" t="s">
        <v>795</v>
      </c>
      <c r="BQ136" s="110" t="s">
        <v>4477</v>
      </c>
      <c r="BR136" s="110" t="s">
        <v>4548</v>
      </c>
      <c r="BS136" s="110" t="s">
        <v>4594</v>
      </c>
      <c r="BT136" s="110" t="s">
        <v>4594</v>
      </c>
      <c r="BU136" s="2"/>
    </row>
    <row r="137" spans="1:73" ht="15">
      <c r="A137" s="61" t="s">
        <v>488</v>
      </c>
      <c r="B137" s="62"/>
      <c r="C137" s="62"/>
      <c r="D137" s="63">
        <v>100</v>
      </c>
      <c r="E137" s="65"/>
      <c r="F137" s="99" t="str">
        <f>HYPERLINK("https://pbs.twimg.com/profile_images/1224657273580072964/jHCRTJmj_normal.jpg")</f>
        <v>https://pbs.twimg.com/profile_images/1224657273580072964/jHCRTJmj_normal.jpg</v>
      </c>
      <c r="G137" s="62"/>
      <c r="H137" s="66" t="s">
        <v>488</v>
      </c>
      <c r="I137" s="67"/>
      <c r="J137" s="67"/>
      <c r="K137" s="66" t="s">
        <v>2979</v>
      </c>
      <c r="L137" s="70">
        <v>1</v>
      </c>
      <c r="M137" s="71">
        <v>4822.39013671875</v>
      </c>
      <c r="N137" s="71">
        <v>4323.1513671875</v>
      </c>
      <c r="O137" s="72"/>
      <c r="P137" s="73"/>
      <c r="Q137" s="73"/>
      <c r="R137" s="85"/>
      <c r="S137" s="45">
        <v>1</v>
      </c>
      <c r="T137" s="45">
        <v>0</v>
      </c>
      <c r="U137" s="46">
        <v>0</v>
      </c>
      <c r="V137" s="46">
        <v>0.069317</v>
      </c>
      <c r="W137" s="46">
        <v>0.013255</v>
      </c>
      <c r="X137" s="46">
        <v>0.002681</v>
      </c>
      <c r="Y137" s="46">
        <v>0</v>
      </c>
      <c r="Z137" s="46">
        <v>0</v>
      </c>
      <c r="AA137" s="68">
        <v>137</v>
      </c>
      <c r="AB137" s="68"/>
      <c r="AC137" s="69"/>
      <c r="AD137" s="75" t="s">
        <v>1971</v>
      </c>
      <c r="AE137" s="80" t="s">
        <v>2268</v>
      </c>
      <c r="AF137" s="75">
        <v>33287</v>
      </c>
      <c r="AG137" s="75">
        <v>747025</v>
      </c>
      <c r="AH137" s="75">
        <v>3975</v>
      </c>
      <c r="AI137" s="75">
        <v>1523</v>
      </c>
      <c r="AJ137" s="75"/>
      <c r="AK137" s="75"/>
      <c r="AL137" s="75" t="s">
        <v>2748</v>
      </c>
      <c r="AM137" s="82" t="str">
        <f>HYPERLINK("https://t.co/aVcGOnPJRb")</f>
        <v>https://t.co/aVcGOnPJRb</v>
      </c>
      <c r="AN137" s="75"/>
      <c r="AO137" s="77">
        <v>39857.79673611111</v>
      </c>
      <c r="AP137" s="82" t="str">
        <f>HYPERLINK("https://pbs.twimg.com/profile_banners/20796069/1580816023")</f>
        <v>https://pbs.twimg.com/profile_banners/20796069/1580816023</v>
      </c>
      <c r="AQ137" s="75" t="b">
        <v>0</v>
      </c>
      <c r="AR137" s="75" t="b">
        <v>0</v>
      </c>
      <c r="AS137" s="75" t="b">
        <v>1</v>
      </c>
      <c r="AT137" s="75"/>
      <c r="AU137" s="75">
        <v>4501</v>
      </c>
      <c r="AV137" s="82" t="str">
        <f>HYPERLINK("https://abs.twimg.com/images/themes/theme1/bg.png")</f>
        <v>https://abs.twimg.com/images/themes/theme1/bg.png</v>
      </c>
      <c r="AW137" s="75" t="b">
        <v>1</v>
      </c>
      <c r="AX137" s="75" t="s">
        <v>2845</v>
      </c>
      <c r="AY137" s="82" t="str">
        <f>HYPERLINK("https://twitter.com/jensstoltenberg")</f>
        <v>https://twitter.com/jensstoltenberg</v>
      </c>
      <c r="AZ137" s="75" t="s">
        <v>65</v>
      </c>
      <c r="BA137" s="75" t="str">
        <f>REPLACE(INDEX(GroupVertices[Group],MATCH(Vertices[[#This Row],[Vertex]],GroupVertices[Vertex],0)),1,1,"")</f>
        <v>9</v>
      </c>
      <c r="BB137" s="45"/>
      <c r="BC137" s="46"/>
      <c r="BD137" s="45"/>
      <c r="BE137" s="46"/>
      <c r="BF137" s="45"/>
      <c r="BG137" s="46"/>
      <c r="BH137" s="45"/>
      <c r="BI137" s="46"/>
      <c r="BJ137" s="45"/>
      <c r="BK137" s="45"/>
      <c r="BL137" s="45"/>
      <c r="BM137" s="45"/>
      <c r="BN137" s="45"/>
      <c r="BO137" s="45"/>
      <c r="BP137" s="45"/>
      <c r="BQ137" s="45"/>
      <c r="BR137" s="45"/>
      <c r="BS137" s="45"/>
      <c r="BT137" s="45"/>
      <c r="BU137" s="2"/>
    </row>
    <row r="138" spans="1:73" ht="15">
      <c r="A138" s="61" t="s">
        <v>489</v>
      </c>
      <c r="B138" s="62"/>
      <c r="C138" s="62"/>
      <c r="D138" s="63">
        <v>100</v>
      </c>
      <c r="E138" s="65"/>
      <c r="F138" s="99" t="str">
        <f>HYPERLINK("https://pbs.twimg.com/profile_images/1348932725626044417/3og8KhSE_normal.jpg")</f>
        <v>https://pbs.twimg.com/profile_images/1348932725626044417/3og8KhSE_normal.jpg</v>
      </c>
      <c r="G138" s="62"/>
      <c r="H138" s="66" t="s">
        <v>489</v>
      </c>
      <c r="I138" s="67"/>
      <c r="J138" s="67"/>
      <c r="K138" s="66" t="s">
        <v>2980</v>
      </c>
      <c r="L138" s="70">
        <v>1</v>
      </c>
      <c r="M138" s="71">
        <v>4706.84619140625</v>
      </c>
      <c r="N138" s="71">
        <v>3581.30810546875</v>
      </c>
      <c r="O138" s="72"/>
      <c r="P138" s="73"/>
      <c r="Q138" s="73"/>
      <c r="R138" s="85"/>
      <c r="S138" s="45">
        <v>1</v>
      </c>
      <c r="T138" s="45">
        <v>0</v>
      </c>
      <c r="U138" s="46">
        <v>0</v>
      </c>
      <c r="V138" s="46">
        <v>0.069317</v>
      </c>
      <c r="W138" s="46">
        <v>0.013255</v>
      </c>
      <c r="X138" s="46">
        <v>0.002681</v>
      </c>
      <c r="Y138" s="46">
        <v>0</v>
      </c>
      <c r="Z138" s="46">
        <v>0</v>
      </c>
      <c r="AA138" s="68">
        <v>138</v>
      </c>
      <c r="AB138" s="68"/>
      <c r="AC138" s="69"/>
      <c r="AD138" s="75" t="s">
        <v>1972</v>
      </c>
      <c r="AE138" s="80" t="s">
        <v>1700</v>
      </c>
      <c r="AF138" s="75">
        <v>1990</v>
      </c>
      <c r="AG138" s="75">
        <v>136372</v>
      </c>
      <c r="AH138" s="75">
        <v>29340</v>
      </c>
      <c r="AI138" s="75">
        <v>31679</v>
      </c>
      <c r="AJ138" s="75"/>
      <c r="AK138" s="75" t="s">
        <v>2517</v>
      </c>
      <c r="AL138" s="75" t="s">
        <v>2695</v>
      </c>
      <c r="AM138" s="82" t="str">
        <f>HYPERLINK("https://t.co/h7fcIAwMcn")</f>
        <v>https://t.co/h7fcIAwMcn</v>
      </c>
      <c r="AN138" s="75"/>
      <c r="AO138" s="77">
        <v>40256.41998842593</v>
      </c>
      <c r="AP138" s="82" t="str">
        <f>HYPERLINK("https://pbs.twimg.com/profile_banners/124418093/1647248969")</f>
        <v>https://pbs.twimg.com/profile_banners/124418093/1647248969</v>
      </c>
      <c r="AQ138" s="75" t="b">
        <v>0</v>
      </c>
      <c r="AR138" s="75" t="b">
        <v>0</v>
      </c>
      <c r="AS138" s="75" t="b">
        <v>0</v>
      </c>
      <c r="AT138" s="75"/>
      <c r="AU138" s="75">
        <v>2356</v>
      </c>
      <c r="AV138" s="82" t="str">
        <f>HYPERLINK("https://abs.twimg.com/images/themes/theme1/bg.png")</f>
        <v>https://abs.twimg.com/images/themes/theme1/bg.png</v>
      </c>
      <c r="AW138" s="75" t="b">
        <v>1</v>
      </c>
      <c r="AX138" s="75" t="s">
        <v>2845</v>
      </c>
      <c r="AY138" s="82" t="str">
        <f>HYPERLINK("https://twitter.com/natopress")</f>
        <v>https://twitter.com/natopress</v>
      </c>
      <c r="AZ138" s="75" t="s">
        <v>65</v>
      </c>
      <c r="BA138" s="75" t="str">
        <f>REPLACE(INDEX(GroupVertices[Group],MATCH(Vertices[[#This Row],[Vertex]],GroupVertices[Vertex],0)),1,1,"")</f>
        <v>9</v>
      </c>
      <c r="BB138" s="45"/>
      <c r="BC138" s="46"/>
      <c r="BD138" s="45"/>
      <c r="BE138" s="46"/>
      <c r="BF138" s="45"/>
      <c r="BG138" s="46"/>
      <c r="BH138" s="45"/>
      <c r="BI138" s="46"/>
      <c r="BJ138" s="45"/>
      <c r="BK138" s="45"/>
      <c r="BL138" s="45"/>
      <c r="BM138" s="45"/>
      <c r="BN138" s="45"/>
      <c r="BO138" s="45"/>
      <c r="BP138" s="45"/>
      <c r="BQ138" s="45"/>
      <c r="BR138" s="45"/>
      <c r="BS138" s="45"/>
      <c r="BT138" s="45"/>
      <c r="BU138" s="2"/>
    </row>
    <row r="139" spans="1:73" ht="15">
      <c r="A139" s="61" t="s">
        <v>490</v>
      </c>
      <c r="B139" s="62"/>
      <c r="C139" s="62"/>
      <c r="D139" s="63">
        <v>100</v>
      </c>
      <c r="E139" s="65"/>
      <c r="F139" s="99" t="str">
        <f>HYPERLINK("https://pbs.twimg.com/profile_images/843866764438134784/6AohfG1H_normal.jpg")</f>
        <v>https://pbs.twimg.com/profile_images/843866764438134784/6AohfG1H_normal.jpg</v>
      </c>
      <c r="G139" s="62"/>
      <c r="H139" s="66" t="s">
        <v>490</v>
      </c>
      <c r="I139" s="67"/>
      <c r="J139" s="67"/>
      <c r="K139" s="66" t="s">
        <v>2981</v>
      </c>
      <c r="L139" s="70">
        <v>1</v>
      </c>
      <c r="M139" s="71">
        <v>5161.79736328125</v>
      </c>
      <c r="N139" s="71">
        <v>2756.134521484375</v>
      </c>
      <c r="O139" s="72"/>
      <c r="P139" s="73"/>
      <c r="Q139" s="73"/>
      <c r="R139" s="85"/>
      <c r="S139" s="45">
        <v>1</v>
      </c>
      <c r="T139" s="45">
        <v>0</v>
      </c>
      <c r="U139" s="46">
        <v>0</v>
      </c>
      <c r="V139" s="46">
        <v>0.069317</v>
      </c>
      <c r="W139" s="46">
        <v>0.013255</v>
      </c>
      <c r="X139" s="46">
        <v>0.002681</v>
      </c>
      <c r="Y139" s="46">
        <v>0</v>
      </c>
      <c r="Z139" s="46">
        <v>0</v>
      </c>
      <c r="AA139" s="68">
        <v>139</v>
      </c>
      <c r="AB139" s="68"/>
      <c r="AC139" s="69"/>
      <c r="AD139" s="75" t="s">
        <v>1973</v>
      </c>
      <c r="AE139" s="80" t="s">
        <v>2269</v>
      </c>
      <c r="AF139" s="75">
        <v>1624</v>
      </c>
      <c r="AG139" s="75">
        <v>80647</v>
      </c>
      <c r="AH139" s="75">
        <v>21231</v>
      </c>
      <c r="AI139" s="75">
        <v>20927</v>
      </c>
      <c r="AJ139" s="75"/>
      <c r="AK139" s="75" t="s">
        <v>2518</v>
      </c>
      <c r="AL139" s="75" t="s">
        <v>2693</v>
      </c>
      <c r="AM139" s="75"/>
      <c r="AN139" s="75"/>
      <c r="AO139" s="77">
        <v>41257.55030092593</v>
      </c>
      <c r="AP139" s="82" t="str">
        <f>HYPERLINK("https://pbs.twimg.com/profile_banners/1011129121/1647181311")</f>
        <v>https://pbs.twimg.com/profile_banners/1011129121/1647181311</v>
      </c>
      <c r="AQ139" s="75" t="b">
        <v>0</v>
      </c>
      <c r="AR139" s="75" t="b">
        <v>0</v>
      </c>
      <c r="AS139" s="75" t="b">
        <v>1</v>
      </c>
      <c r="AT139" s="75"/>
      <c r="AU139" s="75">
        <v>1258</v>
      </c>
      <c r="AV139" s="82" t="str">
        <f>HYPERLINK("https://abs.twimg.com/images/themes/theme1/bg.png")</f>
        <v>https://abs.twimg.com/images/themes/theme1/bg.png</v>
      </c>
      <c r="AW139" s="75" t="b">
        <v>1</v>
      </c>
      <c r="AX139" s="75" t="s">
        <v>2845</v>
      </c>
      <c r="AY139" s="82" t="str">
        <f>HYPERLINK("https://twitter.com/jhahneu")</f>
        <v>https://twitter.com/jhahneu</v>
      </c>
      <c r="AZ139" s="75" t="s">
        <v>65</v>
      </c>
      <c r="BA139" s="75" t="str">
        <f>REPLACE(INDEX(GroupVertices[Group],MATCH(Vertices[[#This Row],[Vertex]],GroupVertices[Vertex],0)),1,1,"")</f>
        <v>9</v>
      </c>
      <c r="BB139" s="45"/>
      <c r="BC139" s="46"/>
      <c r="BD139" s="45"/>
      <c r="BE139" s="46"/>
      <c r="BF139" s="45"/>
      <c r="BG139" s="46"/>
      <c r="BH139" s="45"/>
      <c r="BI139" s="46"/>
      <c r="BJ139" s="45"/>
      <c r="BK139" s="45"/>
      <c r="BL139" s="45"/>
      <c r="BM139" s="45"/>
      <c r="BN139" s="45"/>
      <c r="BO139" s="45"/>
      <c r="BP139" s="45"/>
      <c r="BQ139" s="45"/>
      <c r="BR139" s="45"/>
      <c r="BS139" s="45"/>
      <c r="BT139" s="45"/>
      <c r="BU139" s="2"/>
    </row>
    <row r="140" spans="1:73" ht="15">
      <c r="A140" s="61" t="s">
        <v>491</v>
      </c>
      <c r="B140" s="62"/>
      <c r="C140" s="62"/>
      <c r="D140" s="63">
        <v>100</v>
      </c>
      <c r="E140" s="65"/>
      <c r="F140" s="99" t="str">
        <f>HYPERLINK("https://pbs.twimg.com/profile_images/1566894942127104006/Q0uERYzg_normal.jpg")</f>
        <v>https://pbs.twimg.com/profile_images/1566894942127104006/Q0uERYzg_normal.jpg</v>
      </c>
      <c r="G140" s="62"/>
      <c r="H140" s="66" t="s">
        <v>491</v>
      </c>
      <c r="I140" s="67"/>
      <c r="J140" s="67"/>
      <c r="K140" s="66" t="s">
        <v>2982</v>
      </c>
      <c r="L140" s="70">
        <v>1</v>
      </c>
      <c r="M140" s="71">
        <v>4857.89697265625</v>
      </c>
      <c r="N140" s="71">
        <v>2883.919677734375</v>
      </c>
      <c r="O140" s="72"/>
      <c r="P140" s="73"/>
      <c r="Q140" s="73"/>
      <c r="R140" s="85"/>
      <c r="S140" s="45">
        <v>1</v>
      </c>
      <c r="T140" s="45">
        <v>0</v>
      </c>
      <c r="U140" s="46">
        <v>0</v>
      </c>
      <c r="V140" s="46">
        <v>0.069317</v>
      </c>
      <c r="W140" s="46">
        <v>0.013255</v>
      </c>
      <c r="X140" s="46">
        <v>0.002681</v>
      </c>
      <c r="Y140" s="46">
        <v>0</v>
      </c>
      <c r="Z140" s="46">
        <v>0</v>
      </c>
      <c r="AA140" s="68">
        <v>140</v>
      </c>
      <c r="AB140" s="68"/>
      <c r="AC140" s="69"/>
      <c r="AD140" s="75" t="s">
        <v>1974</v>
      </c>
      <c r="AE140" s="80" t="s">
        <v>1703</v>
      </c>
      <c r="AF140" s="75">
        <v>239</v>
      </c>
      <c r="AG140" s="75">
        <v>166359</v>
      </c>
      <c r="AH140" s="75">
        <v>50904</v>
      </c>
      <c r="AI140" s="75">
        <v>11850</v>
      </c>
      <c r="AJ140" s="75"/>
      <c r="AK140" s="75" t="s">
        <v>2519</v>
      </c>
      <c r="AL140" s="75" t="s">
        <v>2749</v>
      </c>
      <c r="AM140" s="75"/>
      <c r="AN140" s="75"/>
      <c r="AO140" s="77">
        <v>41726.014340277776</v>
      </c>
      <c r="AP140" s="82" t="str">
        <f>HYPERLINK("https://pbs.twimg.com/profile_banners/2415072836/1397008526")</f>
        <v>https://pbs.twimg.com/profile_banners/2415072836/1397008526</v>
      </c>
      <c r="AQ140" s="75" t="b">
        <v>1</v>
      </c>
      <c r="AR140" s="75" t="b">
        <v>0</v>
      </c>
      <c r="AS140" s="75" t="b">
        <v>1</v>
      </c>
      <c r="AT140" s="75"/>
      <c r="AU140" s="75">
        <v>2341</v>
      </c>
      <c r="AV140" s="82" t="str">
        <f>HYPERLINK("https://abs.twimg.com/images/themes/theme1/bg.png")</f>
        <v>https://abs.twimg.com/images/themes/theme1/bg.png</v>
      </c>
      <c r="AW140" s="75" t="b">
        <v>0</v>
      </c>
      <c r="AX140" s="75" t="s">
        <v>2845</v>
      </c>
      <c r="AY140" s="82" t="str">
        <f>HYPERLINK("https://twitter.com/mhmck")</f>
        <v>https://twitter.com/mhmck</v>
      </c>
      <c r="AZ140" s="75" t="s">
        <v>65</v>
      </c>
      <c r="BA140" s="75" t="str">
        <f>REPLACE(INDEX(GroupVertices[Group],MATCH(Vertices[[#This Row],[Vertex]],GroupVertices[Vertex],0)),1,1,"")</f>
        <v>9</v>
      </c>
      <c r="BB140" s="45"/>
      <c r="BC140" s="46"/>
      <c r="BD140" s="45"/>
      <c r="BE140" s="46"/>
      <c r="BF140" s="45"/>
      <c r="BG140" s="46"/>
      <c r="BH140" s="45"/>
      <c r="BI140" s="46"/>
      <c r="BJ140" s="45"/>
      <c r="BK140" s="45"/>
      <c r="BL140" s="45"/>
      <c r="BM140" s="45"/>
      <c r="BN140" s="45"/>
      <c r="BO140" s="45"/>
      <c r="BP140" s="45"/>
      <c r="BQ140" s="45"/>
      <c r="BR140" s="45"/>
      <c r="BS140" s="45"/>
      <c r="BT140" s="45"/>
      <c r="BU140" s="2"/>
    </row>
    <row r="141" spans="1:73" ht="15">
      <c r="A141" s="61" t="s">
        <v>492</v>
      </c>
      <c r="B141" s="62"/>
      <c r="C141" s="62"/>
      <c r="D141" s="63">
        <v>100</v>
      </c>
      <c r="E141" s="65"/>
      <c r="F141" s="99" t="str">
        <f>HYPERLINK("https://pbs.twimg.com/profile_images/1053327492696760322/X0xKjtU-_normal.jpg")</f>
        <v>https://pbs.twimg.com/profile_images/1053327492696760322/X0xKjtU-_normal.jpg</v>
      </c>
      <c r="G141" s="62"/>
      <c r="H141" s="66" t="s">
        <v>492</v>
      </c>
      <c r="I141" s="67"/>
      <c r="J141" s="67"/>
      <c r="K141" s="66" t="s">
        <v>2983</v>
      </c>
      <c r="L141" s="70">
        <v>1</v>
      </c>
      <c r="M141" s="71">
        <v>5117.5205078125</v>
      </c>
      <c r="N141" s="71">
        <v>4550.8271484375</v>
      </c>
      <c r="O141" s="72"/>
      <c r="P141" s="73"/>
      <c r="Q141" s="73"/>
      <c r="R141" s="85"/>
      <c r="S141" s="45">
        <v>1</v>
      </c>
      <c r="T141" s="45">
        <v>0</v>
      </c>
      <c r="U141" s="46">
        <v>0</v>
      </c>
      <c r="V141" s="46">
        <v>0.069317</v>
      </c>
      <c r="W141" s="46">
        <v>0.013255</v>
      </c>
      <c r="X141" s="46">
        <v>0.002681</v>
      </c>
      <c r="Y141" s="46">
        <v>0</v>
      </c>
      <c r="Z141" s="46">
        <v>0</v>
      </c>
      <c r="AA141" s="68">
        <v>141</v>
      </c>
      <c r="AB141" s="68"/>
      <c r="AC141" s="69"/>
      <c r="AD141" s="75" t="s">
        <v>1975</v>
      </c>
      <c r="AE141" s="80" t="s">
        <v>2270</v>
      </c>
      <c r="AF141" s="75">
        <v>2742</v>
      </c>
      <c r="AG141" s="75">
        <v>76186</v>
      </c>
      <c r="AH141" s="75">
        <v>3294</v>
      </c>
      <c r="AI141" s="75">
        <v>9022</v>
      </c>
      <c r="AJ141" s="75"/>
      <c r="AK141" s="75" t="s">
        <v>2520</v>
      </c>
      <c r="AL141" s="75"/>
      <c r="AM141" s="75"/>
      <c r="AN141" s="75"/>
      <c r="AO141" s="77">
        <v>43392.69225694444</v>
      </c>
      <c r="AP141" s="75"/>
      <c r="AQ141" s="75" t="b">
        <v>1</v>
      </c>
      <c r="AR141" s="75" t="b">
        <v>0</v>
      </c>
      <c r="AS141" s="75" t="b">
        <v>0</v>
      </c>
      <c r="AT141" s="75"/>
      <c r="AU141" s="75">
        <v>1398</v>
      </c>
      <c r="AV141" s="75"/>
      <c r="AW141" s="75" t="b">
        <v>0</v>
      </c>
      <c r="AX141" s="75" t="s">
        <v>2845</v>
      </c>
      <c r="AY141" s="82" t="str">
        <f>HYPERLINK("https://twitter.com/general_ben")</f>
        <v>https://twitter.com/general_ben</v>
      </c>
      <c r="AZ141" s="75" t="s">
        <v>65</v>
      </c>
      <c r="BA141" s="75" t="str">
        <f>REPLACE(INDEX(GroupVertices[Group],MATCH(Vertices[[#This Row],[Vertex]],GroupVertices[Vertex],0)),1,1,"")</f>
        <v>9</v>
      </c>
      <c r="BB141" s="45"/>
      <c r="BC141" s="46"/>
      <c r="BD141" s="45"/>
      <c r="BE141" s="46"/>
      <c r="BF141" s="45"/>
      <c r="BG141" s="46"/>
      <c r="BH141" s="45"/>
      <c r="BI141" s="46"/>
      <c r="BJ141" s="45"/>
      <c r="BK141" s="45"/>
      <c r="BL141" s="45"/>
      <c r="BM141" s="45"/>
      <c r="BN141" s="45"/>
      <c r="BO141" s="45"/>
      <c r="BP141" s="45"/>
      <c r="BQ141" s="45"/>
      <c r="BR141" s="45"/>
      <c r="BS141" s="45"/>
      <c r="BT141" s="45"/>
      <c r="BU141" s="2"/>
    </row>
    <row r="142" spans="1:73" ht="15">
      <c r="A142" s="61" t="s">
        <v>493</v>
      </c>
      <c r="B142" s="62"/>
      <c r="C142" s="62"/>
      <c r="D142" s="63">
        <v>100</v>
      </c>
      <c r="E142" s="65"/>
      <c r="F142" s="99" t="str">
        <f>HYPERLINK("https://pbs.twimg.com/profile_images/1493048709587767300/bOHXhIQY_normal.jpg")</f>
        <v>https://pbs.twimg.com/profile_images/1493048709587767300/bOHXhIQY_normal.jpg</v>
      </c>
      <c r="G142" s="62"/>
      <c r="H142" s="66" t="s">
        <v>493</v>
      </c>
      <c r="I142" s="67"/>
      <c r="J142" s="67"/>
      <c r="K142" s="66" t="s">
        <v>2984</v>
      </c>
      <c r="L142" s="70">
        <v>1</v>
      </c>
      <c r="M142" s="71">
        <v>5369.99951171875</v>
      </c>
      <c r="N142" s="71">
        <v>4092.890625</v>
      </c>
      <c r="O142" s="72"/>
      <c r="P142" s="73"/>
      <c r="Q142" s="73"/>
      <c r="R142" s="85"/>
      <c r="S142" s="45">
        <v>1</v>
      </c>
      <c r="T142" s="45">
        <v>0</v>
      </c>
      <c r="U142" s="46">
        <v>0</v>
      </c>
      <c r="V142" s="46">
        <v>0.069317</v>
      </c>
      <c r="W142" s="46">
        <v>0.013255</v>
      </c>
      <c r="X142" s="46">
        <v>0.002681</v>
      </c>
      <c r="Y142" s="46">
        <v>0</v>
      </c>
      <c r="Z142" s="46">
        <v>0</v>
      </c>
      <c r="AA142" s="68">
        <v>142</v>
      </c>
      <c r="AB142" s="68"/>
      <c r="AC142" s="69"/>
      <c r="AD142" s="75" t="s">
        <v>1976</v>
      </c>
      <c r="AE142" s="80" t="s">
        <v>1704</v>
      </c>
      <c r="AF142" s="75">
        <v>1652</v>
      </c>
      <c r="AG142" s="75">
        <v>194179</v>
      </c>
      <c r="AH142" s="75">
        <v>41755</v>
      </c>
      <c r="AI142" s="75">
        <v>33723</v>
      </c>
      <c r="AJ142" s="75"/>
      <c r="AK142" s="75" t="s">
        <v>2521</v>
      </c>
      <c r="AL142" s="75" t="s">
        <v>2750</v>
      </c>
      <c r="AM142" s="82" t="str">
        <f>HYPERLINK("https://t.co/YOCcU4aTLB")</f>
        <v>https://t.co/YOCcU4aTLB</v>
      </c>
      <c r="AN142" s="75"/>
      <c r="AO142" s="77">
        <v>39907.21821759259</v>
      </c>
      <c r="AP142" s="82" t="str">
        <f>HYPERLINK("https://pbs.twimg.com/profile_banners/28745526/1576282131")</f>
        <v>https://pbs.twimg.com/profile_banners/28745526/1576282131</v>
      </c>
      <c r="AQ142" s="75" t="b">
        <v>0</v>
      </c>
      <c r="AR142" s="75" t="b">
        <v>0</v>
      </c>
      <c r="AS142" s="75" t="b">
        <v>1</v>
      </c>
      <c r="AT142" s="75"/>
      <c r="AU142" s="75">
        <v>624</v>
      </c>
      <c r="AV142" s="82" t="str">
        <f>HYPERLINK("https://abs.twimg.com/images/themes/theme1/bg.png")</f>
        <v>https://abs.twimg.com/images/themes/theme1/bg.png</v>
      </c>
      <c r="AW142" s="75" t="b">
        <v>1</v>
      </c>
      <c r="AX142" s="75" t="s">
        <v>2845</v>
      </c>
      <c r="AY142" s="82" t="str">
        <f>HYPERLINK("https://twitter.com/meiselasb")</f>
        <v>https://twitter.com/meiselasb</v>
      </c>
      <c r="AZ142" s="75" t="s">
        <v>65</v>
      </c>
      <c r="BA142" s="75" t="str">
        <f>REPLACE(INDEX(GroupVertices[Group],MATCH(Vertices[[#This Row],[Vertex]],GroupVertices[Vertex],0)),1,1,"")</f>
        <v>9</v>
      </c>
      <c r="BB142" s="45"/>
      <c r="BC142" s="46"/>
      <c r="BD142" s="45"/>
      <c r="BE142" s="46"/>
      <c r="BF142" s="45"/>
      <c r="BG142" s="46"/>
      <c r="BH142" s="45"/>
      <c r="BI142" s="46"/>
      <c r="BJ142" s="45"/>
      <c r="BK142" s="45"/>
      <c r="BL142" s="45"/>
      <c r="BM142" s="45"/>
      <c r="BN142" s="45"/>
      <c r="BO142" s="45"/>
      <c r="BP142" s="45"/>
      <c r="BQ142" s="45"/>
      <c r="BR142" s="45"/>
      <c r="BS142" s="45"/>
      <c r="BT142" s="45"/>
      <c r="BU142" s="2"/>
    </row>
    <row r="143" spans="1:73" ht="15">
      <c r="A143" s="61" t="s">
        <v>494</v>
      </c>
      <c r="B143" s="62"/>
      <c r="C143" s="62"/>
      <c r="D143" s="63">
        <v>520.7070712121213</v>
      </c>
      <c r="E143" s="65"/>
      <c r="F143" s="99" t="str">
        <f>HYPERLINK("https://pbs.twimg.com/profile_images/1526852467417292801/1tnVzzx__normal.jpg")</f>
        <v>https://pbs.twimg.com/profile_images/1526852467417292801/1tnVzzx__normal.jpg</v>
      </c>
      <c r="G143" s="62"/>
      <c r="H143" s="66" t="s">
        <v>494</v>
      </c>
      <c r="I143" s="67"/>
      <c r="J143" s="67"/>
      <c r="K143" s="66" t="s">
        <v>2985</v>
      </c>
      <c r="L143" s="70">
        <v>618.142637054267</v>
      </c>
      <c r="M143" s="71">
        <v>5389.705078125</v>
      </c>
      <c r="N143" s="71">
        <v>3294.177001953125</v>
      </c>
      <c r="O143" s="72"/>
      <c r="P143" s="73"/>
      <c r="Q143" s="73"/>
      <c r="R143" s="85"/>
      <c r="S143" s="45">
        <v>2</v>
      </c>
      <c r="T143" s="45">
        <v>0</v>
      </c>
      <c r="U143" s="46">
        <v>277.666667</v>
      </c>
      <c r="V143" s="46">
        <v>0.089372</v>
      </c>
      <c r="W143" s="46">
        <v>0.055858</v>
      </c>
      <c r="X143" s="46">
        <v>0.002742</v>
      </c>
      <c r="Y143" s="46">
        <v>0</v>
      </c>
      <c r="Z143" s="46">
        <v>0</v>
      </c>
      <c r="AA143" s="68">
        <v>143</v>
      </c>
      <c r="AB143" s="68"/>
      <c r="AC143" s="69"/>
      <c r="AD143" s="75" t="s">
        <v>1977</v>
      </c>
      <c r="AE143" s="80" t="s">
        <v>1701</v>
      </c>
      <c r="AF143" s="75">
        <v>655</v>
      </c>
      <c r="AG143" s="75">
        <v>1744947</v>
      </c>
      <c r="AH143" s="75">
        <v>45239</v>
      </c>
      <c r="AI143" s="75">
        <v>13518</v>
      </c>
      <c r="AJ143" s="75"/>
      <c r="AK143" s="75" t="s">
        <v>2522</v>
      </c>
      <c r="AL143" s="75" t="s">
        <v>2695</v>
      </c>
      <c r="AM143" s="82" t="str">
        <f>HYPERLINK("https://t.co/wnY99u3xmc")</f>
        <v>https://t.co/wnY99u3xmc</v>
      </c>
      <c r="AN143" s="75"/>
      <c r="AO143" s="77">
        <v>40350.519837962966</v>
      </c>
      <c r="AP143" s="82" t="str">
        <f>HYPERLINK("https://pbs.twimg.com/profile_banners/157981564/1662017771")</f>
        <v>https://pbs.twimg.com/profile_banners/157981564/1662017771</v>
      </c>
      <c r="AQ143" s="75" t="b">
        <v>0</v>
      </c>
      <c r="AR143" s="75" t="b">
        <v>0</v>
      </c>
      <c r="AS143" s="75" t="b">
        <v>1</v>
      </c>
      <c r="AT143" s="75"/>
      <c r="AU143" s="75">
        <v>14302</v>
      </c>
      <c r="AV143" s="82" t="str">
        <f>HYPERLINK("https://abs.twimg.com/images/themes/theme1/bg.png")</f>
        <v>https://abs.twimg.com/images/themes/theme1/bg.png</v>
      </c>
      <c r="AW143" s="75" t="b">
        <v>1</v>
      </c>
      <c r="AX143" s="75" t="s">
        <v>2845</v>
      </c>
      <c r="AY143" s="82" t="str">
        <f>HYPERLINK("https://twitter.com/eu_commission")</f>
        <v>https://twitter.com/eu_commission</v>
      </c>
      <c r="AZ143" s="75" t="s">
        <v>65</v>
      </c>
      <c r="BA143" s="75" t="str">
        <f>REPLACE(INDEX(GroupVertices[Group],MATCH(Vertices[[#This Row],[Vertex]],GroupVertices[Vertex],0)),1,1,"")</f>
        <v>9</v>
      </c>
      <c r="BB143" s="45"/>
      <c r="BC143" s="46"/>
      <c r="BD143" s="45"/>
      <c r="BE143" s="46"/>
      <c r="BF143" s="45"/>
      <c r="BG143" s="46"/>
      <c r="BH143" s="45"/>
      <c r="BI143" s="46"/>
      <c r="BJ143" s="45"/>
      <c r="BK143" s="45"/>
      <c r="BL143" s="45"/>
      <c r="BM143" s="45"/>
      <c r="BN143" s="45"/>
      <c r="BO143" s="45"/>
      <c r="BP143" s="45"/>
      <c r="BQ143" s="45"/>
      <c r="BR143" s="45"/>
      <c r="BS143" s="45"/>
      <c r="BT143" s="45"/>
      <c r="BU143" s="2"/>
    </row>
    <row r="144" spans="1:73" ht="15">
      <c r="A144" s="61" t="s">
        <v>329</v>
      </c>
      <c r="B144" s="62"/>
      <c r="C144" s="62"/>
      <c r="D144" s="63">
        <v>100</v>
      </c>
      <c r="E144" s="65"/>
      <c r="F144" s="99" t="str">
        <f>HYPERLINK("https://pbs.twimg.com/profile_images/1520408393265074176/vW9q5Oxl_normal.jpg")</f>
        <v>https://pbs.twimg.com/profile_images/1520408393265074176/vW9q5Oxl_normal.jpg</v>
      </c>
      <c r="G144" s="62"/>
      <c r="H144" s="66" t="s">
        <v>329</v>
      </c>
      <c r="I144" s="67"/>
      <c r="J144" s="67"/>
      <c r="K144" s="66" t="s">
        <v>2986</v>
      </c>
      <c r="L144" s="70">
        <v>1</v>
      </c>
      <c r="M144" s="71">
        <v>3924.08837890625</v>
      </c>
      <c r="N144" s="71">
        <v>5827.80322265625</v>
      </c>
      <c r="O144" s="72"/>
      <c r="P144" s="73"/>
      <c r="Q144" s="73"/>
      <c r="R144" s="85"/>
      <c r="S144" s="45">
        <v>0</v>
      </c>
      <c r="T144" s="45">
        <v>1</v>
      </c>
      <c r="U144" s="46">
        <v>0</v>
      </c>
      <c r="V144" s="46">
        <v>0.073479</v>
      </c>
      <c r="W144" s="46">
        <v>0.019276</v>
      </c>
      <c r="X144" s="46">
        <v>0.002671</v>
      </c>
      <c r="Y144" s="46">
        <v>0</v>
      </c>
      <c r="Z144" s="46">
        <v>0</v>
      </c>
      <c r="AA144" s="68">
        <v>144</v>
      </c>
      <c r="AB144" s="68"/>
      <c r="AC144" s="69"/>
      <c r="AD144" s="75" t="s">
        <v>1978</v>
      </c>
      <c r="AE144" s="80" t="s">
        <v>2271</v>
      </c>
      <c r="AF144" s="75">
        <v>331</v>
      </c>
      <c r="AG144" s="75">
        <v>147</v>
      </c>
      <c r="AH144" s="75">
        <v>3233</v>
      </c>
      <c r="AI144" s="75">
        <v>1979</v>
      </c>
      <c r="AJ144" s="75"/>
      <c r="AK144" s="75"/>
      <c r="AL144" s="75"/>
      <c r="AM144" s="75"/>
      <c r="AN144" s="75"/>
      <c r="AO144" s="77">
        <v>44632.369722222225</v>
      </c>
      <c r="AP144" s="75"/>
      <c r="AQ144" s="75" t="b">
        <v>1</v>
      </c>
      <c r="AR144" s="75" t="b">
        <v>0</v>
      </c>
      <c r="AS144" s="75" t="b">
        <v>0</v>
      </c>
      <c r="AT144" s="75"/>
      <c r="AU144" s="75">
        <v>1</v>
      </c>
      <c r="AV144" s="75"/>
      <c r="AW144" s="75" t="b">
        <v>0</v>
      </c>
      <c r="AX144" s="75" t="s">
        <v>2845</v>
      </c>
      <c r="AY144" s="82" t="str">
        <f>HYPERLINK("https://twitter.com/carlistjc")</f>
        <v>https://twitter.com/carlistjc</v>
      </c>
      <c r="AZ144" s="75" t="s">
        <v>66</v>
      </c>
      <c r="BA144" s="75" t="str">
        <f>REPLACE(INDEX(GroupVertices[Group],MATCH(Vertices[[#This Row],[Vertex]],GroupVertices[Vertex],0)),1,1,"")</f>
        <v>7</v>
      </c>
      <c r="BB144" s="45">
        <v>0</v>
      </c>
      <c r="BC144" s="46">
        <v>0</v>
      </c>
      <c r="BD144" s="45">
        <v>0</v>
      </c>
      <c r="BE144" s="46">
        <v>0</v>
      </c>
      <c r="BF144" s="45">
        <v>0</v>
      </c>
      <c r="BG144" s="46">
        <v>0</v>
      </c>
      <c r="BH144" s="45">
        <v>27</v>
      </c>
      <c r="BI144" s="46">
        <v>100</v>
      </c>
      <c r="BJ144" s="45">
        <v>27</v>
      </c>
      <c r="BK144" s="45" t="s">
        <v>3956</v>
      </c>
      <c r="BL144" s="45" t="s">
        <v>3956</v>
      </c>
      <c r="BM144" s="45" t="s">
        <v>785</v>
      </c>
      <c r="BN144" s="45" t="s">
        <v>785</v>
      </c>
      <c r="BO144" s="45" t="s">
        <v>822</v>
      </c>
      <c r="BP144" s="45" t="s">
        <v>822</v>
      </c>
      <c r="BQ144" s="110" t="s">
        <v>4474</v>
      </c>
      <c r="BR144" s="110" t="s">
        <v>4474</v>
      </c>
      <c r="BS144" s="110" t="s">
        <v>4245</v>
      </c>
      <c r="BT144" s="110" t="s">
        <v>4245</v>
      </c>
      <c r="BU144" s="2"/>
    </row>
    <row r="145" spans="1:73" ht="15">
      <c r="A145" s="61" t="s">
        <v>330</v>
      </c>
      <c r="B145" s="62"/>
      <c r="C145" s="62"/>
      <c r="D145" s="63">
        <v>100</v>
      </c>
      <c r="E145" s="65"/>
      <c r="F145" s="99" t="str">
        <f>HYPERLINK("https://pbs.twimg.com/profile_images/1510599865126072329/tqpg6AR6_normal.jpg")</f>
        <v>https://pbs.twimg.com/profile_images/1510599865126072329/tqpg6AR6_normal.jpg</v>
      </c>
      <c r="G145" s="62"/>
      <c r="H145" s="66" t="s">
        <v>330</v>
      </c>
      <c r="I145" s="67"/>
      <c r="J145" s="67"/>
      <c r="K145" s="66" t="s">
        <v>2987</v>
      </c>
      <c r="L145" s="70">
        <v>1</v>
      </c>
      <c r="M145" s="71">
        <v>4462.96826171875</v>
      </c>
      <c r="N145" s="71">
        <v>4925.63134765625</v>
      </c>
      <c r="O145" s="72"/>
      <c r="P145" s="73"/>
      <c r="Q145" s="73"/>
      <c r="R145" s="85"/>
      <c r="S145" s="45">
        <v>0</v>
      </c>
      <c r="T145" s="45">
        <v>1</v>
      </c>
      <c r="U145" s="46">
        <v>0</v>
      </c>
      <c r="V145" s="46">
        <v>0.073479</v>
      </c>
      <c r="W145" s="46">
        <v>0.019276</v>
      </c>
      <c r="X145" s="46">
        <v>0.002671</v>
      </c>
      <c r="Y145" s="46">
        <v>0</v>
      </c>
      <c r="Z145" s="46">
        <v>0</v>
      </c>
      <c r="AA145" s="68">
        <v>145</v>
      </c>
      <c r="AB145" s="68"/>
      <c r="AC145" s="69"/>
      <c r="AD145" s="75" t="s">
        <v>1979</v>
      </c>
      <c r="AE145" s="80" t="s">
        <v>2272</v>
      </c>
      <c r="AF145" s="75">
        <v>387</v>
      </c>
      <c r="AG145" s="75">
        <v>96</v>
      </c>
      <c r="AH145" s="75">
        <v>1728</v>
      </c>
      <c r="AI145" s="75">
        <v>11095</v>
      </c>
      <c r="AJ145" s="75"/>
      <c r="AK145" s="75"/>
      <c r="AL145" s="75"/>
      <c r="AM145" s="75"/>
      <c r="AN145" s="75"/>
      <c r="AO145" s="77">
        <v>44654.53265046296</v>
      </c>
      <c r="AP145" s="75"/>
      <c r="AQ145" s="75" t="b">
        <v>1</v>
      </c>
      <c r="AR145" s="75" t="b">
        <v>0</v>
      </c>
      <c r="AS145" s="75" t="b">
        <v>0</v>
      </c>
      <c r="AT145" s="75"/>
      <c r="AU145" s="75">
        <v>0</v>
      </c>
      <c r="AV145" s="75"/>
      <c r="AW145" s="75" t="b">
        <v>0</v>
      </c>
      <c r="AX145" s="75" t="s">
        <v>2845</v>
      </c>
      <c r="AY145" s="82" t="str">
        <f>HYPERLINK("https://twitter.com/ogach_69")</f>
        <v>https://twitter.com/ogach_69</v>
      </c>
      <c r="AZ145" s="75" t="s">
        <v>66</v>
      </c>
      <c r="BA145" s="75" t="str">
        <f>REPLACE(INDEX(GroupVertices[Group],MATCH(Vertices[[#This Row],[Vertex]],GroupVertices[Vertex],0)),1,1,"")</f>
        <v>7</v>
      </c>
      <c r="BB145" s="45">
        <v>0</v>
      </c>
      <c r="BC145" s="46">
        <v>0</v>
      </c>
      <c r="BD145" s="45">
        <v>0</v>
      </c>
      <c r="BE145" s="46">
        <v>0</v>
      </c>
      <c r="BF145" s="45">
        <v>0</v>
      </c>
      <c r="BG145" s="46">
        <v>0</v>
      </c>
      <c r="BH145" s="45">
        <v>27</v>
      </c>
      <c r="BI145" s="46">
        <v>100</v>
      </c>
      <c r="BJ145" s="45">
        <v>27</v>
      </c>
      <c r="BK145" s="45" t="s">
        <v>3956</v>
      </c>
      <c r="BL145" s="45" t="s">
        <v>3956</v>
      </c>
      <c r="BM145" s="45" t="s">
        <v>785</v>
      </c>
      <c r="BN145" s="45" t="s">
        <v>785</v>
      </c>
      <c r="BO145" s="45" t="s">
        <v>822</v>
      </c>
      <c r="BP145" s="45" t="s">
        <v>822</v>
      </c>
      <c r="BQ145" s="110" t="s">
        <v>4474</v>
      </c>
      <c r="BR145" s="110" t="s">
        <v>4474</v>
      </c>
      <c r="BS145" s="110" t="s">
        <v>4245</v>
      </c>
      <c r="BT145" s="110" t="s">
        <v>4245</v>
      </c>
      <c r="BU145" s="2"/>
    </row>
    <row r="146" spans="1:73" ht="15">
      <c r="A146" s="61" t="s">
        <v>331</v>
      </c>
      <c r="B146" s="62"/>
      <c r="C146" s="62"/>
      <c r="D146" s="63">
        <v>100</v>
      </c>
      <c r="E146" s="65"/>
      <c r="F146" s="99" t="str">
        <f>HYPERLINK("https://pbs.twimg.com/profile_images/1566369161697271810/aFN9Snll_normal.jpg")</f>
        <v>https://pbs.twimg.com/profile_images/1566369161697271810/aFN9Snll_normal.jpg</v>
      </c>
      <c r="G146" s="62"/>
      <c r="H146" s="66" t="s">
        <v>331</v>
      </c>
      <c r="I146" s="67"/>
      <c r="J146" s="67"/>
      <c r="K146" s="66" t="s">
        <v>2988</v>
      </c>
      <c r="L146" s="70">
        <v>1</v>
      </c>
      <c r="M146" s="71">
        <v>4044.117919921875</v>
      </c>
      <c r="N146" s="71">
        <v>3461.1923828125</v>
      </c>
      <c r="O146" s="72"/>
      <c r="P146" s="73"/>
      <c r="Q146" s="73"/>
      <c r="R146" s="85"/>
      <c r="S146" s="45">
        <v>0</v>
      </c>
      <c r="T146" s="45">
        <v>1</v>
      </c>
      <c r="U146" s="46">
        <v>0</v>
      </c>
      <c r="V146" s="46">
        <v>0.073479</v>
      </c>
      <c r="W146" s="46">
        <v>0.019276</v>
      </c>
      <c r="X146" s="46">
        <v>0.002671</v>
      </c>
      <c r="Y146" s="46">
        <v>0</v>
      </c>
      <c r="Z146" s="46">
        <v>0</v>
      </c>
      <c r="AA146" s="68">
        <v>146</v>
      </c>
      <c r="AB146" s="68"/>
      <c r="AC146" s="69"/>
      <c r="AD146" s="75" t="s">
        <v>1980</v>
      </c>
      <c r="AE146" s="80" t="s">
        <v>2273</v>
      </c>
      <c r="AF146" s="75">
        <v>496</v>
      </c>
      <c r="AG146" s="75">
        <v>576</v>
      </c>
      <c r="AH146" s="75">
        <v>58594</v>
      </c>
      <c r="AI146" s="75">
        <v>3477</v>
      </c>
      <c r="AJ146" s="75"/>
      <c r="AK146" s="75"/>
      <c r="AL146" s="75"/>
      <c r="AM146" s="75"/>
      <c r="AN146" s="75"/>
      <c r="AO146" s="77">
        <v>42624.42928240741</v>
      </c>
      <c r="AP146" s="75"/>
      <c r="AQ146" s="75" t="b">
        <v>1</v>
      </c>
      <c r="AR146" s="75" t="b">
        <v>0</v>
      </c>
      <c r="AS146" s="75" t="b">
        <v>1</v>
      </c>
      <c r="AT146" s="75"/>
      <c r="AU146" s="75">
        <v>4</v>
      </c>
      <c r="AV146" s="75"/>
      <c r="AW146" s="75" t="b">
        <v>0</v>
      </c>
      <c r="AX146" s="75" t="s">
        <v>2845</v>
      </c>
      <c r="AY146" s="82" t="str">
        <f>HYPERLINK("https://twitter.com/ancient_caxotte")</f>
        <v>https://twitter.com/ancient_caxotte</v>
      </c>
      <c r="AZ146" s="75" t="s">
        <v>66</v>
      </c>
      <c r="BA146" s="75" t="str">
        <f>REPLACE(INDEX(GroupVertices[Group],MATCH(Vertices[[#This Row],[Vertex]],GroupVertices[Vertex],0)),1,1,"")</f>
        <v>7</v>
      </c>
      <c r="BB146" s="45">
        <v>0</v>
      </c>
      <c r="BC146" s="46">
        <v>0</v>
      </c>
      <c r="BD146" s="45">
        <v>0</v>
      </c>
      <c r="BE146" s="46">
        <v>0</v>
      </c>
      <c r="BF146" s="45">
        <v>0</v>
      </c>
      <c r="BG146" s="46">
        <v>0</v>
      </c>
      <c r="BH146" s="45">
        <v>27</v>
      </c>
      <c r="BI146" s="46">
        <v>100</v>
      </c>
      <c r="BJ146" s="45">
        <v>27</v>
      </c>
      <c r="BK146" s="45" t="s">
        <v>3956</v>
      </c>
      <c r="BL146" s="45" t="s">
        <v>3956</v>
      </c>
      <c r="BM146" s="45" t="s">
        <v>785</v>
      </c>
      <c r="BN146" s="45" t="s">
        <v>785</v>
      </c>
      <c r="BO146" s="45" t="s">
        <v>822</v>
      </c>
      <c r="BP146" s="45" t="s">
        <v>822</v>
      </c>
      <c r="BQ146" s="110" t="s">
        <v>4474</v>
      </c>
      <c r="BR146" s="110" t="s">
        <v>4474</v>
      </c>
      <c r="BS146" s="110" t="s">
        <v>4245</v>
      </c>
      <c r="BT146" s="110" t="s">
        <v>4245</v>
      </c>
      <c r="BU146" s="2"/>
    </row>
    <row r="147" spans="1:73" ht="15">
      <c r="A147" s="61" t="s">
        <v>332</v>
      </c>
      <c r="B147" s="62"/>
      <c r="C147" s="62"/>
      <c r="D147" s="63">
        <v>100</v>
      </c>
      <c r="E147" s="65"/>
      <c r="F147" s="99" t="str">
        <f>HYPERLINK("https://pbs.twimg.com/profile_images/1211863236569686018/G2GGjEGf_normal.jpg")</f>
        <v>https://pbs.twimg.com/profile_images/1211863236569686018/G2GGjEGf_normal.jpg</v>
      </c>
      <c r="G147" s="62"/>
      <c r="H147" s="66" t="s">
        <v>332</v>
      </c>
      <c r="I147" s="67"/>
      <c r="J147" s="67"/>
      <c r="K147" s="66" t="s">
        <v>2989</v>
      </c>
      <c r="L147" s="70">
        <v>1</v>
      </c>
      <c r="M147" s="71">
        <v>4430.29248046875</v>
      </c>
      <c r="N147" s="71">
        <v>4153.1455078125</v>
      </c>
      <c r="O147" s="72"/>
      <c r="P147" s="73"/>
      <c r="Q147" s="73"/>
      <c r="R147" s="85"/>
      <c r="S147" s="45">
        <v>0</v>
      </c>
      <c r="T147" s="45">
        <v>1</v>
      </c>
      <c r="U147" s="46">
        <v>0</v>
      </c>
      <c r="V147" s="46">
        <v>0.073479</v>
      </c>
      <c r="W147" s="46">
        <v>0.019276</v>
      </c>
      <c r="X147" s="46">
        <v>0.002671</v>
      </c>
      <c r="Y147" s="46">
        <v>0</v>
      </c>
      <c r="Z147" s="46">
        <v>0</v>
      </c>
      <c r="AA147" s="68">
        <v>147</v>
      </c>
      <c r="AB147" s="68"/>
      <c r="AC147" s="69"/>
      <c r="AD147" s="75" t="s">
        <v>1981</v>
      </c>
      <c r="AE147" s="80" t="s">
        <v>2274</v>
      </c>
      <c r="AF147" s="75">
        <v>715</v>
      </c>
      <c r="AG147" s="75">
        <v>641</v>
      </c>
      <c r="AH147" s="75">
        <v>24194</v>
      </c>
      <c r="AI147" s="75">
        <v>29630</v>
      </c>
      <c r="AJ147" s="75"/>
      <c r="AK147" s="75" t="s">
        <v>2523</v>
      </c>
      <c r="AL147" s="75" t="s">
        <v>2751</v>
      </c>
      <c r="AM147" s="75"/>
      <c r="AN147" s="75"/>
      <c r="AO147" s="77">
        <v>43692.86041666667</v>
      </c>
      <c r="AP147" s="82" t="str">
        <f>HYPERLINK("https://pbs.twimg.com/profile_banners/1162101406620405762/1575918648")</f>
        <v>https://pbs.twimg.com/profile_banners/1162101406620405762/1575918648</v>
      </c>
      <c r="AQ147" s="75" t="b">
        <v>1</v>
      </c>
      <c r="AR147" s="75" t="b">
        <v>0</v>
      </c>
      <c r="AS147" s="75" t="b">
        <v>1</v>
      </c>
      <c r="AT147" s="75"/>
      <c r="AU147" s="75">
        <v>2</v>
      </c>
      <c r="AV147" s="75"/>
      <c r="AW147" s="75" t="b">
        <v>0</v>
      </c>
      <c r="AX147" s="75" t="s">
        <v>2845</v>
      </c>
      <c r="AY147" s="82" t="str">
        <f>HYPERLINK("https://twitter.com/bretag_romantiq")</f>
        <v>https://twitter.com/bretag_romantiq</v>
      </c>
      <c r="AZ147" s="75" t="s">
        <v>66</v>
      </c>
      <c r="BA147" s="75" t="str">
        <f>REPLACE(INDEX(GroupVertices[Group],MATCH(Vertices[[#This Row],[Vertex]],GroupVertices[Vertex],0)),1,1,"")</f>
        <v>7</v>
      </c>
      <c r="BB147" s="45">
        <v>0</v>
      </c>
      <c r="BC147" s="46">
        <v>0</v>
      </c>
      <c r="BD147" s="45">
        <v>0</v>
      </c>
      <c r="BE147" s="46">
        <v>0</v>
      </c>
      <c r="BF147" s="45">
        <v>0</v>
      </c>
      <c r="BG147" s="46">
        <v>0</v>
      </c>
      <c r="BH147" s="45">
        <v>27</v>
      </c>
      <c r="BI147" s="46">
        <v>100</v>
      </c>
      <c r="BJ147" s="45">
        <v>27</v>
      </c>
      <c r="BK147" s="45" t="s">
        <v>3956</v>
      </c>
      <c r="BL147" s="45" t="s">
        <v>3956</v>
      </c>
      <c r="BM147" s="45" t="s">
        <v>785</v>
      </c>
      <c r="BN147" s="45" t="s">
        <v>785</v>
      </c>
      <c r="BO147" s="45" t="s">
        <v>822</v>
      </c>
      <c r="BP147" s="45" t="s">
        <v>822</v>
      </c>
      <c r="BQ147" s="110" t="s">
        <v>4474</v>
      </c>
      <c r="BR147" s="110" t="s">
        <v>4474</v>
      </c>
      <c r="BS147" s="110" t="s">
        <v>4245</v>
      </c>
      <c r="BT147" s="110" t="s">
        <v>4245</v>
      </c>
      <c r="BU147" s="2"/>
    </row>
    <row r="148" spans="1:73" ht="15">
      <c r="A148" s="61" t="s">
        <v>333</v>
      </c>
      <c r="B148" s="62"/>
      <c r="C148" s="62"/>
      <c r="D148" s="63">
        <v>100</v>
      </c>
      <c r="E148" s="65"/>
      <c r="F148" s="99" t="str">
        <f>HYPERLINK("https://pbs.twimg.com/profile_images/1535530694344056832/Kwb1wGFw_normal.jpg")</f>
        <v>https://pbs.twimg.com/profile_images/1535530694344056832/Kwb1wGFw_normal.jpg</v>
      </c>
      <c r="G148" s="62"/>
      <c r="H148" s="66" t="s">
        <v>333</v>
      </c>
      <c r="I148" s="67"/>
      <c r="J148" s="67"/>
      <c r="K148" s="66" t="s">
        <v>2990</v>
      </c>
      <c r="L148" s="70">
        <v>1</v>
      </c>
      <c r="M148" s="71">
        <v>4270.20458984375</v>
      </c>
      <c r="N148" s="71">
        <v>3594.0830078125</v>
      </c>
      <c r="O148" s="72"/>
      <c r="P148" s="73"/>
      <c r="Q148" s="73"/>
      <c r="R148" s="85"/>
      <c r="S148" s="45">
        <v>0</v>
      </c>
      <c r="T148" s="45">
        <v>1</v>
      </c>
      <c r="U148" s="46">
        <v>0</v>
      </c>
      <c r="V148" s="46">
        <v>0.073479</v>
      </c>
      <c r="W148" s="46">
        <v>0.019276</v>
      </c>
      <c r="X148" s="46">
        <v>0.002671</v>
      </c>
      <c r="Y148" s="46">
        <v>0</v>
      </c>
      <c r="Z148" s="46">
        <v>0</v>
      </c>
      <c r="AA148" s="68">
        <v>148</v>
      </c>
      <c r="AB148" s="68"/>
      <c r="AC148" s="69"/>
      <c r="AD148" s="75" t="s">
        <v>1982</v>
      </c>
      <c r="AE148" s="80" t="s">
        <v>2275</v>
      </c>
      <c r="AF148" s="75">
        <v>3590</v>
      </c>
      <c r="AG148" s="75">
        <v>1094</v>
      </c>
      <c r="AH148" s="75">
        <v>41490</v>
      </c>
      <c r="AI148" s="75">
        <v>947</v>
      </c>
      <c r="AJ148" s="75"/>
      <c r="AK148" s="75" t="s">
        <v>2524</v>
      </c>
      <c r="AL148" s="75" t="s">
        <v>2752</v>
      </c>
      <c r="AM148" s="75"/>
      <c r="AN148" s="75"/>
      <c r="AO148" s="77">
        <v>43446.78946759259</v>
      </c>
      <c r="AP148" s="82" t="str">
        <f>HYPERLINK("https://pbs.twimg.com/profile_banners/1072928279995260930/1644513388")</f>
        <v>https://pbs.twimg.com/profile_banners/1072928279995260930/1644513388</v>
      </c>
      <c r="AQ148" s="75" t="b">
        <v>1</v>
      </c>
      <c r="AR148" s="75" t="b">
        <v>0</v>
      </c>
      <c r="AS148" s="75" t="b">
        <v>0</v>
      </c>
      <c r="AT148" s="75"/>
      <c r="AU148" s="75">
        <v>0</v>
      </c>
      <c r="AV148" s="75"/>
      <c r="AW148" s="75" t="b">
        <v>0</v>
      </c>
      <c r="AX148" s="75" t="s">
        <v>2845</v>
      </c>
      <c r="AY148" s="82" t="str">
        <f>HYPERLINK("https://twitter.com/marcvin40543445")</f>
        <v>https://twitter.com/marcvin40543445</v>
      </c>
      <c r="AZ148" s="75" t="s">
        <v>66</v>
      </c>
      <c r="BA148" s="75" t="str">
        <f>REPLACE(INDEX(GroupVertices[Group],MATCH(Vertices[[#This Row],[Vertex]],GroupVertices[Vertex],0)),1,1,"")</f>
        <v>7</v>
      </c>
      <c r="BB148" s="45">
        <v>0</v>
      </c>
      <c r="BC148" s="46">
        <v>0</v>
      </c>
      <c r="BD148" s="45">
        <v>0</v>
      </c>
      <c r="BE148" s="46">
        <v>0</v>
      </c>
      <c r="BF148" s="45">
        <v>0</v>
      </c>
      <c r="BG148" s="46">
        <v>0</v>
      </c>
      <c r="BH148" s="45">
        <v>27</v>
      </c>
      <c r="BI148" s="46">
        <v>100</v>
      </c>
      <c r="BJ148" s="45">
        <v>27</v>
      </c>
      <c r="BK148" s="45" t="s">
        <v>3956</v>
      </c>
      <c r="BL148" s="45" t="s">
        <v>3956</v>
      </c>
      <c r="BM148" s="45" t="s">
        <v>785</v>
      </c>
      <c r="BN148" s="45" t="s">
        <v>785</v>
      </c>
      <c r="BO148" s="45" t="s">
        <v>822</v>
      </c>
      <c r="BP148" s="45" t="s">
        <v>822</v>
      </c>
      <c r="BQ148" s="110" t="s">
        <v>4474</v>
      </c>
      <c r="BR148" s="110" t="s">
        <v>4474</v>
      </c>
      <c r="BS148" s="110" t="s">
        <v>4245</v>
      </c>
      <c r="BT148" s="110" t="s">
        <v>4245</v>
      </c>
      <c r="BU148" s="2"/>
    </row>
    <row r="149" spans="1:73" ht="15">
      <c r="A149" s="61" t="s">
        <v>334</v>
      </c>
      <c r="B149" s="62"/>
      <c r="C149" s="62"/>
      <c r="D149" s="63">
        <v>100</v>
      </c>
      <c r="E149" s="65"/>
      <c r="F149" s="99" t="str">
        <f>HYPERLINK("https://pbs.twimg.com/profile_images/1182403956175245322/ppwvxDE6_normal.jpg")</f>
        <v>https://pbs.twimg.com/profile_images/1182403956175245322/ppwvxDE6_normal.jpg</v>
      </c>
      <c r="G149" s="62"/>
      <c r="H149" s="66" t="s">
        <v>334</v>
      </c>
      <c r="I149" s="67"/>
      <c r="J149" s="67"/>
      <c r="K149" s="66" t="s">
        <v>2991</v>
      </c>
      <c r="L149" s="70">
        <v>1</v>
      </c>
      <c r="M149" s="71">
        <v>2713.176025390625</v>
      </c>
      <c r="N149" s="71">
        <v>1401.85986328125</v>
      </c>
      <c r="O149" s="72"/>
      <c r="P149" s="73"/>
      <c r="Q149" s="73"/>
      <c r="R149" s="85"/>
      <c r="S149" s="45">
        <v>0</v>
      </c>
      <c r="T149" s="45">
        <v>2</v>
      </c>
      <c r="U149" s="46">
        <v>0</v>
      </c>
      <c r="V149" s="46">
        <v>0.023723</v>
      </c>
      <c r="W149" s="46">
        <v>0</v>
      </c>
      <c r="X149" s="46">
        <v>0.00289</v>
      </c>
      <c r="Y149" s="46">
        <v>0.5</v>
      </c>
      <c r="Z149" s="46">
        <v>0</v>
      </c>
      <c r="AA149" s="68">
        <v>149</v>
      </c>
      <c r="AB149" s="68"/>
      <c r="AC149" s="69"/>
      <c r="AD149" s="75" t="s">
        <v>1983</v>
      </c>
      <c r="AE149" s="80" t="s">
        <v>2276</v>
      </c>
      <c r="AF149" s="75">
        <v>484</v>
      </c>
      <c r="AG149" s="75">
        <v>188</v>
      </c>
      <c r="AH149" s="75">
        <v>2561</v>
      </c>
      <c r="AI149" s="75">
        <v>4466</v>
      </c>
      <c r="AJ149" s="75"/>
      <c r="AK149" s="75" t="s">
        <v>2525</v>
      </c>
      <c r="AL149" s="75" t="s">
        <v>2753</v>
      </c>
      <c r="AM149" s="75"/>
      <c r="AN149" s="75"/>
      <c r="AO149" s="77">
        <v>43716.64140046296</v>
      </c>
      <c r="AP149" s="82" t="str">
        <f>HYPERLINK("https://pbs.twimg.com/profile_banners/1170719206482071555/1567958230")</f>
        <v>https://pbs.twimg.com/profile_banners/1170719206482071555/1567958230</v>
      </c>
      <c r="AQ149" s="75" t="b">
        <v>1</v>
      </c>
      <c r="AR149" s="75" t="b">
        <v>0</v>
      </c>
      <c r="AS149" s="75" t="b">
        <v>0</v>
      </c>
      <c r="AT149" s="75"/>
      <c r="AU149" s="75">
        <v>0</v>
      </c>
      <c r="AV149" s="75"/>
      <c r="AW149" s="75" t="b">
        <v>0</v>
      </c>
      <c r="AX149" s="75" t="s">
        <v>2845</v>
      </c>
      <c r="AY149" s="82" t="str">
        <f>HYPERLINK("https://twitter.com/gospodinnebojsa")</f>
        <v>https://twitter.com/gospodinnebojsa</v>
      </c>
      <c r="AZ149" s="75" t="s">
        <v>66</v>
      </c>
      <c r="BA149" s="75" t="str">
        <f>REPLACE(INDEX(GroupVertices[Group],MATCH(Vertices[[#This Row],[Vertex]],GroupVertices[Vertex],0)),1,1,"")</f>
        <v>4</v>
      </c>
      <c r="BB149" s="45">
        <v>0</v>
      </c>
      <c r="BC149" s="46">
        <v>0</v>
      </c>
      <c r="BD149" s="45">
        <v>0</v>
      </c>
      <c r="BE149" s="46">
        <v>0</v>
      </c>
      <c r="BF149" s="45">
        <v>0</v>
      </c>
      <c r="BG149" s="46">
        <v>0</v>
      </c>
      <c r="BH149" s="45">
        <v>10</v>
      </c>
      <c r="BI149" s="46">
        <v>100</v>
      </c>
      <c r="BJ149" s="45">
        <v>10</v>
      </c>
      <c r="BK149" s="45"/>
      <c r="BL149" s="45"/>
      <c r="BM149" s="45"/>
      <c r="BN149" s="45"/>
      <c r="BO149" s="45" t="s">
        <v>823</v>
      </c>
      <c r="BP149" s="45" t="s">
        <v>823</v>
      </c>
      <c r="BQ149" s="110" t="s">
        <v>4478</v>
      </c>
      <c r="BR149" s="110" t="s">
        <v>4478</v>
      </c>
      <c r="BS149" s="110" t="s">
        <v>4595</v>
      </c>
      <c r="BT149" s="110" t="s">
        <v>4595</v>
      </c>
      <c r="BU149" s="2"/>
    </row>
    <row r="150" spans="1:73" ht="15">
      <c r="A150" s="61" t="s">
        <v>418</v>
      </c>
      <c r="B150" s="62"/>
      <c r="C150" s="62"/>
      <c r="D150" s="63">
        <v>451.5151515151515</v>
      </c>
      <c r="E150" s="65"/>
      <c r="F150" s="99" t="str">
        <f>HYPERLINK("https://pbs.twimg.com/profile_images/1550587016798212097/iNHMHieS_normal.jpg")</f>
        <v>https://pbs.twimg.com/profile_images/1550587016798212097/iNHMHieS_normal.jpg</v>
      </c>
      <c r="G150" s="62"/>
      <c r="H150" s="66" t="s">
        <v>418</v>
      </c>
      <c r="I150" s="67"/>
      <c r="J150" s="67"/>
      <c r="K150" s="66" t="s">
        <v>2992</v>
      </c>
      <c r="L150" s="70">
        <v>516.6437873638968</v>
      </c>
      <c r="M150" s="71">
        <v>2512.371337890625</v>
      </c>
      <c r="N150" s="71">
        <v>1895.2552490234375</v>
      </c>
      <c r="O150" s="72"/>
      <c r="P150" s="73"/>
      <c r="Q150" s="73"/>
      <c r="R150" s="85"/>
      <c r="S150" s="45">
        <v>1</v>
      </c>
      <c r="T150" s="45">
        <v>13</v>
      </c>
      <c r="U150" s="46">
        <v>232</v>
      </c>
      <c r="V150" s="46">
        <v>0.041204</v>
      </c>
      <c r="W150" s="46">
        <v>0</v>
      </c>
      <c r="X150" s="46">
        <v>0.00765</v>
      </c>
      <c r="Y150" s="46">
        <v>0.005494505494505495</v>
      </c>
      <c r="Z150" s="46">
        <v>0</v>
      </c>
      <c r="AA150" s="68">
        <v>150</v>
      </c>
      <c r="AB150" s="68"/>
      <c r="AC150" s="69"/>
      <c r="AD150" s="75" t="s">
        <v>1984</v>
      </c>
      <c r="AE150" s="80" t="s">
        <v>2277</v>
      </c>
      <c r="AF150" s="75">
        <v>46</v>
      </c>
      <c r="AG150" s="75">
        <v>16</v>
      </c>
      <c r="AH150" s="75">
        <v>3000</v>
      </c>
      <c r="AI150" s="75">
        <v>2206</v>
      </c>
      <c r="AJ150" s="75"/>
      <c r="AK150" s="75" t="s">
        <v>2526</v>
      </c>
      <c r="AL150" s="75"/>
      <c r="AM150" s="75"/>
      <c r="AN150" s="75"/>
      <c r="AO150" s="77">
        <v>44760.39811342592</v>
      </c>
      <c r="AP150" s="75"/>
      <c r="AQ150" s="75" t="b">
        <v>1</v>
      </c>
      <c r="AR150" s="75" t="b">
        <v>0</v>
      </c>
      <c r="AS150" s="75" t="b">
        <v>0</v>
      </c>
      <c r="AT150" s="75"/>
      <c r="AU150" s="75">
        <v>0</v>
      </c>
      <c r="AV150" s="75"/>
      <c r="AW150" s="75" t="b">
        <v>0</v>
      </c>
      <c r="AX150" s="75" t="s">
        <v>2845</v>
      </c>
      <c r="AY150" s="82" t="str">
        <f>HYPERLINK("https://twitter.com/jabalmiza")</f>
        <v>https://twitter.com/jabalmiza</v>
      </c>
      <c r="AZ150" s="75" t="s">
        <v>66</v>
      </c>
      <c r="BA150" s="75" t="str">
        <f>REPLACE(INDEX(GroupVertices[Group],MATCH(Vertices[[#This Row],[Vertex]],GroupVertices[Vertex],0)),1,1,"")</f>
        <v>4</v>
      </c>
      <c r="BB150" s="45">
        <v>11</v>
      </c>
      <c r="BC150" s="46">
        <v>3.8194444444444446</v>
      </c>
      <c r="BD150" s="45">
        <v>3</v>
      </c>
      <c r="BE150" s="46">
        <v>1.0416666666666667</v>
      </c>
      <c r="BF150" s="45">
        <v>0</v>
      </c>
      <c r="BG150" s="46">
        <v>0</v>
      </c>
      <c r="BH150" s="45">
        <v>274</v>
      </c>
      <c r="BI150" s="46">
        <v>95.13888888888889</v>
      </c>
      <c r="BJ150" s="45">
        <v>288</v>
      </c>
      <c r="BK150" s="45"/>
      <c r="BL150" s="45"/>
      <c r="BM150" s="45"/>
      <c r="BN150" s="45"/>
      <c r="BO150" s="45" t="s">
        <v>4413</v>
      </c>
      <c r="BP150" s="45" t="s">
        <v>4430</v>
      </c>
      <c r="BQ150" s="110" t="s">
        <v>4105</v>
      </c>
      <c r="BR150" s="110" t="s">
        <v>4549</v>
      </c>
      <c r="BS150" s="110" t="s">
        <v>4596</v>
      </c>
      <c r="BT150" s="110" t="s">
        <v>4656</v>
      </c>
      <c r="BU150" s="2"/>
    </row>
    <row r="151" spans="1:73" ht="15">
      <c r="A151" s="61" t="s">
        <v>495</v>
      </c>
      <c r="B151" s="62"/>
      <c r="C151" s="62"/>
      <c r="D151" s="63">
        <v>100</v>
      </c>
      <c r="E151" s="65"/>
      <c r="F151" s="99" t="str">
        <f>HYPERLINK("https://pbs.twimg.com/profile_images/1503161647770177540/reB5EVEQ_normal.jpg")</f>
        <v>https://pbs.twimg.com/profile_images/1503161647770177540/reB5EVEQ_normal.jpg</v>
      </c>
      <c r="G151" s="62"/>
      <c r="H151" s="66" t="s">
        <v>495</v>
      </c>
      <c r="I151" s="67"/>
      <c r="J151" s="67"/>
      <c r="K151" s="66" t="s">
        <v>2993</v>
      </c>
      <c r="L151" s="70">
        <v>1</v>
      </c>
      <c r="M151" s="71">
        <v>2563.59716796875</v>
      </c>
      <c r="N151" s="71">
        <v>1253.6824951171875</v>
      </c>
      <c r="O151" s="72"/>
      <c r="P151" s="73"/>
      <c r="Q151" s="73"/>
      <c r="R151" s="85"/>
      <c r="S151" s="45">
        <v>2</v>
      </c>
      <c r="T151" s="45">
        <v>0</v>
      </c>
      <c r="U151" s="46">
        <v>0</v>
      </c>
      <c r="V151" s="46">
        <v>0.023723</v>
      </c>
      <c r="W151" s="46">
        <v>0</v>
      </c>
      <c r="X151" s="46">
        <v>0.00289</v>
      </c>
      <c r="Y151" s="46">
        <v>0.5</v>
      </c>
      <c r="Z151" s="46">
        <v>0</v>
      </c>
      <c r="AA151" s="68">
        <v>151</v>
      </c>
      <c r="AB151" s="68"/>
      <c r="AC151" s="69"/>
      <c r="AD151" s="75" t="s">
        <v>1985</v>
      </c>
      <c r="AE151" s="80" t="s">
        <v>1742</v>
      </c>
      <c r="AF151" s="75">
        <v>1924</v>
      </c>
      <c r="AG151" s="75">
        <v>797</v>
      </c>
      <c r="AH151" s="75">
        <v>67052</v>
      </c>
      <c r="AI151" s="75">
        <v>57044</v>
      </c>
      <c r="AJ151" s="75"/>
      <c r="AK151" s="75" t="s">
        <v>2527</v>
      </c>
      <c r="AL151" s="75" t="s">
        <v>2754</v>
      </c>
      <c r="AM151" s="75"/>
      <c r="AN151" s="75"/>
      <c r="AO151" s="77">
        <v>40861.785219907404</v>
      </c>
      <c r="AP151" s="82" t="str">
        <f>HYPERLINK("https://pbs.twimg.com/profile_banners/412474587/1646932432")</f>
        <v>https://pbs.twimg.com/profile_banners/412474587/1646932432</v>
      </c>
      <c r="AQ151" s="75" t="b">
        <v>1</v>
      </c>
      <c r="AR151" s="75" t="b">
        <v>0</v>
      </c>
      <c r="AS151" s="75" t="b">
        <v>1</v>
      </c>
      <c r="AT151" s="75"/>
      <c r="AU151" s="75">
        <v>36</v>
      </c>
      <c r="AV151" s="82" t="str">
        <f>HYPERLINK("https://abs.twimg.com/images/themes/theme1/bg.png")</f>
        <v>https://abs.twimg.com/images/themes/theme1/bg.png</v>
      </c>
      <c r="AW151" s="75" t="b">
        <v>0</v>
      </c>
      <c r="AX151" s="75" t="s">
        <v>2845</v>
      </c>
      <c r="AY151" s="82" t="str">
        <f>HYPERLINK("https://twitter.com/moveebuff1953")</f>
        <v>https://twitter.com/moveebuff1953</v>
      </c>
      <c r="AZ151" s="75" t="s">
        <v>65</v>
      </c>
      <c r="BA151" s="75" t="str">
        <f>REPLACE(INDEX(GroupVertices[Group],MATCH(Vertices[[#This Row],[Vertex]],GroupVertices[Vertex],0)),1,1,"")</f>
        <v>4</v>
      </c>
      <c r="BB151" s="45"/>
      <c r="BC151" s="46"/>
      <c r="BD151" s="45"/>
      <c r="BE151" s="46"/>
      <c r="BF151" s="45"/>
      <c r="BG151" s="46"/>
      <c r="BH151" s="45"/>
      <c r="BI151" s="46"/>
      <c r="BJ151" s="45"/>
      <c r="BK151" s="45"/>
      <c r="BL151" s="45"/>
      <c r="BM151" s="45"/>
      <c r="BN151" s="45"/>
      <c r="BO151" s="45"/>
      <c r="BP151" s="45"/>
      <c r="BQ151" s="45"/>
      <c r="BR151" s="45"/>
      <c r="BS151" s="45"/>
      <c r="BT151" s="45"/>
      <c r="BU151" s="2"/>
    </row>
    <row r="152" spans="1:73" ht="15">
      <c r="A152" s="61" t="s">
        <v>335</v>
      </c>
      <c r="B152" s="62"/>
      <c r="C152" s="62"/>
      <c r="D152" s="63">
        <v>100</v>
      </c>
      <c r="E152" s="65"/>
      <c r="F152" s="99" t="str">
        <f>HYPERLINK("https://pbs.twimg.com/profile_images/1560940207804977158/d2xhjQoG_normal.jpg")</f>
        <v>https://pbs.twimg.com/profile_images/1560940207804977158/d2xhjQoG_normal.jpg</v>
      </c>
      <c r="G152" s="62"/>
      <c r="H152" s="66" t="s">
        <v>335</v>
      </c>
      <c r="I152" s="67"/>
      <c r="J152" s="67"/>
      <c r="K152" s="66" t="s">
        <v>2994</v>
      </c>
      <c r="L152" s="70">
        <v>1</v>
      </c>
      <c r="M152" s="71">
        <v>4356.0107421875</v>
      </c>
      <c r="N152" s="71">
        <v>5615.7958984375</v>
      </c>
      <c r="O152" s="72"/>
      <c r="P152" s="73"/>
      <c r="Q152" s="73"/>
      <c r="R152" s="85"/>
      <c r="S152" s="45">
        <v>0</v>
      </c>
      <c r="T152" s="45">
        <v>1</v>
      </c>
      <c r="U152" s="46">
        <v>0</v>
      </c>
      <c r="V152" s="46">
        <v>0.073479</v>
      </c>
      <c r="W152" s="46">
        <v>0.019276</v>
      </c>
      <c r="X152" s="46">
        <v>0.002671</v>
      </c>
      <c r="Y152" s="46">
        <v>0</v>
      </c>
      <c r="Z152" s="46">
        <v>0</v>
      </c>
      <c r="AA152" s="68">
        <v>152</v>
      </c>
      <c r="AB152" s="68"/>
      <c r="AC152" s="69"/>
      <c r="AD152" s="75" t="s">
        <v>1986</v>
      </c>
      <c r="AE152" s="80" t="s">
        <v>2278</v>
      </c>
      <c r="AF152" s="75">
        <v>1014</v>
      </c>
      <c r="AG152" s="75">
        <v>446</v>
      </c>
      <c r="AH152" s="75">
        <v>3442</v>
      </c>
      <c r="AI152" s="75">
        <v>4130</v>
      </c>
      <c r="AJ152" s="75"/>
      <c r="AK152" s="75" t="s">
        <v>2528</v>
      </c>
      <c r="AL152" s="75"/>
      <c r="AM152" s="75"/>
      <c r="AN152" s="75"/>
      <c r="AO152" s="77">
        <v>44598.526712962965</v>
      </c>
      <c r="AP152" s="75"/>
      <c r="AQ152" s="75" t="b">
        <v>1</v>
      </c>
      <c r="AR152" s="75" t="b">
        <v>0</v>
      </c>
      <c r="AS152" s="75" t="b">
        <v>0</v>
      </c>
      <c r="AT152" s="75"/>
      <c r="AU152" s="75">
        <v>0</v>
      </c>
      <c r="AV152" s="75"/>
      <c r="AW152" s="75" t="b">
        <v>0</v>
      </c>
      <c r="AX152" s="75" t="s">
        <v>2845</v>
      </c>
      <c r="AY152" s="82" t="str">
        <f>HYPERLINK("https://twitter.com/jfaix13")</f>
        <v>https://twitter.com/jfaix13</v>
      </c>
      <c r="AZ152" s="75" t="s">
        <v>66</v>
      </c>
      <c r="BA152" s="75" t="str">
        <f>REPLACE(INDEX(GroupVertices[Group],MATCH(Vertices[[#This Row],[Vertex]],GroupVertices[Vertex],0)),1,1,"")</f>
        <v>7</v>
      </c>
      <c r="BB152" s="45">
        <v>0</v>
      </c>
      <c r="BC152" s="46">
        <v>0</v>
      </c>
      <c r="BD152" s="45">
        <v>0</v>
      </c>
      <c r="BE152" s="46">
        <v>0</v>
      </c>
      <c r="BF152" s="45">
        <v>0</v>
      </c>
      <c r="BG152" s="46">
        <v>0</v>
      </c>
      <c r="BH152" s="45">
        <v>27</v>
      </c>
      <c r="BI152" s="46">
        <v>100</v>
      </c>
      <c r="BJ152" s="45">
        <v>27</v>
      </c>
      <c r="BK152" s="45" t="s">
        <v>3956</v>
      </c>
      <c r="BL152" s="45" t="s">
        <v>3956</v>
      </c>
      <c r="BM152" s="45" t="s">
        <v>785</v>
      </c>
      <c r="BN152" s="45" t="s">
        <v>785</v>
      </c>
      <c r="BO152" s="45" t="s">
        <v>822</v>
      </c>
      <c r="BP152" s="45" t="s">
        <v>822</v>
      </c>
      <c r="BQ152" s="110" t="s">
        <v>4474</v>
      </c>
      <c r="BR152" s="110" t="s">
        <v>4474</v>
      </c>
      <c r="BS152" s="110" t="s">
        <v>4245</v>
      </c>
      <c r="BT152" s="110" t="s">
        <v>4245</v>
      </c>
      <c r="BU152" s="2"/>
    </row>
    <row r="153" spans="1:73" ht="15">
      <c r="A153" s="61" t="s">
        <v>336</v>
      </c>
      <c r="B153" s="62"/>
      <c r="C153" s="62"/>
      <c r="D153" s="63">
        <v>100</v>
      </c>
      <c r="E153" s="65"/>
      <c r="F153" s="99" t="str">
        <f>HYPERLINK("https://pbs.twimg.com/profile_images/554217681268662272/I8KaAJ92_normal.jpeg")</f>
        <v>https://pbs.twimg.com/profile_images/554217681268662272/I8KaAJ92_normal.jpeg</v>
      </c>
      <c r="G153" s="62"/>
      <c r="H153" s="66" t="s">
        <v>336</v>
      </c>
      <c r="I153" s="67"/>
      <c r="J153" s="67"/>
      <c r="K153" s="66" t="s">
        <v>2995</v>
      </c>
      <c r="L153" s="70">
        <v>1</v>
      </c>
      <c r="M153" s="71">
        <v>3838.246337890625</v>
      </c>
      <c r="N153" s="71">
        <v>3805.911376953125</v>
      </c>
      <c r="O153" s="72"/>
      <c r="P153" s="73"/>
      <c r="Q153" s="73"/>
      <c r="R153" s="85"/>
      <c r="S153" s="45">
        <v>0</v>
      </c>
      <c r="T153" s="45">
        <v>1</v>
      </c>
      <c r="U153" s="46">
        <v>0</v>
      </c>
      <c r="V153" s="46">
        <v>0.073479</v>
      </c>
      <c r="W153" s="46">
        <v>0.019276</v>
      </c>
      <c r="X153" s="46">
        <v>0.002671</v>
      </c>
      <c r="Y153" s="46">
        <v>0</v>
      </c>
      <c r="Z153" s="46">
        <v>0</v>
      </c>
      <c r="AA153" s="68">
        <v>153</v>
      </c>
      <c r="AB153" s="68"/>
      <c r="AC153" s="69"/>
      <c r="AD153" s="75" t="s">
        <v>1987</v>
      </c>
      <c r="AE153" s="80" t="s">
        <v>2279</v>
      </c>
      <c r="AF153" s="75">
        <v>288</v>
      </c>
      <c r="AG153" s="75">
        <v>518</v>
      </c>
      <c r="AH153" s="75">
        <v>149892</v>
      </c>
      <c r="AI153" s="75">
        <v>87884</v>
      </c>
      <c r="AJ153" s="75"/>
      <c r="AK153" s="75"/>
      <c r="AL153" s="75" t="s">
        <v>2755</v>
      </c>
      <c r="AM153" s="75"/>
      <c r="AN153" s="75"/>
      <c r="AO153" s="77">
        <v>41996.432592592595</v>
      </c>
      <c r="AP153" s="75"/>
      <c r="AQ153" s="75" t="b">
        <v>1</v>
      </c>
      <c r="AR153" s="75" t="b">
        <v>0</v>
      </c>
      <c r="AS153" s="75" t="b">
        <v>1</v>
      </c>
      <c r="AT153" s="75"/>
      <c r="AU153" s="75">
        <v>82</v>
      </c>
      <c r="AV153" s="82" t="str">
        <f>HYPERLINK("https://abs.twimg.com/images/themes/theme1/bg.png")</f>
        <v>https://abs.twimg.com/images/themes/theme1/bg.png</v>
      </c>
      <c r="AW153" s="75" t="b">
        <v>0</v>
      </c>
      <c r="AX153" s="75" t="s">
        <v>2845</v>
      </c>
      <c r="AY153" s="82" t="str">
        <f>HYPERLINK("https://twitter.com/ophiuse")</f>
        <v>https://twitter.com/ophiuse</v>
      </c>
      <c r="AZ153" s="75" t="s">
        <v>66</v>
      </c>
      <c r="BA153" s="75" t="str">
        <f>REPLACE(INDEX(GroupVertices[Group],MATCH(Vertices[[#This Row],[Vertex]],GroupVertices[Vertex],0)),1,1,"")</f>
        <v>7</v>
      </c>
      <c r="BB153" s="45">
        <v>0</v>
      </c>
      <c r="BC153" s="46">
        <v>0</v>
      </c>
      <c r="BD153" s="45">
        <v>0</v>
      </c>
      <c r="BE153" s="46">
        <v>0</v>
      </c>
      <c r="BF153" s="45">
        <v>0</v>
      </c>
      <c r="BG153" s="46">
        <v>0</v>
      </c>
      <c r="BH153" s="45">
        <v>27</v>
      </c>
      <c r="BI153" s="46">
        <v>100</v>
      </c>
      <c r="BJ153" s="45">
        <v>27</v>
      </c>
      <c r="BK153" s="45" t="s">
        <v>3956</v>
      </c>
      <c r="BL153" s="45" t="s">
        <v>3956</v>
      </c>
      <c r="BM153" s="45" t="s">
        <v>785</v>
      </c>
      <c r="BN153" s="45" t="s">
        <v>785</v>
      </c>
      <c r="BO153" s="45" t="s">
        <v>822</v>
      </c>
      <c r="BP153" s="45" t="s">
        <v>822</v>
      </c>
      <c r="BQ153" s="110" t="s">
        <v>4474</v>
      </c>
      <c r="BR153" s="110" t="s">
        <v>4474</v>
      </c>
      <c r="BS153" s="110" t="s">
        <v>4245</v>
      </c>
      <c r="BT153" s="110" t="s">
        <v>4245</v>
      </c>
      <c r="BU153" s="2"/>
    </row>
    <row r="154" spans="1:73" ht="15">
      <c r="A154" s="61" t="s">
        <v>496</v>
      </c>
      <c r="B154" s="62"/>
      <c r="C154" s="62"/>
      <c r="D154" s="63">
        <v>1000</v>
      </c>
      <c r="E154" s="65"/>
      <c r="F154" s="99" t="str">
        <f>HYPERLINK("https://pbs.twimg.com/profile_images/1550535324501164032/0lTW_4tj_normal.jpg")</f>
        <v>https://pbs.twimg.com/profile_images/1550535324501164032/0lTW_4tj_normal.jpg</v>
      </c>
      <c r="G154" s="62"/>
      <c r="H154" s="66" t="s">
        <v>496</v>
      </c>
      <c r="I154" s="67"/>
      <c r="J154" s="67"/>
      <c r="K154" s="66" t="s">
        <v>2996</v>
      </c>
      <c r="L154" s="70">
        <v>2068.232030738987</v>
      </c>
      <c r="M154" s="71">
        <v>1674.741455078125</v>
      </c>
      <c r="N154" s="71">
        <v>6509.1962890625</v>
      </c>
      <c r="O154" s="72"/>
      <c r="P154" s="73"/>
      <c r="Q154" s="73"/>
      <c r="R154" s="85"/>
      <c r="S154" s="45">
        <v>3</v>
      </c>
      <c r="T154" s="45">
        <v>0</v>
      </c>
      <c r="U154" s="46">
        <v>930.095238</v>
      </c>
      <c r="V154" s="46">
        <v>0.097002</v>
      </c>
      <c r="W154" s="46">
        <v>0.081173</v>
      </c>
      <c r="X154" s="46">
        <v>0.002817</v>
      </c>
      <c r="Y154" s="46">
        <v>0</v>
      </c>
      <c r="Z154" s="46">
        <v>0</v>
      </c>
      <c r="AA154" s="68">
        <v>154</v>
      </c>
      <c r="AB154" s="68"/>
      <c r="AC154" s="69"/>
      <c r="AD154" s="75" t="s">
        <v>1988</v>
      </c>
      <c r="AE154" s="80" t="s">
        <v>2280</v>
      </c>
      <c r="AF154" s="75">
        <v>721</v>
      </c>
      <c r="AG154" s="75">
        <v>8636764</v>
      </c>
      <c r="AH154" s="75">
        <v>11614</v>
      </c>
      <c r="AI154" s="75">
        <v>262</v>
      </c>
      <c r="AJ154" s="75"/>
      <c r="AK154" s="75" t="s">
        <v>2529</v>
      </c>
      <c r="AL154" s="75" t="s">
        <v>2685</v>
      </c>
      <c r="AM154" s="82" t="str">
        <f>HYPERLINK("https://t.co/n76au2QdwM")</f>
        <v>https://t.co/n76au2QdwM</v>
      </c>
      <c r="AN154" s="75"/>
      <c r="AO154" s="77">
        <v>41567.816296296296</v>
      </c>
      <c r="AP154" s="82" t="str">
        <f>HYPERLINK("https://pbs.twimg.com/profile_banners/1976143068/1658511202")</f>
        <v>https://pbs.twimg.com/profile_banners/1976143068/1658511202</v>
      </c>
      <c r="AQ154" s="75" t="b">
        <v>1</v>
      </c>
      <c r="AR154" s="75" t="b">
        <v>0</v>
      </c>
      <c r="AS154" s="75" t="b">
        <v>1</v>
      </c>
      <c r="AT154" s="75"/>
      <c r="AU154" s="75">
        <v>13676</v>
      </c>
      <c r="AV154" s="82" t="str">
        <f>HYPERLINK("https://abs.twimg.com/images/themes/theme1/bg.png")</f>
        <v>https://abs.twimg.com/images/themes/theme1/bg.png</v>
      </c>
      <c r="AW154" s="75" t="b">
        <v>1</v>
      </c>
      <c r="AX154" s="75" t="s">
        <v>2845</v>
      </c>
      <c r="AY154" s="82" t="str">
        <f>HYPERLINK("https://twitter.com/emmanuelmacron")</f>
        <v>https://twitter.com/emmanuelmacron</v>
      </c>
      <c r="AZ154" s="75" t="s">
        <v>65</v>
      </c>
      <c r="BA154" s="75" t="str">
        <f>REPLACE(INDEX(GroupVertices[Group],MATCH(Vertices[[#This Row],[Vertex]],GroupVertices[Vertex],0)),1,1,"")</f>
        <v>1</v>
      </c>
      <c r="BB154" s="45"/>
      <c r="BC154" s="46"/>
      <c r="BD154" s="45"/>
      <c r="BE154" s="46"/>
      <c r="BF154" s="45"/>
      <c r="BG154" s="46"/>
      <c r="BH154" s="45"/>
      <c r="BI154" s="46"/>
      <c r="BJ154" s="45"/>
      <c r="BK154" s="45"/>
      <c r="BL154" s="45"/>
      <c r="BM154" s="45"/>
      <c r="BN154" s="45"/>
      <c r="BO154" s="45"/>
      <c r="BP154" s="45"/>
      <c r="BQ154" s="45"/>
      <c r="BR154" s="45"/>
      <c r="BS154" s="45"/>
      <c r="BT154" s="45"/>
      <c r="BU154" s="2"/>
    </row>
    <row r="155" spans="1:73" ht="15">
      <c r="A155" s="61" t="s">
        <v>497</v>
      </c>
      <c r="B155" s="62"/>
      <c r="C155" s="62"/>
      <c r="D155" s="63">
        <v>1000</v>
      </c>
      <c r="E155" s="65"/>
      <c r="F155" s="99" t="str">
        <f>HYPERLINK("https://pbs.twimg.com/profile_images/1215070700026855425/7edvU72D_normal.jpg")</f>
        <v>https://pbs.twimg.com/profile_images/1215070700026855425/7edvU72D_normal.jpg</v>
      </c>
      <c r="G155" s="62"/>
      <c r="H155" s="66" t="s">
        <v>497</v>
      </c>
      <c r="I155" s="67"/>
      <c r="J155" s="67"/>
      <c r="K155" s="66" t="s">
        <v>2997</v>
      </c>
      <c r="L155" s="70">
        <v>8948.32286307978</v>
      </c>
      <c r="M155" s="71">
        <v>2420.606201171875</v>
      </c>
      <c r="N155" s="71">
        <v>7091.7724609375</v>
      </c>
      <c r="O155" s="72"/>
      <c r="P155" s="73"/>
      <c r="Q155" s="73"/>
      <c r="R155" s="85"/>
      <c r="S155" s="45">
        <v>6</v>
      </c>
      <c r="T155" s="45">
        <v>0</v>
      </c>
      <c r="U155" s="46">
        <v>4025.606349</v>
      </c>
      <c r="V155" s="46">
        <v>0.116544</v>
      </c>
      <c r="W155" s="46">
        <v>0.229614</v>
      </c>
      <c r="X155" s="46">
        <v>0.003279</v>
      </c>
      <c r="Y155" s="46">
        <v>0.06666666666666667</v>
      </c>
      <c r="Z155" s="46">
        <v>0</v>
      </c>
      <c r="AA155" s="68">
        <v>155</v>
      </c>
      <c r="AB155" s="68"/>
      <c r="AC155" s="69"/>
      <c r="AD155" s="75" t="s">
        <v>1989</v>
      </c>
      <c r="AE155" s="80" t="s">
        <v>1706</v>
      </c>
      <c r="AF155" s="75">
        <v>1</v>
      </c>
      <c r="AG155" s="75">
        <v>6540345</v>
      </c>
      <c r="AH155" s="75">
        <v>2400</v>
      </c>
      <c r="AI155" s="75">
        <v>2</v>
      </c>
      <c r="AJ155" s="75"/>
      <c r="AK155" s="75" t="s">
        <v>2530</v>
      </c>
      <c r="AL155" s="75" t="s">
        <v>2756</v>
      </c>
      <c r="AM155" s="82" t="str">
        <f>HYPERLINK("https://t.co/ctVL0aukro")</f>
        <v>https://t.co/ctVL0aukro</v>
      </c>
      <c r="AN155" s="75"/>
      <c r="AO155" s="77">
        <v>43578.43142361111</v>
      </c>
      <c r="AP155" s="82" t="str">
        <f>HYPERLINK("https://pbs.twimg.com/profile_banners/1120633726478823425/1661313997")</f>
        <v>https://pbs.twimg.com/profile_banners/1120633726478823425/1661313997</v>
      </c>
      <c r="AQ155" s="75" t="b">
        <v>1</v>
      </c>
      <c r="AR155" s="75" t="b">
        <v>0</v>
      </c>
      <c r="AS155" s="75" t="b">
        <v>1</v>
      </c>
      <c r="AT155" s="75"/>
      <c r="AU155" s="75">
        <v>13789</v>
      </c>
      <c r="AV155" s="75"/>
      <c r="AW155" s="75" t="b">
        <v>1</v>
      </c>
      <c r="AX155" s="75" t="s">
        <v>2845</v>
      </c>
      <c r="AY155" s="82" t="str">
        <f>HYPERLINK("https://twitter.com/zelenskyyua")</f>
        <v>https://twitter.com/zelenskyyua</v>
      </c>
      <c r="AZ155" s="75" t="s">
        <v>65</v>
      </c>
      <c r="BA155" s="75" t="str">
        <f>REPLACE(INDEX(GroupVertices[Group],MATCH(Vertices[[#This Row],[Vertex]],GroupVertices[Vertex],0)),1,1,"")</f>
        <v>3</v>
      </c>
      <c r="BB155" s="45"/>
      <c r="BC155" s="46"/>
      <c r="BD155" s="45"/>
      <c r="BE155" s="46"/>
      <c r="BF155" s="45"/>
      <c r="BG155" s="46"/>
      <c r="BH155" s="45"/>
      <c r="BI155" s="46"/>
      <c r="BJ155" s="45"/>
      <c r="BK155" s="45"/>
      <c r="BL155" s="45"/>
      <c r="BM155" s="45"/>
      <c r="BN155" s="45"/>
      <c r="BO155" s="45"/>
      <c r="BP155" s="45"/>
      <c r="BQ155" s="45"/>
      <c r="BR155" s="45"/>
      <c r="BS155" s="45"/>
      <c r="BT155" s="45"/>
      <c r="BU155" s="2"/>
    </row>
    <row r="156" spans="1:73" ht="15">
      <c r="A156" s="61" t="s">
        <v>338</v>
      </c>
      <c r="B156" s="62"/>
      <c r="C156" s="62"/>
      <c r="D156" s="63">
        <v>100</v>
      </c>
      <c r="E156" s="65"/>
      <c r="F156" s="99" t="str">
        <f>HYPERLINK("https://pbs.twimg.com/profile_images/1560875137486016513/fpVisRaj_normal.jpg")</f>
        <v>https://pbs.twimg.com/profile_images/1560875137486016513/fpVisRaj_normal.jpg</v>
      </c>
      <c r="G156" s="62"/>
      <c r="H156" s="66" t="s">
        <v>338</v>
      </c>
      <c r="I156" s="67"/>
      <c r="J156" s="67"/>
      <c r="K156" s="66" t="s">
        <v>2998</v>
      </c>
      <c r="L156" s="70">
        <v>1</v>
      </c>
      <c r="M156" s="71">
        <v>4150.18798828125</v>
      </c>
      <c r="N156" s="71">
        <v>5960.9423828125</v>
      </c>
      <c r="O156" s="72"/>
      <c r="P156" s="73"/>
      <c r="Q156" s="73"/>
      <c r="R156" s="85"/>
      <c r="S156" s="45">
        <v>0</v>
      </c>
      <c r="T156" s="45">
        <v>1</v>
      </c>
      <c r="U156" s="46">
        <v>0</v>
      </c>
      <c r="V156" s="46">
        <v>0.073479</v>
      </c>
      <c r="W156" s="46">
        <v>0.019276</v>
      </c>
      <c r="X156" s="46">
        <v>0.002671</v>
      </c>
      <c r="Y156" s="46">
        <v>0</v>
      </c>
      <c r="Z156" s="46">
        <v>0</v>
      </c>
      <c r="AA156" s="68">
        <v>156</v>
      </c>
      <c r="AB156" s="68"/>
      <c r="AC156" s="69"/>
      <c r="AD156" s="75" t="s">
        <v>1990</v>
      </c>
      <c r="AE156" s="80" t="s">
        <v>2281</v>
      </c>
      <c r="AF156" s="75">
        <v>279</v>
      </c>
      <c r="AG156" s="75">
        <v>181</v>
      </c>
      <c r="AH156" s="75">
        <v>4474</v>
      </c>
      <c r="AI156" s="75">
        <v>4437</v>
      </c>
      <c r="AJ156" s="75"/>
      <c r="AK156" s="75" t="s">
        <v>2531</v>
      </c>
      <c r="AL156" s="75"/>
      <c r="AM156" s="75"/>
      <c r="AN156" s="75"/>
      <c r="AO156" s="77">
        <v>44793.263773148145</v>
      </c>
      <c r="AP156" s="82" t="str">
        <f>HYPERLINK("https://pbs.twimg.com/profile_banners/1560874173030883329/1660976877")</f>
        <v>https://pbs.twimg.com/profile_banners/1560874173030883329/1660976877</v>
      </c>
      <c r="AQ156" s="75" t="b">
        <v>1</v>
      </c>
      <c r="AR156" s="75" t="b">
        <v>0</v>
      </c>
      <c r="AS156" s="75" t="b">
        <v>0</v>
      </c>
      <c r="AT156" s="75"/>
      <c r="AU156" s="75">
        <v>0</v>
      </c>
      <c r="AV156" s="75"/>
      <c r="AW156" s="75" t="b">
        <v>0</v>
      </c>
      <c r="AX156" s="75" t="s">
        <v>2845</v>
      </c>
      <c r="AY156" s="82" t="str">
        <f>HYPERLINK("https://twitter.com/xav0621")</f>
        <v>https://twitter.com/xav0621</v>
      </c>
      <c r="AZ156" s="75" t="s">
        <v>66</v>
      </c>
      <c r="BA156" s="75" t="str">
        <f>REPLACE(INDEX(GroupVertices[Group],MATCH(Vertices[[#This Row],[Vertex]],GroupVertices[Vertex],0)),1,1,"")</f>
        <v>7</v>
      </c>
      <c r="BB156" s="45">
        <v>0</v>
      </c>
      <c r="BC156" s="46">
        <v>0</v>
      </c>
      <c r="BD156" s="45">
        <v>0</v>
      </c>
      <c r="BE156" s="46">
        <v>0</v>
      </c>
      <c r="BF156" s="45">
        <v>0</v>
      </c>
      <c r="BG156" s="46">
        <v>0</v>
      </c>
      <c r="BH156" s="45">
        <v>27</v>
      </c>
      <c r="BI156" s="46">
        <v>100</v>
      </c>
      <c r="BJ156" s="45">
        <v>27</v>
      </c>
      <c r="BK156" s="45" t="s">
        <v>3956</v>
      </c>
      <c r="BL156" s="45" t="s">
        <v>3956</v>
      </c>
      <c r="BM156" s="45" t="s">
        <v>785</v>
      </c>
      <c r="BN156" s="45" t="s">
        <v>785</v>
      </c>
      <c r="BO156" s="45" t="s">
        <v>822</v>
      </c>
      <c r="BP156" s="45" t="s">
        <v>822</v>
      </c>
      <c r="BQ156" s="110" t="s">
        <v>4474</v>
      </c>
      <c r="BR156" s="110" t="s">
        <v>4474</v>
      </c>
      <c r="BS156" s="110" t="s">
        <v>4245</v>
      </c>
      <c r="BT156" s="110" t="s">
        <v>4245</v>
      </c>
      <c r="BU156" s="2"/>
    </row>
    <row r="157" spans="1:73" ht="15">
      <c r="A157" s="61" t="s">
        <v>339</v>
      </c>
      <c r="B157" s="62"/>
      <c r="C157" s="62"/>
      <c r="D157" s="63">
        <v>100</v>
      </c>
      <c r="E157" s="65"/>
      <c r="F157" s="99" t="str">
        <f>HYPERLINK("https://pbs.twimg.com/profile_images/1416503095249494017/Qv3htsYe_normal.jpg")</f>
        <v>https://pbs.twimg.com/profile_images/1416503095249494017/Qv3htsYe_normal.jpg</v>
      </c>
      <c r="G157" s="62"/>
      <c r="H157" s="66" t="s">
        <v>339</v>
      </c>
      <c r="I157" s="67"/>
      <c r="J157" s="67"/>
      <c r="K157" s="66" t="s">
        <v>2999</v>
      </c>
      <c r="L157" s="70">
        <v>1</v>
      </c>
      <c r="M157" s="71">
        <v>9645.376953125</v>
      </c>
      <c r="N157" s="71">
        <v>5592.3896484375</v>
      </c>
      <c r="O157" s="72"/>
      <c r="P157" s="73"/>
      <c r="Q157" s="73"/>
      <c r="R157" s="85"/>
      <c r="S157" s="45">
        <v>0</v>
      </c>
      <c r="T157" s="45">
        <v>1</v>
      </c>
      <c r="U157" s="46">
        <v>0</v>
      </c>
      <c r="V157" s="46">
        <v>0.003058</v>
      </c>
      <c r="W157" s="46">
        <v>0</v>
      </c>
      <c r="X157" s="46">
        <v>0.003049</v>
      </c>
      <c r="Y157" s="46">
        <v>0</v>
      </c>
      <c r="Z157" s="46">
        <v>0</v>
      </c>
      <c r="AA157" s="68">
        <v>157</v>
      </c>
      <c r="AB157" s="68"/>
      <c r="AC157" s="69"/>
      <c r="AD157" s="75" t="s">
        <v>1991</v>
      </c>
      <c r="AE157" s="80" t="s">
        <v>2282</v>
      </c>
      <c r="AF157" s="75">
        <v>243</v>
      </c>
      <c r="AG157" s="75">
        <v>83</v>
      </c>
      <c r="AH157" s="75">
        <v>3220</v>
      </c>
      <c r="AI157" s="75">
        <v>3437</v>
      </c>
      <c r="AJ157" s="75"/>
      <c r="AK157" s="75" t="s">
        <v>2532</v>
      </c>
      <c r="AL157" s="75" t="s">
        <v>2757</v>
      </c>
      <c r="AM157" s="75"/>
      <c r="AN157" s="75"/>
      <c r="AO157" s="77">
        <v>44151.38395833333</v>
      </c>
      <c r="AP157" s="82" t="str">
        <f>HYPERLINK("https://pbs.twimg.com/profile_banners/1328264711419334662/1657452359")</f>
        <v>https://pbs.twimg.com/profile_banners/1328264711419334662/1657452359</v>
      </c>
      <c r="AQ157" s="75" t="b">
        <v>1</v>
      </c>
      <c r="AR157" s="75" t="b">
        <v>0</v>
      </c>
      <c r="AS157" s="75" t="b">
        <v>0</v>
      </c>
      <c r="AT157" s="75"/>
      <c r="AU157" s="75">
        <v>0</v>
      </c>
      <c r="AV157" s="75"/>
      <c r="AW157" s="75" t="b">
        <v>0</v>
      </c>
      <c r="AX157" s="75" t="s">
        <v>2845</v>
      </c>
      <c r="AY157" s="82" t="str">
        <f>HYPERLINK("https://twitter.com/ludwig04796864")</f>
        <v>https://twitter.com/ludwig04796864</v>
      </c>
      <c r="AZ157" s="75" t="s">
        <v>66</v>
      </c>
      <c r="BA157" s="75" t="str">
        <f>REPLACE(INDEX(GroupVertices[Group],MATCH(Vertices[[#This Row],[Vertex]],GroupVertices[Vertex],0)),1,1,"")</f>
        <v>51</v>
      </c>
      <c r="BB157" s="45">
        <v>0</v>
      </c>
      <c r="BC157" s="46">
        <v>0</v>
      </c>
      <c r="BD157" s="45">
        <v>1</v>
      </c>
      <c r="BE157" s="46">
        <v>2.2222222222222223</v>
      </c>
      <c r="BF157" s="45">
        <v>0</v>
      </c>
      <c r="BG157" s="46">
        <v>0</v>
      </c>
      <c r="BH157" s="45">
        <v>44</v>
      </c>
      <c r="BI157" s="46">
        <v>97.77777777777777</v>
      </c>
      <c r="BJ157" s="45">
        <v>45</v>
      </c>
      <c r="BK157" s="45"/>
      <c r="BL157" s="45"/>
      <c r="BM157" s="45"/>
      <c r="BN157" s="45"/>
      <c r="BO157" s="45" t="s">
        <v>795</v>
      </c>
      <c r="BP157" s="45" t="s">
        <v>795</v>
      </c>
      <c r="BQ157" s="110" t="s">
        <v>4479</v>
      </c>
      <c r="BR157" s="110" t="s">
        <v>4479</v>
      </c>
      <c r="BS157" s="110" t="s">
        <v>4597</v>
      </c>
      <c r="BT157" s="110" t="s">
        <v>4597</v>
      </c>
      <c r="BU157" s="2"/>
    </row>
    <row r="158" spans="1:73" ht="15">
      <c r="A158" s="61" t="s">
        <v>498</v>
      </c>
      <c r="B158" s="62"/>
      <c r="C158" s="62"/>
      <c r="D158" s="63">
        <v>100</v>
      </c>
      <c r="E158" s="65"/>
      <c r="F158" s="99" t="str">
        <f>HYPERLINK("https://pbs.twimg.com/profile_images/647732826268372992/bWSAvLQH_normal.jpg")</f>
        <v>https://pbs.twimg.com/profile_images/647732826268372992/bWSAvLQH_normal.jpg</v>
      </c>
      <c r="G158" s="62"/>
      <c r="H158" s="66" t="s">
        <v>498</v>
      </c>
      <c r="I158" s="67"/>
      <c r="J158" s="67"/>
      <c r="K158" s="66" t="s">
        <v>3000</v>
      </c>
      <c r="L158" s="70">
        <v>1</v>
      </c>
      <c r="M158" s="71">
        <v>9645.376953125</v>
      </c>
      <c r="N158" s="71">
        <v>5880.822265625</v>
      </c>
      <c r="O158" s="72"/>
      <c r="P158" s="73"/>
      <c r="Q158" s="73"/>
      <c r="R158" s="85"/>
      <c r="S158" s="45">
        <v>1</v>
      </c>
      <c r="T158" s="45">
        <v>0</v>
      </c>
      <c r="U158" s="46">
        <v>0</v>
      </c>
      <c r="V158" s="46">
        <v>0.003058</v>
      </c>
      <c r="W158" s="46">
        <v>0</v>
      </c>
      <c r="X158" s="46">
        <v>0.003049</v>
      </c>
      <c r="Y158" s="46">
        <v>0</v>
      </c>
      <c r="Z158" s="46">
        <v>0</v>
      </c>
      <c r="AA158" s="68">
        <v>158</v>
      </c>
      <c r="AB158" s="68"/>
      <c r="AC158" s="69"/>
      <c r="AD158" s="75" t="s">
        <v>1992</v>
      </c>
      <c r="AE158" s="80" t="s">
        <v>1707</v>
      </c>
      <c r="AF158" s="75">
        <v>69</v>
      </c>
      <c r="AG158" s="75">
        <v>37367</v>
      </c>
      <c r="AH158" s="75">
        <v>3503</v>
      </c>
      <c r="AI158" s="75">
        <v>2456</v>
      </c>
      <c r="AJ158" s="75"/>
      <c r="AK158" s="75" t="s">
        <v>2533</v>
      </c>
      <c r="AL158" s="75"/>
      <c r="AM158" s="82" t="str">
        <f>HYPERLINK("https://t.co/oBz1PZafcM")</f>
        <v>https://t.co/oBz1PZafcM</v>
      </c>
      <c r="AN158" s="75"/>
      <c r="AO158" s="77">
        <v>41921.66724537037</v>
      </c>
      <c r="AP158" s="82" t="str">
        <f>HYPERLINK("https://pbs.twimg.com/profile_banners/2819892940/1640014928")</f>
        <v>https://pbs.twimg.com/profile_banners/2819892940/1640014928</v>
      </c>
      <c r="AQ158" s="75" t="b">
        <v>0</v>
      </c>
      <c r="AR158" s="75" t="b">
        <v>0</v>
      </c>
      <c r="AS158" s="75" t="b">
        <v>0</v>
      </c>
      <c r="AT158" s="75"/>
      <c r="AU158" s="75">
        <v>256</v>
      </c>
      <c r="AV158" s="82" t="str">
        <f>HYPERLINK("https://abs.twimg.com/images/themes/theme1/bg.png")</f>
        <v>https://abs.twimg.com/images/themes/theme1/bg.png</v>
      </c>
      <c r="AW158" s="75" t="b">
        <v>0</v>
      </c>
      <c r="AX158" s="75" t="s">
        <v>2845</v>
      </c>
      <c r="AY158" s="82" t="str">
        <f>HYPERLINK("https://twitter.com/stratpol_site")</f>
        <v>https://twitter.com/stratpol_site</v>
      </c>
      <c r="AZ158" s="75" t="s">
        <v>65</v>
      </c>
      <c r="BA158" s="75" t="str">
        <f>REPLACE(INDEX(GroupVertices[Group],MATCH(Vertices[[#This Row],[Vertex]],GroupVertices[Vertex],0)),1,1,"")</f>
        <v>51</v>
      </c>
      <c r="BB158" s="45"/>
      <c r="BC158" s="46"/>
      <c r="BD158" s="45"/>
      <c r="BE158" s="46"/>
      <c r="BF158" s="45"/>
      <c r="BG158" s="46"/>
      <c r="BH158" s="45"/>
      <c r="BI158" s="46"/>
      <c r="BJ158" s="45"/>
      <c r="BK158" s="45"/>
      <c r="BL158" s="45"/>
      <c r="BM158" s="45"/>
      <c r="BN158" s="45"/>
      <c r="BO158" s="45"/>
      <c r="BP158" s="45"/>
      <c r="BQ158" s="45"/>
      <c r="BR158" s="45"/>
      <c r="BS158" s="45"/>
      <c r="BT158" s="45"/>
      <c r="BU158" s="2"/>
    </row>
    <row r="159" spans="1:73" ht="15">
      <c r="A159" s="61" t="s">
        <v>341</v>
      </c>
      <c r="B159" s="62"/>
      <c r="C159" s="62"/>
      <c r="D159" s="63">
        <v>100</v>
      </c>
      <c r="E159" s="65"/>
      <c r="F159" s="99" t="str">
        <f>HYPERLINK("https://pbs.twimg.com/profile_images/966361461571424258/nbh3lGWJ_normal.jpg")</f>
        <v>https://pbs.twimg.com/profile_images/966361461571424258/nbh3lGWJ_normal.jpg</v>
      </c>
      <c r="G159" s="62"/>
      <c r="H159" s="66" t="s">
        <v>341</v>
      </c>
      <c r="I159" s="67"/>
      <c r="J159" s="67"/>
      <c r="K159" s="66" t="s">
        <v>3001</v>
      </c>
      <c r="L159" s="70">
        <v>1</v>
      </c>
      <c r="M159" s="71">
        <v>6535.931640625</v>
      </c>
      <c r="N159" s="71">
        <v>913.3701782226562</v>
      </c>
      <c r="O159" s="72"/>
      <c r="P159" s="73"/>
      <c r="Q159" s="73"/>
      <c r="R159" s="85"/>
      <c r="S159" s="45">
        <v>0</v>
      </c>
      <c r="T159" s="45">
        <v>1</v>
      </c>
      <c r="U159" s="46">
        <v>0</v>
      </c>
      <c r="V159" s="46">
        <v>0.005505</v>
      </c>
      <c r="W159" s="46">
        <v>0</v>
      </c>
      <c r="X159" s="46">
        <v>0.00274</v>
      </c>
      <c r="Y159" s="46">
        <v>0</v>
      </c>
      <c r="Z159" s="46">
        <v>0</v>
      </c>
      <c r="AA159" s="68">
        <v>159</v>
      </c>
      <c r="AB159" s="68"/>
      <c r="AC159" s="69"/>
      <c r="AD159" s="75" t="s">
        <v>1993</v>
      </c>
      <c r="AE159" s="80" t="s">
        <v>2283</v>
      </c>
      <c r="AF159" s="75">
        <v>9645</v>
      </c>
      <c r="AG159" s="75">
        <v>10206</v>
      </c>
      <c r="AH159" s="75">
        <v>283440</v>
      </c>
      <c r="AI159" s="75">
        <v>186752</v>
      </c>
      <c r="AJ159" s="75"/>
      <c r="AK159" s="75" t="s">
        <v>2534</v>
      </c>
      <c r="AL159" s="75" t="s">
        <v>2758</v>
      </c>
      <c r="AM159" s="75"/>
      <c r="AN159" s="75"/>
      <c r="AO159" s="77">
        <v>42300.9666087963</v>
      </c>
      <c r="AP159" s="82" t="str">
        <f>HYPERLINK("https://pbs.twimg.com/profile_banners/4027552414/1448122496")</f>
        <v>https://pbs.twimg.com/profile_banners/4027552414/1448122496</v>
      </c>
      <c r="AQ159" s="75" t="b">
        <v>1</v>
      </c>
      <c r="AR159" s="75" t="b">
        <v>0</v>
      </c>
      <c r="AS159" s="75" t="b">
        <v>1</v>
      </c>
      <c r="AT159" s="75"/>
      <c r="AU159" s="75">
        <v>124</v>
      </c>
      <c r="AV159" s="82" t="str">
        <f>HYPERLINK("https://abs.twimg.com/images/themes/theme1/bg.png")</f>
        <v>https://abs.twimg.com/images/themes/theme1/bg.png</v>
      </c>
      <c r="AW159" s="75" t="b">
        <v>0</v>
      </c>
      <c r="AX159" s="75" t="s">
        <v>2845</v>
      </c>
      <c r="AY159" s="82" t="str">
        <f>HYPERLINK("https://twitter.com/edisabela1")</f>
        <v>https://twitter.com/edisabela1</v>
      </c>
      <c r="AZ159" s="75" t="s">
        <v>66</v>
      </c>
      <c r="BA159" s="75" t="str">
        <f>REPLACE(INDEX(GroupVertices[Group],MATCH(Vertices[[#This Row],[Vertex]],GroupVertices[Vertex],0)),1,1,"")</f>
        <v>28</v>
      </c>
      <c r="BB159" s="45">
        <v>0</v>
      </c>
      <c r="BC159" s="46">
        <v>0</v>
      </c>
      <c r="BD159" s="45">
        <v>0</v>
      </c>
      <c r="BE159" s="46">
        <v>0</v>
      </c>
      <c r="BF159" s="45">
        <v>0</v>
      </c>
      <c r="BG159" s="46">
        <v>0</v>
      </c>
      <c r="BH159" s="45">
        <v>24</v>
      </c>
      <c r="BI159" s="46">
        <v>100</v>
      </c>
      <c r="BJ159" s="45">
        <v>24</v>
      </c>
      <c r="BK159" s="45"/>
      <c r="BL159" s="45"/>
      <c r="BM159" s="45"/>
      <c r="BN159" s="45"/>
      <c r="BO159" s="45" t="s">
        <v>818</v>
      </c>
      <c r="BP159" s="45" t="s">
        <v>818</v>
      </c>
      <c r="BQ159" s="110" t="s">
        <v>4127</v>
      </c>
      <c r="BR159" s="110" t="s">
        <v>4127</v>
      </c>
      <c r="BS159" s="110" t="s">
        <v>4262</v>
      </c>
      <c r="BT159" s="110" t="s">
        <v>4262</v>
      </c>
      <c r="BU159" s="2"/>
    </row>
    <row r="160" spans="1:73" ht="15">
      <c r="A160" s="61" t="s">
        <v>342</v>
      </c>
      <c r="B160" s="62"/>
      <c r="C160" s="62"/>
      <c r="D160" s="63">
        <v>100</v>
      </c>
      <c r="E160" s="65"/>
      <c r="F160" s="99" t="str">
        <f>HYPERLINK("https://pbs.twimg.com/profile_images/1508764240458493952/5J2ZkSjS_normal.jpg")</f>
        <v>https://pbs.twimg.com/profile_images/1508764240458493952/5J2ZkSjS_normal.jpg</v>
      </c>
      <c r="G160" s="62"/>
      <c r="H160" s="66" t="s">
        <v>342</v>
      </c>
      <c r="I160" s="67"/>
      <c r="J160" s="67"/>
      <c r="K160" s="66" t="s">
        <v>3002</v>
      </c>
      <c r="L160" s="70">
        <v>1</v>
      </c>
      <c r="M160" s="71">
        <v>1505.9468994140625</v>
      </c>
      <c r="N160" s="71">
        <v>993.4903564453125</v>
      </c>
      <c r="O160" s="72"/>
      <c r="P160" s="73"/>
      <c r="Q160" s="73"/>
      <c r="R160" s="85"/>
      <c r="S160" s="45">
        <v>1</v>
      </c>
      <c r="T160" s="45">
        <v>1</v>
      </c>
      <c r="U160" s="46">
        <v>0</v>
      </c>
      <c r="V160" s="46">
        <v>0</v>
      </c>
      <c r="W160" s="46">
        <v>0</v>
      </c>
      <c r="X160" s="46">
        <v>0.003049</v>
      </c>
      <c r="Y160" s="46">
        <v>0</v>
      </c>
      <c r="Z160" s="46">
        <v>0</v>
      </c>
      <c r="AA160" s="68">
        <v>160</v>
      </c>
      <c r="AB160" s="68"/>
      <c r="AC160" s="69"/>
      <c r="AD160" s="75" t="s">
        <v>1994</v>
      </c>
      <c r="AE160" s="80" t="s">
        <v>2284</v>
      </c>
      <c r="AF160" s="75">
        <v>973</v>
      </c>
      <c r="AG160" s="75">
        <v>1178</v>
      </c>
      <c r="AH160" s="75">
        <v>17720</v>
      </c>
      <c r="AI160" s="75">
        <v>108175</v>
      </c>
      <c r="AJ160" s="75"/>
      <c r="AK160" s="75" t="s">
        <v>2535</v>
      </c>
      <c r="AL160" s="75" t="s">
        <v>2759</v>
      </c>
      <c r="AM160" s="75"/>
      <c r="AN160" s="75"/>
      <c r="AO160" s="77">
        <v>42256.43583333334</v>
      </c>
      <c r="AP160" s="82" t="str">
        <f>HYPERLINK("https://pbs.twimg.com/profile_banners/3597451816/1550096667")</f>
        <v>https://pbs.twimg.com/profile_banners/3597451816/1550096667</v>
      </c>
      <c r="AQ160" s="75" t="b">
        <v>1</v>
      </c>
      <c r="AR160" s="75" t="b">
        <v>0</v>
      </c>
      <c r="AS160" s="75" t="b">
        <v>1</v>
      </c>
      <c r="AT160" s="75"/>
      <c r="AU160" s="75">
        <v>6</v>
      </c>
      <c r="AV160" s="82" t="str">
        <f>HYPERLINK("https://abs.twimg.com/images/themes/theme1/bg.png")</f>
        <v>https://abs.twimg.com/images/themes/theme1/bg.png</v>
      </c>
      <c r="AW160" s="75" t="b">
        <v>0</v>
      </c>
      <c r="AX160" s="75" t="s">
        <v>2845</v>
      </c>
      <c r="AY160" s="82" t="str">
        <f>HYPERLINK("https://twitter.com/gerasimos2016")</f>
        <v>https://twitter.com/gerasimos2016</v>
      </c>
      <c r="AZ160" s="75" t="s">
        <v>66</v>
      </c>
      <c r="BA160" s="75" t="str">
        <f>REPLACE(INDEX(GroupVertices[Group],MATCH(Vertices[[#This Row],[Vertex]],GroupVertices[Vertex],0)),1,1,"")</f>
        <v>2</v>
      </c>
      <c r="BB160" s="45">
        <v>0</v>
      </c>
      <c r="BC160" s="46">
        <v>0</v>
      </c>
      <c r="BD160" s="45">
        <v>0</v>
      </c>
      <c r="BE160" s="46">
        <v>0</v>
      </c>
      <c r="BF160" s="45">
        <v>0</v>
      </c>
      <c r="BG160" s="46">
        <v>0</v>
      </c>
      <c r="BH160" s="45">
        <v>29</v>
      </c>
      <c r="BI160" s="46">
        <v>100</v>
      </c>
      <c r="BJ160" s="45">
        <v>29</v>
      </c>
      <c r="BK160" s="45"/>
      <c r="BL160" s="45"/>
      <c r="BM160" s="45"/>
      <c r="BN160" s="45"/>
      <c r="BO160" s="45" t="s">
        <v>825</v>
      </c>
      <c r="BP160" s="45" t="s">
        <v>825</v>
      </c>
      <c r="BQ160" s="110" t="s">
        <v>4480</v>
      </c>
      <c r="BR160" s="110" t="s">
        <v>4480</v>
      </c>
      <c r="BS160" s="110" t="s">
        <v>4598</v>
      </c>
      <c r="BT160" s="110" t="s">
        <v>4598</v>
      </c>
      <c r="BU160" s="2"/>
    </row>
    <row r="161" spans="1:73" ht="15">
      <c r="A161" s="61" t="s">
        <v>343</v>
      </c>
      <c r="B161" s="62"/>
      <c r="C161" s="62"/>
      <c r="D161" s="63">
        <v>100</v>
      </c>
      <c r="E161" s="65"/>
      <c r="F161" s="99" t="str">
        <f>HYPERLINK("https://pbs.twimg.com/profile_images/1378351175867772930/4wwCmQbY_normal.jpg")</f>
        <v>https://pbs.twimg.com/profile_images/1378351175867772930/4wwCmQbY_normal.jpg</v>
      </c>
      <c r="G161" s="62"/>
      <c r="H161" s="66" t="s">
        <v>343</v>
      </c>
      <c r="I161" s="67"/>
      <c r="J161" s="67"/>
      <c r="K161" s="66" t="s">
        <v>3003</v>
      </c>
      <c r="L161" s="70">
        <v>1</v>
      </c>
      <c r="M161" s="71">
        <v>9182.0087890625</v>
      </c>
      <c r="N161" s="71">
        <v>5592.3896484375</v>
      </c>
      <c r="O161" s="72"/>
      <c r="P161" s="73"/>
      <c r="Q161" s="73"/>
      <c r="R161" s="85"/>
      <c r="S161" s="45">
        <v>0</v>
      </c>
      <c r="T161" s="45">
        <v>1</v>
      </c>
      <c r="U161" s="46">
        <v>0</v>
      </c>
      <c r="V161" s="46">
        <v>0.003058</v>
      </c>
      <c r="W161" s="46">
        <v>0</v>
      </c>
      <c r="X161" s="46">
        <v>0.003049</v>
      </c>
      <c r="Y161" s="46">
        <v>0</v>
      </c>
      <c r="Z161" s="46">
        <v>0</v>
      </c>
      <c r="AA161" s="68">
        <v>161</v>
      </c>
      <c r="AB161" s="68"/>
      <c r="AC161" s="69"/>
      <c r="AD161" s="75" t="s">
        <v>1995</v>
      </c>
      <c r="AE161" s="80" t="s">
        <v>2285</v>
      </c>
      <c r="AF161" s="75">
        <v>600</v>
      </c>
      <c r="AG161" s="75">
        <v>693</v>
      </c>
      <c r="AH161" s="75">
        <v>11028</v>
      </c>
      <c r="AI161" s="75">
        <v>21125</v>
      </c>
      <c r="AJ161" s="75"/>
      <c r="AK161" s="75" t="s">
        <v>2536</v>
      </c>
      <c r="AL161" s="75" t="s">
        <v>2760</v>
      </c>
      <c r="AM161" s="75"/>
      <c r="AN161" s="75"/>
      <c r="AO161" s="77">
        <v>42445.734189814815</v>
      </c>
      <c r="AP161" s="82" t="str">
        <f>HYPERLINK("https://pbs.twimg.com/profile_banners/710157995263565824/1473185797")</f>
        <v>https://pbs.twimg.com/profile_banners/710157995263565824/1473185797</v>
      </c>
      <c r="AQ161" s="75" t="b">
        <v>1</v>
      </c>
      <c r="AR161" s="75" t="b">
        <v>0</v>
      </c>
      <c r="AS161" s="75" t="b">
        <v>1</v>
      </c>
      <c r="AT161" s="75"/>
      <c r="AU161" s="75">
        <v>2</v>
      </c>
      <c r="AV161" s="75"/>
      <c r="AW161" s="75" t="b">
        <v>0</v>
      </c>
      <c r="AX161" s="75" t="s">
        <v>2845</v>
      </c>
      <c r="AY161" s="82" t="str">
        <f>HYPERLINK("https://twitter.com/aleksandarcbl")</f>
        <v>https://twitter.com/aleksandarcbl</v>
      </c>
      <c r="AZ161" s="75" t="s">
        <v>66</v>
      </c>
      <c r="BA161" s="75" t="str">
        <f>REPLACE(INDEX(GroupVertices[Group],MATCH(Vertices[[#This Row],[Vertex]],GroupVertices[Vertex],0)),1,1,"")</f>
        <v>50</v>
      </c>
      <c r="BB161" s="45">
        <v>3</v>
      </c>
      <c r="BC161" s="46">
        <v>30</v>
      </c>
      <c r="BD161" s="45">
        <v>0</v>
      </c>
      <c r="BE161" s="46">
        <v>0</v>
      </c>
      <c r="BF161" s="45">
        <v>0</v>
      </c>
      <c r="BG161" s="46">
        <v>0</v>
      </c>
      <c r="BH161" s="45">
        <v>7</v>
      </c>
      <c r="BI161" s="46">
        <v>70</v>
      </c>
      <c r="BJ161" s="45">
        <v>10</v>
      </c>
      <c r="BK161" s="45"/>
      <c r="BL161" s="45"/>
      <c r="BM161" s="45"/>
      <c r="BN161" s="45"/>
      <c r="BO161" s="45" t="s">
        <v>795</v>
      </c>
      <c r="BP161" s="45" t="s">
        <v>795</v>
      </c>
      <c r="BQ161" s="110" t="s">
        <v>4481</v>
      </c>
      <c r="BR161" s="110" t="s">
        <v>4481</v>
      </c>
      <c r="BS161" s="110" t="s">
        <v>4599</v>
      </c>
      <c r="BT161" s="110" t="s">
        <v>4599</v>
      </c>
      <c r="BU161" s="2"/>
    </row>
    <row r="162" spans="1:73" ht="15">
      <c r="A162" s="61" t="s">
        <v>499</v>
      </c>
      <c r="B162" s="62"/>
      <c r="C162" s="62"/>
      <c r="D162" s="63">
        <v>100</v>
      </c>
      <c r="E162" s="65"/>
      <c r="F162" s="99" t="str">
        <f>HYPERLINK("https://pbs.twimg.com/profile_images/1567704552283193345/wMLFemzm_normal.jpg")</f>
        <v>https://pbs.twimg.com/profile_images/1567704552283193345/wMLFemzm_normal.jpg</v>
      </c>
      <c r="G162" s="62"/>
      <c r="H162" s="66" t="s">
        <v>499</v>
      </c>
      <c r="I162" s="67"/>
      <c r="J162" s="67"/>
      <c r="K162" s="66" t="s">
        <v>3004</v>
      </c>
      <c r="L162" s="70">
        <v>1</v>
      </c>
      <c r="M162" s="71">
        <v>9182.0087890625</v>
      </c>
      <c r="N162" s="71">
        <v>5880.822265625</v>
      </c>
      <c r="O162" s="72"/>
      <c r="P162" s="73"/>
      <c r="Q162" s="73"/>
      <c r="R162" s="85"/>
      <c r="S162" s="45">
        <v>1</v>
      </c>
      <c r="T162" s="45">
        <v>0</v>
      </c>
      <c r="U162" s="46">
        <v>0</v>
      </c>
      <c r="V162" s="46">
        <v>0.003058</v>
      </c>
      <c r="W162" s="46">
        <v>0</v>
      </c>
      <c r="X162" s="46">
        <v>0.003049</v>
      </c>
      <c r="Y162" s="46">
        <v>0</v>
      </c>
      <c r="Z162" s="46">
        <v>0</v>
      </c>
      <c r="AA162" s="68">
        <v>162</v>
      </c>
      <c r="AB162" s="68"/>
      <c r="AC162" s="69"/>
      <c r="AD162" s="75" t="s">
        <v>1996</v>
      </c>
      <c r="AE162" s="80" t="s">
        <v>1708</v>
      </c>
      <c r="AF162" s="75">
        <v>843</v>
      </c>
      <c r="AG162" s="75">
        <v>69541</v>
      </c>
      <c r="AH162" s="75">
        <v>7462</v>
      </c>
      <c r="AI162" s="75">
        <v>4111</v>
      </c>
      <c r="AJ162" s="75"/>
      <c r="AK162" s="75" t="s">
        <v>2537</v>
      </c>
      <c r="AL162" s="75" t="s">
        <v>2728</v>
      </c>
      <c r="AM162" s="82" t="str">
        <f>HYPERLINK("https://t.co/xcyQcei7iA")</f>
        <v>https://t.co/xcyQcei7iA</v>
      </c>
      <c r="AN162" s="75"/>
      <c r="AO162" s="77">
        <v>43664.74582175926</v>
      </c>
      <c r="AP162" s="82" t="str">
        <f>HYPERLINK("https://pbs.twimg.com/profile_banners/1151913018936053760/1662843741")</f>
        <v>https://pbs.twimg.com/profile_banners/1151913018936053760/1662843741</v>
      </c>
      <c r="AQ162" s="75" t="b">
        <v>1</v>
      </c>
      <c r="AR162" s="75" t="b">
        <v>0</v>
      </c>
      <c r="AS162" s="75" t="b">
        <v>1</v>
      </c>
      <c r="AT162" s="75"/>
      <c r="AU162" s="75">
        <v>557</v>
      </c>
      <c r="AV162" s="75"/>
      <c r="AW162" s="75" t="b">
        <v>0</v>
      </c>
      <c r="AX162" s="75" t="s">
        <v>2845</v>
      </c>
      <c r="AY162" s="82" t="str">
        <f>HYPERLINK("https://twitter.com/jacksonhinklle")</f>
        <v>https://twitter.com/jacksonhinklle</v>
      </c>
      <c r="AZ162" s="75" t="s">
        <v>65</v>
      </c>
      <c r="BA162" s="75" t="str">
        <f>REPLACE(INDEX(GroupVertices[Group],MATCH(Vertices[[#This Row],[Vertex]],GroupVertices[Vertex],0)),1,1,"")</f>
        <v>50</v>
      </c>
      <c r="BB162" s="45"/>
      <c r="BC162" s="46"/>
      <c r="BD162" s="45"/>
      <c r="BE162" s="46"/>
      <c r="BF162" s="45"/>
      <c r="BG162" s="46"/>
      <c r="BH162" s="45"/>
      <c r="BI162" s="46"/>
      <c r="BJ162" s="45"/>
      <c r="BK162" s="45"/>
      <c r="BL162" s="45"/>
      <c r="BM162" s="45"/>
      <c r="BN162" s="45"/>
      <c r="BO162" s="45"/>
      <c r="BP162" s="45"/>
      <c r="BQ162" s="45"/>
      <c r="BR162" s="45"/>
      <c r="BS162" s="45"/>
      <c r="BT162" s="45"/>
      <c r="BU162" s="2"/>
    </row>
    <row r="163" spans="1:73" ht="15">
      <c r="A163" s="61" t="s">
        <v>344</v>
      </c>
      <c r="B163" s="62"/>
      <c r="C163" s="62"/>
      <c r="D163" s="63">
        <v>100</v>
      </c>
      <c r="E163" s="65"/>
      <c r="F163" s="99" t="str">
        <f>HYPERLINK("https://abs.twimg.com/sticky/default_profile_images/default_profile_normal.png")</f>
        <v>https://abs.twimg.com/sticky/default_profile_images/default_profile_normal.png</v>
      </c>
      <c r="G163" s="62"/>
      <c r="H163" s="66" t="s">
        <v>344</v>
      </c>
      <c r="I163" s="67"/>
      <c r="J163" s="67"/>
      <c r="K163" s="66" t="s">
        <v>3005</v>
      </c>
      <c r="L163" s="70">
        <v>1</v>
      </c>
      <c r="M163" s="71">
        <v>3262.5947265625</v>
      </c>
      <c r="N163" s="71">
        <v>7047.2509765625</v>
      </c>
      <c r="O163" s="72"/>
      <c r="P163" s="73"/>
      <c r="Q163" s="73"/>
      <c r="R163" s="85"/>
      <c r="S163" s="45">
        <v>0</v>
      </c>
      <c r="T163" s="45">
        <v>1</v>
      </c>
      <c r="U163" s="46">
        <v>0</v>
      </c>
      <c r="V163" s="46">
        <v>0.071498</v>
      </c>
      <c r="W163" s="46">
        <v>0.030733</v>
      </c>
      <c r="X163" s="46">
        <v>0.002664</v>
      </c>
      <c r="Y163" s="46">
        <v>0</v>
      </c>
      <c r="Z163" s="46">
        <v>0</v>
      </c>
      <c r="AA163" s="68">
        <v>163</v>
      </c>
      <c r="AB163" s="68"/>
      <c r="AC163" s="69"/>
      <c r="AD163" s="75" t="s">
        <v>1997</v>
      </c>
      <c r="AE163" s="80" t="s">
        <v>2286</v>
      </c>
      <c r="AF163" s="75">
        <v>344</v>
      </c>
      <c r="AG163" s="75">
        <v>34</v>
      </c>
      <c r="AH163" s="75">
        <v>9839</v>
      </c>
      <c r="AI163" s="75">
        <v>17250</v>
      </c>
      <c r="AJ163" s="75"/>
      <c r="AK163" s="75"/>
      <c r="AL163" s="75"/>
      <c r="AM163" s="75"/>
      <c r="AN163" s="75"/>
      <c r="AO163" s="77">
        <v>43431.67512731482</v>
      </c>
      <c r="AP163" s="75"/>
      <c r="AQ163" s="75" t="b">
        <v>1</v>
      </c>
      <c r="AR163" s="75" t="b">
        <v>1</v>
      </c>
      <c r="AS163" s="75" t="b">
        <v>0</v>
      </c>
      <c r="AT163" s="75"/>
      <c r="AU163" s="75">
        <v>1</v>
      </c>
      <c r="AV163" s="75"/>
      <c r="AW163" s="75" t="b">
        <v>0</v>
      </c>
      <c r="AX163" s="75" t="s">
        <v>2845</v>
      </c>
      <c r="AY163" s="82" t="str">
        <f>HYPERLINK("https://twitter.com/levent42402926")</f>
        <v>https://twitter.com/levent42402926</v>
      </c>
      <c r="AZ163" s="75" t="s">
        <v>66</v>
      </c>
      <c r="BA163" s="75" t="str">
        <f>REPLACE(INDEX(GroupVertices[Group],MATCH(Vertices[[#This Row],[Vertex]],GroupVertices[Vertex],0)),1,1,"")</f>
        <v>3</v>
      </c>
      <c r="BB163" s="45">
        <v>0</v>
      </c>
      <c r="BC163" s="46">
        <v>0</v>
      </c>
      <c r="BD163" s="45">
        <v>0</v>
      </c>
      <c r="BE163" s="46">
        <v>0</v>
      </c>
      <c r="BF163" s="45">
        <v>0</v>
      </c>
      <c r="BG163" s="46">
        <v>0</v>
      </c>
      <c r="BH163" s="45">
        <v>20</v>
      </c>
      <c r="BI163" s="46">
        <v>100</v>
      </c>
      <c r="BJ163" s="45">
        <v>20</v>
      </c>
      <c r="BK163" s="45"/>
      <c r="BL163" s="45"/>
      <c r="BM163" s="45"/>
      <c r="BN163" s="45"/>
      <c r="BO163" s="45" t="s">
        <v>819</v>
      </c>
      <c r="BP163" s="45" t="s">
        <v>819</v>
      </c>
      <c r="BQ163" s="110" t="s">
        <v>4482</v>
      </c>
      <c r="BR163" s="110" t="s">
        <v>4482</v>
      </c>
      <c r="BS163" s="110" t="s">
        <v>4600</v>
      </c>
      <c r="BT163" s="110" t="s">
        <v>4600</v>
      </c>
      <c r="BU163" s="2"/>
    </row>
    <row r="164" spans="1:73" ht="15">
      <c r="A164" s="61" t="s">
        <v>345</v>
      </c>
      <c r="B164" s="62"/>
      <c r="C164" s="62"/>
      <c r="D164" s="63">
        <v>100</v>
      </c>
      <c r="E164" s="65"/>
      <c r="F164" s="99" t="str">
        <f>HYPERLINK("https://pbs.twimg.com/profile_images/1506398690138853381/B7vcxZJj_normal.jpg")</f>
        <v>https://pbs.twimg.com/profile_images/1506398690138853381/B7vcxZJj_normal.jpg</v>
      </c>
      <c r="G164" s="62"/>
      <c r="H164" s="66" t="s">
        <v>345</v>
      </c>
      <c r="I164" s="67"/>
      <c r="J164" s="67"/>
      <c r="K164" s="66" t="s">
        <v>3006</v>
      </c>
      <c r="L164" s="70">
        <v>1</v>
      </c>
      <c r="M164" s="71">
        <v>1786.40673828125</v>
      </c>
      <c r="N164" s="71">
        <v>993.4903564453125</v>
      </c>
      <c r="O164" s="72"/>
      <c r="P164" s="73"/>
      <c r="Q164" s="73"/>
      <c r="R164" s="85"/>
      <c r="S164" s="45">
        <v>1</v>
      </c>
      <c r="T164" s="45">
        <v>1</v>
      </c>
      <c r="U164" s="46">
        <v>0</v>
      </c>
      <c r="V164" s="46">
        <v>0</v>
      </c>
      <c r="W164" s="46">
        <v>0</v>
      </c>
      <c r="X164" s="46">
        <v>0.003049</v>
      </c>
      <c r="Y164" s="46">
        <v>0</v>
      </c>
      <c r="Z164" s="46">
        <v>0</v>
      </c>
      <c r="AA164" s="68">
        <v>164</v>
      </c>
      <c r="AB164" s="68"/>
      <c r="AC164" s="69"/>
      <c r="AD164" s="75" t="s">
        <v>1998</v>
      </c>
      <c r="AE164" s="80" t="s">
        <v>2287</v>
      </c>
      <c r="AF164" s="75">
        <v>37</v>
      </c>
      <c r="AG164" s="75">
        <v>3</v>
      </c>
      <c r="AH164" s="75">
        <v>38</v>
      </c>
      <c r="AI164" s="75">
        <v>95</v>
      </c>
      <c r="AJ164" s="75"/>
      <c r="AK164" s="75" t="s">
        <v>2538</v>
      </c>
      <c r="AL164" s="75"/>
      <c r="AM164" s="82" t="str">
        <f>HYPERLINK("https://t.co/s4VtJUw3xM")</f>
        <v>https://t.co/s4VtJUw3xM</v>
      </c>
      <c r="AN164" s="75"/>
      <c r="AO164" s="77">
        <v>44623.54791666667</v>
      </c>
      <c r="AP164" s="82" t="str">
        <f>HYPERLINK("https://pbs.twimg.com/profile_banners/1499371143257628672/1647988740")</f>
        <v>https://pbs.twimg.com/profile_banners/1499371143257628672/1647988740</v>
      </c>
      <c r="AQ164" s="75" t="b">
        <v>1</v>
      </c>
      <c r="AR164" s="75" t="b">
        <v>0</v>
      </c>
      <c r="AS164" s="75" t="b">
        <v>0</v>
      </c>
      <c r="AT164" s="75"/>
      <c r="AU164" s="75">
        <v>1</v>
      </c>
      <c r="AV164" s="75"/>
      <c r="AW164" s="75" t="b">
        <v>0</v>
      </c>
      <c r="AX164" s="75" t="s">
        <v>2845</v>
      </c>
      <c r="AY164" s="82" t="str">
        <f>HYPERLINK("https://twitter.com/urlodellavolpe")</f>
        <v>https://twitter.com/urlodellavolpe</v>
      </c>
      <c r="AZ164" s="75" t="s">
        <v>66</v>
      </c>
      <c r="BA164" s="75" t="str">
        <f>REPLACE(INDEX(GroupVertices[Group],MATCH(Vertices[[#This Row],[Vertex]],GroupVertices[Vertex],0)),1,1,"")</f>
        <v>2</v>
      </c>
      <c r="BB164" s="45">
        <v>0</v>
      </c>
      <c r="BC164" s="46">
        <v>0</v>
      </c>
      <c r="BD164" s="45">
        <v>0</v>
      </c>
      <c r="BE164" s="46">
        <v>0</v>
      </c>
      <c r="BF164" s="45">
        <v>0</v>
      </c>
      <c r="BG164" s="46">
        <v>0</v>
      </c>
      <c r="BH164" s="45">
        <v>34</v>
      </c>
      <c r="BI164" s="46">
        <v>100</v>
      </c>
      <c r="BJ164" s="45">
        <v>34</v>
      </c>
      <c r="BK164" s="45" t="s">
        <v>4395</v>
      </c>
      <c r="BL164" s="45" t="s">
        <v>4395</v>
      </c>
      <c r="BM164" s="45" t="s">
        <v>786</v>
      </c>
      <c r="BN164" s="45" t="s">
        <v>786</v>
      </c>
      <c r="BO164" s="45" t="s">
        <v>795</v>
      </c>
      <c r="BP164" s="45" t="s">
        <v>795</v>
      </c>
      <c r="BQ164" s="110" t="s">
        <v>4483</v>
      </c>
      <c r="BR164" s="110" t="s">
        <v>4483</v>
      </c>
      <c r="BS164" s="110" t="s">
        <v>4601</v>
      </c>
      <c r="BT164" s="110" t="s">
        <v>4601</v>
      </c>
      <c r="BU164" s="2"/>
    </row>
    <row r="165" spans="1:73" ht="15">
      <c r="A165" s="61" t="s">
        <v>346</v>
      </c>
      <c r="B165" s="62"/>
      <c r="C165" s="62"/>
      <c r="D165" s="63">
        <v>100</v>
      </c>
      <c r="E165" s="65"/>
      <c r="F165" s="99" t="str">
        <f>HYPERLINK("https://pbs.twimg.com/profile_images/1569479752481705984/J9kQP_4l_normal.jpg")</f>
        <v>https://pbs.twimg.com/profile_images/1569479752481705984/J9kQP_4l_normal.jpg</v>
      </c>
      <c r="G165" s="62"/>
      <c r="H165" s="66" t="s">
        <v>346</v>
      </c>
      <c r="I165" s="67"/>
      <c r="J165" s="67"/>
      <c r="K165" s="66" t="s">
        <v>3007</v>
      </c>
      <c r="L165" s="70">
        <v>1</v>
      </c>
      <c r="M165" s="71">
        <v>384.1079406738281</v>
      </c>
      <c r="N165" s="71">
        <v>993.4903564453125</v>
      </c>
      <c r="O165" s="72"/>
      <c r="P165" s="73"/>
      <c r="Q165" s="73"/>
      <c r="R165" s="85"/>
      <c r="S165" s="45">
        <v>1</v>
      </c>
      <c r="T165" s="45">
        <v>1</v>
      </c>
      <c r="U165" s="46">
        <v>0</v>
      </c>
      <c r="V165" s="46">
        <v>0</v>
      </c>
      <c r="W165" s="46">
        <v>0</v>
      </c>
      <c r="X165" s="46">
        <v>0.003049</v>
      </c>
      <c r="Y165" s="46">
        <v>0</v>
      </c>
      <c r="Z165" s="46">
        <v>0</v>
      </c>
      <c r="AA165" s="68">
        <v>165</v>
      </c>
      <c r="AB165" s="68"/>
      <c r="AC165" s="69"/>
      <c r="AD165" s="75" t="s">
        <v>1999</v>
      </c>
      <c r="AE165" s="80" t="s">
        <v>2288</v>
      </c>
      <c r="AF165" s="75">
        <v>13</v>
      </c>
      <c r="AG165" s="75">
        <v>7</v>
      </c>
      <c r="AH165" s="75">
        <v>268</v>
      </c>
      <c r="AI165" s="75">
        <v>0</v>
      </c>
      <c r="AJ165" s="75"/>
      <c r="AK165" s="75" t="s">
        <v>2539</v>
      </c>
      <c r="AL165" s="75" t="s">
        <v>2761</v>
      </c>
      <c r="AM165" s="75"/>
      <c r="AN165" s="75"/>
      <c r="AO165" s="77">
        <v>44810.57362268519</v>
      </c>
      <c r="AP165" s="82" t="str">
        <f>HYPERLINK("https://pbs.twimg.com/profile_banners/1567147021198565381/1663030418")</f>
        <v>https://pbs.twimg.com/profile_banners/1567147021198565381/1663030418</v>
      </c>
      <c r="AQ165" s="75" t="b">
        <v>1</v>
      </c>
      <c r="AR165" s="75" t="b">
        <v>0</v>
      </c>
      <c r="AS165" s="75" t="b">
        <v>1</v>
      </c>
      <c r="AT165" s="75"/>
      <c r="AU165" s="75">
        <v>0</v>
      </c>
      <c r="AV165" s="75"/>
      <c r="AW165" s="75" t="b">
        <v>0</v>
      </c>
      <c r="AX165" s="75" t="s">
        <v>2845</v>
      </c>
      <c r="AY165" s="82" t="str">
        <f>HYPERLINK("https://twitter.com/terrorsyndicate")</f>
        <v>https://twitter.com/terrorsyndicate</v>
      </c>
      <c r="AZ165" s="75" t="s">
        <v>66</v>
      </c>
      <c r="BA165" s="75" t="str">
        <f>REPLACE(INDEX(GroupVertices[Group],MATCH(Vertices[[#This Row],[Vertex]],GroupVertices[Vertex],0)),1,1,"")</f>
        <v>2</v>
      </c>
      <c r="BB165" s="45">
        <v>0</v>
      </c>
      <c r="BC165" s="46">
        <v>0</v>
      </c>
      <c r="BD165" s="45">
        <v>0</v>
      </c>
      <c r="BE165" s="46">
        <v>0</v>
      </c>
      <c r="BF165" s="45">
        <v>0</v>
      </c>
      <c r="BG165" s="46">
        <v>0</v>
      </c>
      <c r="BH165" s="45">
        <v>7</v>
      </c>
      <c r="BI165" s="46">
        <v>100</v>
      </c>
      <c r="BJ165" s="45">
        <v>7</v>
      </c>
      <c r="BK165" s="45"/>
      <c r="BL165" s="45"/>
      <c r="BM165" s="45"/>
      <c r="BN165" s="45"/>
      <c r="BO165" s="45" t="s">
        <v>826</v>
      </c>
      <c r="BP165" s="45" t="s">
        <v>826</v>
      </c>
      <c r="BQ165" s="110" t="s">
        <v>4484</v>
      </c>
      <c r="BR165" s="110" t="s">
        <v>4484</v>
      </c>
      <c r="BS165" s="110" t="s">
        <v>4602</v>
      </c>
      <c r="BT165" s="110" t="s">
        <v>4602</v>
      </c>
      <c r="BU165" s="2"/>
    </row>
    <row r="166" spans="1:73" ht="15">
      <c r="A166" s="61" t="s">
        <v>347</v>
      </c>
      <c r="B166" s="62"/>
      <c r="C166" s="62"/>
      <c r="D166" s="63">
        <v>100</v>
      </c>
      <c r="E166" s="65"/>
      <c r="F166" s="99" t="str">
        <f>HYPERLINK("https://pbs.twimg.com/profile_images/1327258725435006982/FoaJR013_normal.jpg")</f>
        <v>https://pbs.twimg.com/profile_images/1327258725435006982/FoaJR013_normal.jpg</v>
      </c>
      <c r="G166" s="62"/>
      <c r="H166" s="66" t="s">
        <v>347</v>
      </c>
      <c r="I166" s="67"/>
      <c r="J166" s="67"/>
      <c r="K166" s="66" t="s">
        <v>3008</v>
      </c>
      <c r="L166" s="70">
        <v>1</v>
      </c>
      <c r="M166" s="71">
        <v>664.5676879882812</v>
      </c>
      <c r="N166" s="71">
        <v>993.4903564453125</v>
      </c>
      <c r="O166" s="72"/>
      <c r="P166" s="73"/>
      <c r="Q166" s="73"/>
      <c r="R166" s="85"/>
      <c r="S166" s="45">
        <v>1</v>
      </c>
      <c r="T166" s="45">
        <v>1</v>
      </c>
      <c r="U166" s="46">
        <v>0</v>
      </c>
      <c r="V166" s="46">
        <v>0</v>
      </c>
      <c r="W166" s="46">
        <v>0</v>
      </c>
      <c r="X166" s="46">
        <v>0.003049</v>
      </c>
      <c r="Y166" s="46">
        <v>0</v>
      </c>
      <c r="Z166" s="46">
        <v>0</v>
      </c>
      <c r="AA166" s="68">
        <v>166</v>
      </c>
      <c r="AB166" s="68"/>
      <c r="AC166" s="69"/>
      <c r="AD166" s="75" t="s">
        <v>2000</v>
      </c>
      <c r="AE166" s="80" t="s">
        <v>2289</v>
      </c>
      <c r="AF166" s="75">
        <v>383</v>
      </c>
      <c r="AG166" s="75">
        <v>111</v>
      </c>
      <c r="AH166" s="75">
        <v>4994</v>
      </c>
      <c r="AI166" s="75">
        <v>3850</v>
      </c>
      <c r="AJ166" s="75"/>
      <c r="AK166" s="75" t="s">
        <v>2540</v>
      </c>
      <c r="AL166" s="75" t="s">
        <v>2762</v>
      </c>
      <c r="AM166" s="82" t="str">
        <f>HYPERLINK("https://t.co/yw8uE9QImN")</f>
        <v>https://t.co/yw8uE9QImN</v>
      </c>
      <c r="AN166" s="75"/>
      <c r="AO166" s="77">
        <v>39724.03113425926</v>
      </c>
      <c r="AP166" s="82" t="str">
        <f>HYPERLINK("https://pbs.twimg.com/profile_banners/16569996/1647551814")</f>
        <v>https://pbs.twimg.com/profile_banners/16569996/1647551814</v>
      </c>
      <c r="AQ166" s="75" t="b">
        <v>0</v>
      </c>
      <c r="AR166" s="75" t="b">
        <v>0</v>
      </c>
      <c r="AS166" s="75" t="b">
        <v>1</v>
      </c>
      <c r="AT166" s="75"/>
      <c r="AU166" s="75">
        <v>0</v>
      </c>
      <c r="AV166" s="82" t="str">
        <f>HYPERLINK("https://abs.twimg.com/images/themes/theme1/bg.png")</f>
        <v>https://abs.twimg.com/images/themes/theme1/bg.png</v>
      </c>
      <c r="AW166" s="75" t="b">
        <v>0</v>
      </c>
      <c r="AX166" s="75" t="s">
        <v>2845</v>
      </c>
      <c r="AY166" s="82" t="str">
        <f>HYPERLINK("https://twitter.com/jameswmoore")</f>
        <v>https://twitter.com/jameswmoore</v>
      </c>
      <c r="AZ166" s="75" t="s">
        <v>66</v>
      </c>
      <c r="BA166" s="75" t="str">
        <f>REPLACE(INDEX(GroupVertices[Group],MATCH(Vertices[[#This Row],[Vertex]],GroupVertices[Vertex],0)),1,1,"")</f>
        <v>2</v>
      </c>
      <c r="BB166" s="45">
        <v>0</v>
      </c>
      <c r="BC166" s="46">
        <v>0</v>
      </c>
      <c r="BD166" s="45">
        <v>0</v>
      </c>
      <c r="BE166" s="46">
        <v>0</v>
      </c>
      <c r="BF166" s="45">
        <v>0</v>
      </c>
      <c r="BG166" s="46">
        <v>0</v>
      </c>
      <c r="BH166" s="45">
        <v>19</v>
      </c>
      <c r="BI166" s="46">
        <v>100</v>
      </c>
      <c r="BJ166" s="45">
        <v>19</v>
      </c>
      <c r="BK166" s="45"/>
      <c r="BL166" s="45"/>
      <c r="BM166" s="45"/>
      <c r="BN166" s="45"/>
      <c r="BO166" s="45" t="s">
        <v>4414</v>
      </c>
      <c r="BP166" s="45" t="s">
        <v>4414</v>
      </c>
      <c r="BQ166" s="110" t="s">
        <v>4485</v>
      </c>
      <c r="BR166" s="110" t="s">
        <v>4485</v>
      </c>
      <c r="BS166" s="110" t="s">
        <v>4603</v>
      </c>
      <c r="BT166" s="110" t="s">
        <v>4603</v>
      </c>
      <c r="BU166" s="2"/>
    </row>
    <row r="167" spans="1:73" ht="15">
      <c r="A167" s="61" t="s">
        <v>348</v>
      </c>
      <c r="B167" s="62"/>
      <c r="C167" s="62"/>
      <c r="D167" s="63">
        <v>251.5151515151515</v>
      </c>
      <c r="E167" s="65"/>
      <c r="F167" s="99" t="str">
        <f>HYPERLINK("https://pbs.twimg.com/profile_images/1567932810194993155/l414uydv_normal.jpg")</f>
        <v>https://pbs.twimg.com/profile_images/1567932810194993155/l414uydv_normal.jpg</v>
      </c>
      <c r="G167" s="62"/>
      <c r="H167" s="66" t="s">
        <v>348</v>
      </c>
      <c r="I167" s="67"/>
      <c r="J167" s="67"/>
      <c r="K167" s="66" t="s">
        <v>3009</v>
      </c>
      <c r="L167" s="70">
        <v>223.26025317409344</v>
      </c>
      <c r="M167" s="71">
        <v>7199.970703125</v>
      </c>
      <c r="N167" s="71">
        <v>2115.173095703125</v>
      </c>
      <c r="O167" s="72"/>
      <c r="P167" s="73"/>
      <c r="Q167" s="73"/>
      <c r="R167" s="85"/>
      <c r="S167" s="45">
        <v>1</v>
      </c>
      <c r="T167" s="45">
        <v>2</v>
      </c>
      <c r="U167" s="46">
        <v>100</v>
      </c>
      <c r="V167" s="46">
        <v>0.068867</v>
      </c>
      <c r="W167" s="46">
        <v>0.010853</v>
      </c>
      <c r="X167" s="46">
        <v>0.003113</v>
      </c>
      <c r="Y167" s="46">
        <v>0.3333333333333333</v>
      </c>
      <c r="Z167" s="46">
        <v>0</v>
      </c>
      <c r="AA167" s="68">
        <v>167</v>
      </c>
      <c r="AB167" s="68"/>
      <c r="AC167" s="69"/>
      <c r="AD167" s="75" t="s">
        <v>2001</v>
      </c>
      <c r="AE167" s="80" t="s">
        <v>2290</v>
      </c>
      <c r="AF167" s="75">
        <v>1036</v>
      </c>
      <c r="AG167" s="75">
        <v>310</v>
      </c>
      <c r="AH167" s="75">
        <v>3529</v>
      </c>
      <c r="AI167" s="75">
        <v>4297</v>
      </c>
      <c r="AJ167" s="75"/>
      <c r="AK167" s="75" t="s">
        <v>2541</v>
      </c>
      <c r="AL167" s="75" t="s">
        <v>2763</v>
      </c>
      <c r="AM167" s="82" t="str">
        <f>HYPERLINK("https://t.co/kDIzcwX97K")</f>
        <v>https://t.co/kDIzcwX97K</v>
      </c>
      <c r="AN167" s="75"/>
      <c r="AO167" s="77">
        <v>40156.451516203706</v>
      </c>
      <c r="AP167" s="82" t="str">
        <f>HYPERLINK("https://pbs.twimg.com/profile_banners/95621704/1512100138")</f>
        <v>https://pbs.twimg.com/profile_banners/95621704/1512100138</v>
      </c>
      <c r="AQ167" s="75" t="b">
        <v>0</v>
      </c>
      <c r="AR167" s="75" t="b">
        <v>0</v>
      </c>
      <c r="AS167" s="75" t="b">
        <v>1</v>
      </c>
      <c r="AT167" s="75"/>
      <c r="AU167" s="75">
        <v>2</v>
      </c>
      <c r="AV167" s="82" t="str">
        <f>HYPERLINK("https://abs.twimg.com/images/themes/theme7/bg.gif")</f>
        <v>https://abs.twimg.com/images/themes/theme7/bg.gif</v>
      </c>
      <c r="AW167" s="75" t="b">
        <v>0</v>
      </c>
      <c r="AX167" s="75" t="s">
        <v>2845</v>
      </c>
      <c r="AY167" s="82" t="str">
        <f>HYPERLINK("https://twitter.com/spicymanit")</f>
        <v>https://twitter.com/spicymanit</v>
      </c>
      <c r="AZ167" s="75" t="s">
        <v>66</v>
      </c>
      <c r="BA167" s="75" t="str">
        <f>REPLACE(INDEX(GroupVertices[Group],MATCH(Vertices[[#This Row],[Vertex]],GroupVertices[Vertex],0)),1,1,"")</f>
        <v>23</v>
      </c>
      <c r="BB167" s="45">
        <v>0</v>
      </c>
      <c r="BC167" s="46">
        <v>0</v>
      </c>
      <c r="BD167" s="45">
        <v>0</v>
      </c>
      <c r="BE167" s="46">
        <v>0</v>
      </c>
      <c r="BF167" s="45">
        <v>0</v>
      </c>
      <c r="BG167" s="46">
        <v>0</v>
      </c>
      <c r="BH167" s="45">
        <v>12</v>
      </c>
      <c r="BI167" s="46">
        <v>100</v>
      </c>
      <c r="BJ167" s="45">
        <v>12</v>
      </c>
      <c r="BK167" s="45"/>
      <c r="BL167" s="45"/>
      <c r="BM167" s="45"/>
      <c r="BN167" s="45"/>
      <c r="BO167" s="45" t="s">
        <v>828</v>
      </c>
      <c r="BP167" s="45" t="s">
        <v>828</v>
      </c>
      <c r="BQ167" s="110" t="s">
        <v>4123</v>
      </c>
      <c r="BR167" s="110" t="s">
        <v>4123</v>
      </c>
      <c r="BS167" s="110" t="s">
        <v>4259</v>
      </c>
      <c r="BT167" s="110" t="s">
        <v>4259</v>
      </c>
      <c r="BU167" s="2"/>
    </row>
    <row r="168" spans="1:73" ht="15">
      <c r="A168" s="61" t="s">
        <v>500</v>
      </c>
      <c r="B168" s="62"/>
      <c r="C168" s="62"/>
      <c r="D168" s="63">
        <v>100</v>
      </c>
      <c r="E168" s="65"/>
      <c r="F168" s="99" t="str">
        <f>HYPERLINK("https://pbs.twimg.com/profile_images/1148227150199296001/-U5fmids_normal.jpg")</f>
        <v>https://pbs.twimg.com/profile_images/1148227150199296001/-U5fmids_normal.jpg</v>
      </c>
      <c r="G168" s="62"/>
      <c r="H168" s="66" t="s">
        <v>500</v>
      </c>
      <c r="I168" s="67"/>
      <c r="J168" s="67"/>
      <c r="K168" s="66" t="s">
        <v>3010</v>
      </c>
      <c r="L168" s="70">
        <v>1</v>
      </c>
      <c r="M168" s="71">
        <v>7295.6552734375</v>
      </c>
      <c r="N168" s="71">
        <v>3211.082275390625</v>
      </c>
      <c r="O168" s="72"/>
      <c r="P168" s="73"/>
      <c r="Q168" s="73"/>
      <c r="R168" s="85"/>
      <c r="S168" s="45">
        <v>2</v>
      </c>
      <c r="T168" s="45">
        <v>0</v>
      </c>
      <c r="U168" s="46">
        <v>0</v>
      </c>
      <c r="V168" s="46">
        <v>0.056613</v>
      </c>
      <c r="W168" s="46">
        <v>0.003852</v>
      </c>
      <c r="X168" s="46">
        <v>0.002903</v>
      </c>
      <c r="Y168" s="46">
        <v>0.5</v>
      </c>
      <c r="Z168" s="46">
        <v>0</v>
      </c>
      <c r="AA168" s="68">
        <v>168</v>
      </c>
      <c r="AB168" s="68"/>
      <c r="AC168" s="69"/>
      <c r="AD168" s="75" t="s">
        <v>2002</v>
      </c>
      <c r="AE168" s="80" t="s">
        <v>2291</v>
      </c>
      <c r="AF168" s="75">
        <v>620</v>
      </c>
      <c r="AG168" s="75">
        <v>445236</v>
      </c>
      <c r="AH168" s="75">
        <v>7811</v>
      </c>
      <c r="AI168" s="75">
        <v>4060</v>
      </c>
      <c r="AJ168" s="75"/>
      <c r="AK168" s="75" t="s">
        <v>2542</v>
      </c>
      <c r="AL168" s="75" t="s">
        <v>2696</v>
      </c>
      <c r="AM168" s="82" t="str">
        <f>HYPERLINK("https://t.co/HFxkHZapqA")</f>
        <v>https://t.co/HFxkHZapqA</v>
      </c>
      <c r="AN168" s="75"/>
      <c r="AO168" s="77">
        <v>41956.48384259259</v>
      </c>
      <c r="AP168" s="82" t="str">
        <f>HYPERLINK("https://pbs.twimg.com/profile_banners/2874959663/1562593662")</f>
        <v>https://pbs.twimg.com/profile_banners/2874959663/1562593662</v>
      </c>
      <c r="AQ168" s="75" t="b">
        <v>0</v>
      </c>
      <c r="AR168" s="75" t="b">
        <v>0</v>
      </c>
      <c r="AS168" s="75" t="b">
        <v>0</v>
      </c>
      <c r="AT168" s="75"/>
      <c r="AU168" s="75">
        <v>1555</v>
      </c>
      <c r="AV168" s="82" t="str">
        <f>HYPERLINK("https://abs.twimg.com/images/themes/theme1/bg.png")</f>
        <v>https://abs.twimg.com/images/themes/theme1/bg.png</v>
      </c>
      <c r="AW168" s="75" t="b">
        <v>1</v>
      </c>
      <c r="AX168" s="75" t="s">
        <v>2845</v>
      </c>
      <c r="AY168" s="82" t="str">
        <f>HYPERLINK("https://twitter.com/russia")</f>
        <v>https://twitter.com/russia</v>
      </c>
      <c r="AZ168" s="75" t="s">
        <v>65</v>
      </c>
      <c r="BA168" s="75" t="str">
        <f>REPLACE(INDEX(GroupVertices[Group],MATCH(Vertices[[#This Row],[Vertex]],GroupVertices[Vertex],0)),1,1,"")</f>
        <v>23</v>
      </c>
      <c r="BB168" s="45"/>
      <c r="BC168" s="46"/>
      <c r="BD168" s="45"/>
      <c r="BE168" s="46"/>
      <c r="BF168" s="45"/>
      <c r="BG168" s="46"/>
      <c r="BH168" s="45"/>
      <c r="BI168" s="46"/>
      <c r="BJ168" s="45"/>
      <c r="BK168" s="45"/>
      <c r="BL168" s="45"/>
      <c r="BM168" s="45"/>
      <c r="BN168" s="45"/>
      <c r="BO168" s="45"/>
      <c r="BP168" s="45"/>
      <c r="BQ168" s="45"/>
      <c r="BR168" s="45"/>
      <c r="BS168" s="45"/>
      <c r="BT168" s="45"/>
      <c r="BU168" s="2"/>
    </row>
    <row r="169" spans="1:73" ht="15">
      <c r="A169" s="61" t="s">
        <v>349</v>
      </c>
      <c r="B169" s="62"/>
      <c r="C169" s="62"/>
      <c r="D169" s="63">
        <v>251.5151515151515</v>
      </c>
      <c r="E169" s="65"/>
      <c r="F169" s="99" t="str">
        <f>HYPERLINK("https://pbs.twimg.com/profile_images/1565075219328417792/qjqK3nJU_normal.jpg")</f>
        <v>https://pbs.twimg.com/profile_images/1565075219328417792/qjqK3nJU_normal.jpg</v>
      </c>
      <c r="G169" s="62"/>
      <c r="H169" s="66" t="s">
        <v>349</v>
      </c>
      <c r="I169" s="67"/>
      <c r="J169" s="67"/>
      <c r="K169" s="66" t="s">
        <v>3011</v>
      </c>
      <c r="L169" s="70">
        <v>223.26025317409344</v>
      </c>
      <c r="M169" s="71">
        <v>7389.5048828125</v>
      </c>
      <c r="N169" s="71">
        <v>3287.375732421875</v>
      </c>
      <c r="O169" s="72"/>
      <c r="P169" s="73"/>
      <c r="Q169" s="73"/>
      <c r="R169" s="85"/>
      <c r="S169" s="45">
        <v>0</v>
      </c>
      <c r="T169" s="45">
        <v>3</v>
      </c>
      <c r="U169" s="46">
        <v>100</v>
      </c>
      <c r="V169" s="46">
        <v>0.068867</v>
      </c>
      <c r="W169" s="46">
        <v>0.010853</v>
      </c>
      <c r="X169" s="46">
        <v>0.003113</v>
      </c>
      <c r="Y169" s="46">
        <v>0.3333333333333333</v>
      </c>
      <c r="Z169" s="46">
        <v>0</v>
      </c>
      <c r="AA169" s="68">
        <v>169</v>
      </c>
      <c r="AB169" s="68"/>
      <c r="AC169" s="69"/>
      <c r="AD169" s="75" t="s">
        <v>2003</v>
      </c>
      <c r="AE169" s="80" t="s">
        <v>2292</v>
      </c>
      <c r="AF169" s="75">
        <v>92</v>
      </c>
      <c r="AG169" s="75">
        <v>34</v>
      </c>
      <c r="AH169" s="75">
        <v>256</v>
      </c>
      <c r="AI169" s="75">
        <v>500</v>
      </c>
      <c r="AJ169" s="75"/>
      <c r="AK169" s="75" t="s">
        <v>2543</v>
      </c>
      <c r="AL169" s="75"/>
      <c r="AM169" s="75"/>
      <c r="AN169" s="75"/>
      <c r="AO169" s="77">
        <v>44796.08292824074</v>
      </c>
      <c r="AP169" s="82" t="str">
        <f>HYPERLINK("https://pbs.twimg.com/profile_banners/1561895764602900480/1661592262")</f>
        <v>https://pbs.twimg.com/profile_banners/1561895764602900480/1661592262</v>
      </c>
      <c r="AQ169" s="75" t="b">
        <v>1</v>
      </c>
      <c r="AR169" s="75" t="b">
        <v>0</v>
      </c>
      <c r="AS169" s="75" t="b">
        <v>1</v>
      </c>
      <c r="AT169" s="75"/>
      <c r="AU169" s="75">
        <v>1</v>
      </c>
      <c r="AV169" s="75"/>
      <c r="AW169" s="75" t="b">
        <v>0</v>
      </c>
      <c r="AX169" s="75" t="s">
        <v>2845</v>
      </c>
      <c r="AY169" s="82" t="str">
        <f>HYPERLINK("https://twitter.com/maier_maier8")</f>
        <v>https://twitter.com/maier_maier8</v>
      </c>
      <c r="AZ169" s="75" t="s">
        <v>66</v>
      </c>
      <c r="BA169" s="75" t="str">
        <f>REPLACE(INDEX(GroupVertices[Group],MATCH(Vertices[[#This Row],[Vertex]],GroupVertices[Vertex],0)),1,1,"")</f>
        <v>23</v>
      </c>
      <c r="BB169" s="45">
        <v>0</v>
      </c>
      <c r="BC169" s="46">
        <v>0</v>
      </c>
      <c r="BD169" s="45">
        <v>0</v>
      </c>
      <c r="BE169" s="46">
        <v>0</v>
      </c>
      <c r="BF169" s="45">
        <v>0</v>
      </c>
      <c r="BG169" s="46">
        <v>0</v>
      </c>
      <c r="BH169" s="45">
        <v>12</v>
      </c>
      <c r="BI169" s="46">
        <v>100</v>
      </c>
      <c r="BJ169" s="45">
        <v>12</v>
      </c>
      <c r="BK169" s="45"/>
      <c r="BL169" s="45"/>
      <c r="BM169" s="45"/>
      <c r="BN169" s="45"/>
      <c r="BO169" s="45" t="s">
        <v>828</v>
      </c>
      <c r="BP169" s="45" t="s">
        <v>828</v>
      </c>
      <c r="BQ169" s="110" t="s">
        <v>4123</v>
      </c>
      <c r="BR169" s="110" t="s">
        <v>4123</v>
      </c>
      <c r="BS169" s="110" t="s">
        <v>4259</v>
      </c>
      <c r="BT169" s="110" t="s">
        <v>4259</v>
      </c>
      <c r="BU169" s="2"/>
    </row>
    <row r="170" spans="1:73" ht="15">
      <c r="A170" s="61" t="s">
        <v>501</v>
      </c>
      <c r="B170" s="62"/>
      <c r="C170" s="62"/>
      <c r="D170" s="63">
        <v>1000</v>
      </c>
      <c r="E170" s="65"/>
      <c r="F170" s="99" t="str">
        <f>HYPERLINK("https://pbs.twimg.com/profile_images/501717583846842368/psd9aFLl_normal.png")</f>
        <v>https://pbs.twimg.com/profile_images/501717583846842368/psd9aFLl_normal.png</v>
      </c>
      <c r="G170" s="62"/>
      <c r="H170" s="66" t="s">
        <v>501</v>
      </c>
      <c r="I170" s="67"/>
      <c r="J170" s="67"/>
      <c r="K170" s="66" t="s">
        <v>3012</v>
      </c>
      <c r="L170" s="70">
        <v>1321.225903854115</v>
      </c>
      <c r="M170" s="71">
        <v>7072.46337890625</v>
      </c>
      <c r="N170" s="71">
        <v>3461.1923828125</v>
      </c>
      <c r="O170" s="72"/>
      <c r="P170" s="73"/>
      <c r="Q170" s="73"/>
      <c r="R170" s="85"/>
      <c r="S170" s="45">
        <v>3</v>
      </c>
      <c r="T170" s="45">
        <v>0</v>
      </c>
      <c r="U170" s="46">
        <v>594</v>
      </c>
      <c r="V170" s="46">
        <v>0.087408</v>
      </c>
      <c r="W170" s="46">
        <v>0.046455</v>
      </c>
      <c r="X170" s="46">
        <v>0.002963</v>
      </c>
      <c r="Y170" s="46">
        <v>0.16666666666666666</v>
      </c>
      <c r="Z170" s="46">
        <v>0</v>
      </c>
      <c r="AA170" s="68">
        <v>170</v>
      </c>
      <c r="AB170" s="68"/>
      <c r="AC170" s="69"/>
      <c r="AD170" s="75" t="s">
        <v>2004</v>
      </c>
      <c r="AE170" s="80" t="s">
        <v>2293</v>
      </c>
      <c r="AF170" s="75">
        <v>22</v>
      </c>
      <c r="AG170" s="75">
        <v>1751023</v>
      </c>
      <c r="AH170" s="75">
        <v>9239</v>
      </c>
      <c r="AI170" s="75">
        <v>1</v>
      </c>
      <c r="AJ170" s="75"/>
      <c r="AK170" s="75" t="s">
        <v>2544</v>
      </c>
      <c r="AL170" s="75" t="s">
        <v>2764</v>
      </c>
      <c r="AM170" s="82" t="str">
        <f>HYPERLINK("https://t.co/MfmVE6eQBU")</f>
        <v>https://t.co/MfmVE6eQBU</v>
      </c>
      <c r="AN170" s="75"/>
      <c r="AO170" s="77">
        <v>40472.337696759256</v>
      </c>
      <c r="AP170" s="82" t="str">
        <f>HYPERLINK("https://pbs.twimg.com/profile_banners/205622130/1402044538")</f>
        <v>https://pbs.twimg.com/profile_banners/205622130/1402044538</v>
      </c>
      <c r="AQ170" s="75" t="b">
        <v>0</v>
      </c>
      <c r="AR170" s="75" t="b">
        <v>0</v>
      </c>
      <c r="AS170" s="75" t="b">
        <v>0</v>
      </c>
      <c r="AT170" s="75"/>
      <c r="AU170" s="75">
        <v>7818</v>
      </c>
      <c r="AV170" s="82" t="str">
        <f>HYPERLINK("https://abs.twimg.com/images/themes/theme1/bg.png")</f>
        <v>https://abs.twimg.com/images/themes/theme1/bg.png</v>
      </c>
      <c r="AW170" s="75" t="b">
        <v>1</v>
      </c>
      <c r="AX170" s="75" t="s">
        <v>2845</v>
      </c>
      <c r="AY170" s="82" t="str">
        <f>HYPERLINK("https://twitter.com/kremlinrussia_e")</f>
        <v>https://twitter.com/kremlinrussia_e</v>
      </c>
      <c r="AZ170" s="75" t="s">
        <v>65</v>
      </c>
      <c r="BA170" s="75" t="str">
        <f>REPLACE(INDEX(GroupVertices[Group],MATCH(Vertices[[#This Row],[Vertex]],GroupVertices[Vertex],0)),1,1,"")</f>
        <v>23</v>
      </c>
      <c r="BB170" s="45"/>
      <c r="BC170" s="46"/>
      <c r="BD170" s="45"/>
      <c r="BE170" s="46"/>
      <c r="BF170" s="45"/>
      <c r="BG170" s="46"/>
      <c r="BH170" s="45"/>
      <c r="BI170" s="46"/>
      <c r="BJ170" s="45"/>
      <c r="BK170" s="45"/>
      <c r="BL170" s="45"/>
      <c r="BM170" s="45"/>
      <c r="BN170" s="45"/>
      <c r="BO170" s="45"/>
      <c r="BP170" s="45"/>
      <c r="BQ170" s="45"/>
      <c r="BR170" s="45"/>
      <c r="BS170" s="45"/>
      <c r="BT170" s="45"/>
      <c r="BU170" s="2"/>
    </row>
    <row r="171" spans="1:73" ht="15">
      <c r="A171" s="61" t="s">
        <v>350</v>
      </c>
      <c r="B171" s="62"/>
      <c r="C171" s="62"/>
      <c r="D171" s="63">
        <v>100</v>
      </c>
      <c r="E171" s="65"/>
      <c r="F171" s="99" t="str">
        <f>HYPERLINK("https://pbs.twimg.com/profile_images/1348253593166622722/BNCnH0Ev_normal.jpg")</f>
        <v>https://pbs.twimg.com/profile_images/1348253593166622722/BNCnH0Ev_normal.jpg</v>
      </c>
      <c r="G171" s="62"/>
      <c r="H171" s="66" t="s">
        <v>350</v>
      </c>
      <c r="I171" s="67"/>
      <c r="J171" s="67"/>
      <c r="K171" s="66" t="s">
        <v>3013</v>
      </c>
      <c r="L171" s="70">
        <v>1</v>
      </c>
      <c r="M171" s="71">
        <v>945.0274658203125</v>
      </c>
      <c r="N171" s="71">
        <v>993.4903564453125</v>
      </c>
      <c r="O171" s="72"/>
      <c r="P171" s="73"/>
      <c r="Q171" s="73"/>
      <c r="R171" s="85"/>
      <c r="S171" s="45">
        <v>1</v>
      </c>
      <c r="T171" s="45">
        <v>1</v>
      </c>
      <c r="U171" s="46">
        <v>0</v>
      </c>
      <c r="V171" s="46">
        <v>0</v>
      </c>
      <c r="W171" s="46">
        <v>0</v>
      </c>
      <c r="X171" s="46">
        <v>0.003049</v>
      </c>
      <c r="Y171" s="46">
        <v>0</v>
      </c>
      <c r="Z171" s="46">
        <v>0</v>
      </c>
      <c r="AA171" s="68">
        <v>171</v>
      </c>
      <c r="AB171" s="68"/>
      <c r="AC171" s="69"/>
      <c r="AD171" s="75" t="s">
        <v>2005</v>
      </c>
      <c r="AE171" s="80" t="s">
        <v>2294</v>
      </c>
      <c r="AF171" s="75">
        <v>1958</v>
      </c>
      <c r="AG171" s="75">
        <v>214</v>
      </c>
      <c r="AH171" s="75">
        <v>12432</v>
      </c>
      <c r="AI171" s="75">
        <v>577</v>
      </c>
      <c r="AJ171" s="75"/>
      <c r="AK171" s="75" t="s">
        <v>2545</v>
      </c>
      <c r="AL171" s="75" t="s">
        <v>2765</v>
      </c>
      <c r="AM171" s="75"/>
      <c r="AN171" s="75"/>
      <c r="AO171" s="77">
        <v>40885.973287037035</v>
      </c>
      <c r="AP171" s="75"/>
      <c r="AQ171" s="75" t="b">
        <v>1</v>
      </c>
      <c r="AR171" s="75" t="b">
        <v>0</v>
      </c>
      <c r="AS171" s="75" t="b">
        <v>0</v>
      </c>
      <c r="AT171" s="75"/>
      <c r="AU171" s="75">
        <v>8</v>
      </c>
      <c r="AV171" s="82" t="str">
        <f>HYPERLINK("https://abs.twimg.com/images/themes/theme1/bg.png")</f>
        <v>https://abs.twimg.com/images/themes/theme1/bg.png</v>
      </c>
      <c r="AW171" s="75" t="b">
        <v>0</v>
      </c>
      <c r="AX171" s="75" t="s">
        <v>2845</v>
      </c>
      <c r="AY171" s="82" t="str">
        <f>HYPERLINK("https://twitter.com/freescotsman92")</f>
        <v>https://twitter.com/freescotsman92</v>
      </c>
      <c r="AZ171" s="75" t="s">
        <v>66</v>
      </c>
      <c r="BA171" s="75" t="str">
        <f>REPLACE(INDEX(GroupVertices[Group],MATCH(Vertices[[#This Row],[Vertex]],GroupVertices[Vertex],0)),1,1,"")</f>
        <v>2</v>
      </c>
      <c r="BB171" s="45">
        <v>1</v>
      </c>
      <c r="BC171" s="46">
        <v>2.4390243902439024</v>
      </c>
      <c r="BD171" s="45">
        <v>3</v>
      </c>
      <c r="BE171" s="46">
        <v>7.317073170731708</v>
      </c>
      <c r="BF171" s="45">
        <v>0</v>
      </c>
      <c r="BG171" s="46">
        <v>0</v>
      </c>
      <c r="BH171" s="45">
        <v>37</v>
      </c>
      <c r="BI171" s="46">
        <v>90.2439024390244</v>
      </c>
      <c r="BJ171" s="45">
        <v>41</v>
      </c>
      <c r="BK171" s="45"/>
      <c r="BL171" s="45"/>
      <c r="BM171" s="45"/>
      <c r="BN171" s="45"/>
      <c r="BO171" s="45" t="s">
        <v>829</v>
      </c>
      <c r="BP171" s="45" t="s">
        <v>829</v>
      </c>
      <c r="BQ171" s="110" t="s">
        <v>4486</v>
      </c>
      <c r="BR171" s="110" t="s">
        <v>4486</v>
      </c>
      <c r="BS171" s="110" t="s">
        <v>4604</v>
      </c>
      <c r="BT171" s="110" t="s">
        <v>4604</v>
      </c>
      <c r="BU171" s="2"/>
    </row>
    <row r="172" spans="1:73" ht="15">
      <c r="A172" s="61" t="s">
        <v>351</v>
      </c>
      <c r="B172" s="62"/>
      <c r="C172" s="62"/>
      <c r="D172" s="63">
        <v>100</v>
      </c>
      <c r="E172" s="65"/>
      <c r="F172" s="99" t="str">
        <f>HYPERLINK("https://pbs.twimg.com/profile_images/1427318110927851522/gy4hztPs_normal.png")</f>
        <v>https://pbs.twimg.com/profile_images/1427318110927851522/gy4hztPs_normal.png</v>
      </c>
      <c r="G172" s="62"/>
      <c r="H172" s="66" t="s">
        <v>351</v>
      </c>
      <c r="I172" s="67"/>
      <c r="J172" s="67"/>
      <c r="K172" s="66" t="s">
        <v>3014</v>
      </c>
      <c r="L172" s="70">
        <v>1</v>
      </c>
      <c r="M172" s="71">
        <v>9182.0087890625</v>
      </c>
      <c r="N172" s="71">
        <v>4374.5625</v>
      </c>
      <c r="O172" s="72"/>
      <c r="P172" s="73"/>
      <c r="Q172" s="73"/>
      <c r="R172" s="85"/>
      <c r="S172" s="45">
        <v>0</v>
      </c>
      <c r="T172" s="45">
        <v>1</v>
      </c>
      <c r="U172" s="46">
        <v>0</v>
      </c>
      <c r="V172" s="46">
        <v>0.003058</v>
      </c>
      <c r="W172" s="46">
        <v>0</v>
      </c>
      <c r="X172" s="46">
        <v>0.003049</v>
      </c>
      <c r="Y172" s="46">
        <v>0</v>
      </c>
      <c r="Z172" s="46">
        <v>0</v>
      </c>
      <c r="AA172" s="68">
        <v>172</v>
      </c>
      <c r="AB172" s="68"/>
      <c r="AC172" s="69"/>
      <c r="AD172" s="75" t="s">
        <v>2006</v>
      </c>
      <c r="AE172" s="80" t="s">
        <v>2295</v>
      </c>
      <c r="AF172" s="75">
        <v>1798</v>
      </c>
      <c r="AG172" s="75">
        <v>163</v>
      </c>
      <c r="AH172" s="75">
        <v>5092</v>
      </c>
      <c r="AI172" s="75">
        <v>12205</v>
      </c>
      <c r="AJ172" s="75"/>
      <c r="AK172" s="75" t="s">
        <v>2546</v>
      </c>
      <c r="AL172" s="75"/>
      <c r="AM172" s="75"/>
      <c r="AN172" s="75"/>
      <c r="AO172" s="77">
        <v>44424.71909722222</v>
      </c>
      <c r="AP172" s="75"/>
      <c r="AQ172" s="75" t="b">
        <v>1</v>
      </c>
      <c r="AR172" s="75" t="b">
        <v>0</v>
      </c>
      <c r="AS172" s="75" t="b">
        <v>0</v>
      </c>
      <c r="AT172" s="75"/>
      <c r="AU172" s="75">
        <v>8</v>
      </c>
      <c r="AV172" s="75"/>
      <c r="AW172" s="75" t="b">
        <v>0</v>
      </c>
      <c r="AX172" s="75" t="s">
        <v>2845</v>
      </c>
      <c r="AY172" s="82" t="str">
        <f>HYPERLINK("https://twitter.com/selpermer")</f>
        <v>https://twitter.com/selpermer</v>
      </c>
      <c r="AZ172" s="75" t="s">
        <v>66</v>
      </c>
      <c r="BA172" s="75" t="str">
        <f>REPLACE(INDEX(GroupVertices[Group],MATCH(Vertices[[#This Row],[Vertex]],GroupVertices[Vertex],0)),1,1,"")</f>
        <v>49</v>
      </c>
      <c r="BB172" s="45">
        <v>0</v>
      </c>
      <c r="BC172" s="46">
        <v>0</v>
      </c>
      <c r="BD172" s="45">
        <v>0</v>
      </c>
      <c r="BE172" s="46">
        <v>0</v>
      </c>
      <c r="BF172" s="45">
        <v>0</v>
      </c>
      <c r="BG172" s="46">
        <v>0</v>
      </c>
      <c r="BH172" s="45">
        <v>2</v>
      </c>
      <c r="BI172" s="46">
        <v>100</v>
      </c>
      <c r="BJ172" s="45">
        <v>2</v>
      </c>
      <c r="BK172" s="45"/>
      <c r="BL172" s="45"/>
      <c r="BM172" s="45"/>
      <c r="BN172" s="45"/>
      <c r="BO172" s="45" t="s">
        <v>795</v>
      </c>
      <c r="BP172" s="45" t="s">
        <v>795</v>
      </c>
      <c r="BQ172" s="110" t="s">
        <v>4487</v>
      </c>
      <c r="BR172" s="110" t="s">
        <v>4487</v>
      </c>
      <c r="BS172" s="110" t="s">
        <v>4605</v>
      </c>
      <c r="BT172" s="110" t="s">
        <v>4605</v>
      </c>
      <c r="BU172" s="2"/>
    </row>
    <row r="173" spans="1:73" ht="15">
      <c r="A173" s="61" t="s">
        <v>502</v>
      </c>
      <c r="B173" s="62"/>
      <c r="C173" s="62"/>
      <c r="D173" s="63">
        <v>100</v>
      </c>
      <c r="E173" s="65"/>
      <c r="F173" s="99" t="str">
        <f>HYPERLINK("https://pbs.twimg.com/profile_images/1566841033031294978/YevcGDgx_normal.jpg")</f>
        <v>https://pbs.twimg.com/profile_images/1566841033031294978/YevcGDgx_normal.jpg</v>
      </c>
      <c r="G173" s="62"/>
      <c r="H173" s="66" t="s">
        <v>502</v>
      </c>
      <c r="I173" s="67"/>
      <c r="J173" s="67"/>
      <c r="K173" s="66" t="s">
        <v>3015</v>
      </c>
      <c r="L173" s="70">
        <v>1</v>
      </c>
      <c r="M173" s="71">
        <v>9182.0087890625</v>
      </c>
      <c r="N173" s="71">
        <v>4662.9951171875</v>
      </c>
      <c r="O173" s="72"/>
      <c r="P173" s="73"/>
      <c r="Q173" s="73"/>
      <c r="R173" s="85"/>
      <c r="S173" s="45">
        <v>1</v>
      </c>
      <c r="T173" s="45">
        <v>0</v>
      </c>
      <c r="U173" s="46">
        <v>0</v>
      </c>
      <c r="V173" s="46">
        <v>0.003058</v>
      </c>
      <c r="W173" s="46">
        <v>0</v>
      </c>
      <c r="X173" s="46">
        <v>0.003049</v>
      </c>
      <c r="Y173" s="46">
        <v>0</v>
      </c>
      <c r="Z173" s="46">
        <v>0</v>
      </c>
      <c r="AA173" s="68">
        <v>173</v>
      </c>
      <c r="AB173" s="68"/>
      <c r="AC173" s="69"/>
      <c r="AD173" s="75" t="s">
        <v>2007</v>
      </c>
      <c r="AE173" s="80" t="s">
        <v>1709</v>
      </c>
      <c r="AF173" s="75">
        <v>636</v>
      </c>
      <c r="AG173" s="75">
        <v>48110</v>
      </c>
      <c r="AH173" s="75">
        <v>13767</v>
      </c>
      <c r="AI173" s="75">
        <v>6360</v>
      </c>
      <c r="AJ173" s="75"/>
      <c r="AK173" s="75" t="s">
        <v>2547</v>
      </c>
      <c r="AL173" s="75"/>
      <c r="AM173" s="82" t="str">
        <f>HYPERLINK("https://t.co/rD4qptNtb5")</f>
        <v>https://t.co/rD4qptNtb5</v>
      </c>
      <c r="AN173" s="75"/>
      <c r="AO173" s="77">
        <v>41179.34576388889</v>
      </c>
      <c r="AP173" s="82" t="str">
        <f>HYPERLINK("https://pbs.twimg.com/profile_banners/848884243/1646294334")</f>
        <v>https://pbs.twimg.com/profile_banners/848884243/1646294334</v>
      </c>
      <c r="AQ173" s="75" t="b">
        <v>0</v>
      </c>
      <c r="AR173" s="75" t="b">
        <v>0</v>
      </c>
      <c r="AS173" s="75" t="b">
        <v>1</v>
      </c>
      <c r="AT173" s="75"/>
      <c r="AU173" s="75">
        <v>334</v>
      </c>
      <c r="AV173" s="82" t="str">
        <f>HYPERLINK("https://abs.twimg.com/images/themes/theme4/bg.gif")</f>
        <v>https://abs.twimg.com/images/themes/theme4/bg.gif</v>
      </c>
      <c r="AW173" s="75" t="b">
        <v>1</v>
      </c>
      <c r="AX173" s="75" t="s">
        <v>2845</v>
      </c>
      <c r="AY173" s="82" t="str">
        <f>HYPERLINK("https://twitter.com/rusembturkey")</f>
        <v>https://twitter.com/rusembturkey</v>
      </c>
      <c r="AZ173" s="75" t="s">
        <v>65</v>
      </c>
      <c r="BA173" s="75" t="str">
        <f>REPLACE(INDEX(GroupVertices[Group],MATCH(Vertices[[#This Row],[Vertex]],GroupVertices[Vertex],0)),1,1,"")</f>
        <v>49</v>
      </c>
      <c r="BB173" s="45"/>
      <c r="BC173" s="46"/>
      <c r="BD173" s="45"/>
      <c r="BE173" s="46"/>
      <c r="BF173" s="45"/>
      <c r="BG173" s="46"/>
      <c r="BH173" s="45"/>
      <c r="BI173" s="46"/>
      <c r="BJ173" s="45"/>
      <c r="BK173" s="45"/>
      <c r="BL173" s="45"/>
      <c r="BM173" s="45"/>
      <c r="BN173" s="45"/>
      <c r="BO173" s="45"/>
      <c r="BP173" s="45"/>
      <c r="BQ173" s="45"/>
      <c r="BR173" s="45"/>
      <c r="BS173" s="45"/>
      <c r="BT173" s="45"/>
      <c r="BU173" s="2"/>
    </row>
    <row r="174" spans="1:73" ht="15">
      <c r="A174" s="61" t="s">
        <v>352</v>
      </c>
      <c r="B174" s="62"/>
      <c r="C174" s="62"/>
      <c r="D174" s="63">
        <v>103.03030303030303</v>
      </c>
      <c r="E174" s="65"/>
      <c r="F174" s="99" t="str">
        <f>HYPERLINK("https://pbs.twimg.com/profile_images/1413157286462181378/gUP4dkZt_normal.jpg")</f>
        <v>https://pbs.twimg.com/profile_images/1413157286462181378/gUP4dkZt_normal.jpg</v>
      </c>
      <c r="G174" s="62"/>
      <c r="H174" s="66" t="s">
        <v>352</v>
      </c>
      <c r="I174" s="67"/>
      <c r="J174" s="67"/>
      <c r="K174" s="66" t="s">
        <v>3016</v>
      </c>
      <c r="L174" s="70">
        <v>5.445205063481868</v>
      </c>
      <c r="M174" s="71">
        <v>7724.83740234375</v>
      </c>
      <c r="N174" s="71">
        <v>6858.28857421875</v>
      </c>
      <c r="O174" s="72"/>
      <c r="P174" s="73"/>
      <c r="Q174" s="73"/>
      <c r="R174" s="85"/>
      <c r="S174" s="45">
        <v>0</v>
      </c>
      <c r="T174" s="45">
        <v>2</v>
      </c>
      <c r="U174" s="46">
        <v>2</v>
      </c>
      <c r="V174" s="46">
        <v>0.006116</v>
      </c>
      <c r="W174" s="46">
        <v>0</v>
      </c>
      <c r="X174" s="46">
        <v>0.003446</v>
      </c>
      <c r="Y174" s="46">
        <v>0</v>
      </c>
      <c r="Z174" s="46">
        <v>0</v>
      </c>
      <c r="AA174" s="68">
        <v>174</v>
      </c>
      <c r="AB174" s="68"/>
      <c r="AC174" s="69"/>
      <c r="AD174" s="75" t="s">
        <v>2008</v>
      </c>
      <c r="AE174" s="80" t="s">
        <v>2296</v>
      </c>
      <c r="AF174" s="75">
        <v>175</v>
      </c>
      <c r="AG174" s="75">
        <v>28</v>
      </c>
      <c r="AH174" s="75">
        <v>1681</v>
      </c>
      <c r="AI174" s="75">
        <v>377</v>
      </c>
      <c r="AJ174" s="75"/>
      <c r="AK174" s="75" t="s">
        <v>2548</v>
      </c>
      <c r="AL174" s="75"/>
      <c r="AM174" s="75"/>
      <c r="AN174" s="75"/>
      <c r="AO174" s="77">
        <v>42013.634780092594</v>
      </c>
      <c r="AP174" s="82" t="str">
        <f>HYPERLINK("https://pbs.twimg.com/profile_banners/2969505108/1663043701")</f>
        <v>https://pbs.twimg.com/profile_banners/2969505108/1663043701</v>
      </c>
      <c r="AQ174" s="75" t="b">
        <v>1</v>
      </c>
      <c r="AR174" s="75" t="b">
        <v>0</v>
      </c>
      <c r="AS174" s="75" t="b">
        <v>0</v>
      </c>
      <c r="AT174" s="75"/>
      <c r="AU174" s="75">
        <v>0</v>
      </c>
      <c r="AV174" s="82" t="str">
        <f>HYPERLINK("https://abs.twimg.com/images/themes/theme1/bg.png")</f>
        <v>https://abs.twimg.com/images/themes/theme1/bg.png</v>
      </c>
      <c r="AW174" s="75" t="b">
        <v>0</v>
      </c>
      <c r="AX174" s="75" t="s">
        <v>2845</v>
      </c>
      <c r="AY174" s="82" t="str">
        <f>HYPERLINK("https://twitter.com/khairulazzwa1")</f>
        <v>https://twitter.com/khairulazzwa1</v>
      </c>
      <c r="AZ174" s="75" t="s">
        <v>66</v>
      </c>
      <c r="BA174" s="75" t="str">
        <f>REPLACE(INDEX(GroupVertices[Group],MATCH(Vertices[[#This Row],[Vertex]],GroupVertices[Vertex],0)),1,1,"")</f>
        <v>35</v>
      </c>
      <c r="BB174" s="45">
        <v>0</v>
      </c>
      <c r="BC174" s="46">
        <v>0</v>
      </c>
      <c r="BD174" s="45">
        <v>0</v>
      </c>
      <c r="BE174" s="46">
        <v>0</v>
      </c>
      <c r="BF174" s="45">
        <v>0</v>
      </c>
      <c r="BG174" s="46">
        <v>0</v>
      </c>
      <c r="BH174" s="45">
        <v>3</v>
      </c>
      <c r="BI174" s="46">
        <v>100</v>
      </c>
      <c r="BJ174" s="45">
        <v>3</v>
      </c>
      <c r="BK174" s="45"/>
      <c r="BL174" s="45"/>
      <c r="BM174" s="45"/>
      <c r="BN174" s="45"/>
      <c r="BO174" s="45" t="s">
        <v>795</v>
      </c>
      <c r="BP174" s="45" t="s">
        <v>795</v>
      </c>
      <c r="BQ174" s="110" t="s">
        <v>4488</v>
      </c>
      <c r="BR174" s="110" t="s">
        <v>4488</v>
      </c>
      <c r="BS174" s="110" t="s">
        <v>4606</v>
      </c>
      <c r="BT174" s="110" t="s">
        <v>4606</v>
      </c>
      <c r="BU174" s="2"/>
    </row>
    <row r="175" spans="1:73" ht="15">
      <c r="A175" s="61" t="s">
        <v>503</v>
      </c>
      <c r="B175" s="62"/>
      <c r="C175" s="62"/>
      <c r="D175" s="63">
        <v>100</v>
      </c>
      <c r="E175" s="65"/>
      <c r="F175" s="99" t="str">
        <f>HYPERLINK("https://pbs.twimg.com/profile_images/1377945991706411010/2M2H0KWd_normal.jpg")</f>
        <v>https://pbs.twimg.com/profile_images/1377945991706411010/2M2H0KWd_normal.jpg</v>
      </c>
      <c r="G175" s="62"/>
      <c r="H175" s="66" t="s">
        <v>503</v>
      </c>
      <c r="I175" s="67"/>
      <c r="J175" s="67"/>
      <c r="K175" s="66" t="s">
        <v>3017</v>
      </c>
      <c r="L175" s="70">
        <v>1</v>
      </c>
      <c r="M175" s="71">
        <v>7724.83740234375</v>
      </c>
      <c r="N175" s="71">
        <v>7242.865234375</v>
      </c>
      <c r="O175" s="72"/>
      <c r="P175" s="73"/>
      <c r="Q175" s="73"/>
      <c r="R175" s="85"/>
      <c r="S175" s="45">
        <v>1</v>
      </c>
      <c r="T175" s="45">
        <v>0</v>
      </c>
      <c r="U175" s="46">
        <v>0</v>
      </c>
      <c r="V175" s="46">
        <v>0.004077</v>
      </c>
      <c r="W175" s="46">
        <v>0</v>
      </c>
      <c r="X175" s="46">
        <v>0.00285</v>
      </c>
      <c r="Y175" s="46">
        <v>0</v>
      </c>
      <c r="Z175" s="46">
        <v>0</v>
      </c>
      <c r="AA175" s="68">
        <v>175</v>
      </c>
      <c r="AB175" s="68"/>
      <c r="AC175" s="69"/>
      <c r="AD175" s="75" t="s">
        <v>2009</v>
      </c>
      <c r="AE175" s="80" t="s">
        <v>2297</v>
      </c>
      <c r="AF175" s="75">
        <v>530</v>
      </c>
      <c r="AG175" s="75">
        <v>25547</v>
      </c>
      <c r="AH175" s="75">
        <v>19661</v>
      </c>
      <c r="AI175" s="75">
        <v>28361</v>
      </c>
      <c r="AJ175" s="75"/>
      <c r="AK175" s="75" t="s">
        <v>2549</v>
      </c>
      <c r="AL175" s="75" t="s">
        <v>2766</v>
      </c>
      <c r="AM175" s="82" t="str">
        <f>HYPERLINK("https://t.co/6E7RHyQloH")</f>
        <v>https://t.co/6E7RHyQloH</v>
      </c>
      <c r="AN175" s="75"/>
      <c r="AO175" s="77">
        <v>41113.11121527778</v>
      </c>
      <c r="AP175" s="82" t="str">
        <f>HYPERLINK("https://pbs.twimg.com/profile_banners/711664434/1657520167")</f>
        <v>https://pbs.twimg.com/profile_banners/711664434/1657520167</v>
      </c>
      <c r="AQ175" s="75" t="b">
        <v>1</v>
      </c>
      <c r="AR175" s="75" t="b">
        <v>0</v>
      </c>
      <c r="AS175" s="75" t="b">
        <v>1</v>
      </c>
      <c r="AT175" s="75"/>
      <c r="AU175" s="75">
        <v>53</v>
      </c>
      <c r="AV175" s="82" t="str">
        <f>HYPERLINK("https://abs.twimg.com/images/themes/theme1/bg.png")</f>
        <v>https://abs.twimg.com/images/themes/theme1/bg.png</v>
      </c>
      <c r="AW175" s="75" t="b">
        <v>0</v>
      </c>
      <c r="AX175" s="75" t="s">
        <v>2845</v>
      </c>
      <c r="AY175" s="82" t="str">
        <f>HYPERLINK("https://twitter.com/drjasonleong")</f>
        <v>https://twitter.com/drjasonleong</v>
      </c>
      <c r="AZ175" s="75" t="s">
        <v>65</v>
      </c>
      <c r="BA175" s="75" t="str">
        <f>REPLACE(INDEX(GroupVertices[Group],MATCH(Vertices[[#This Row],[Vertex]],GroupVertices[Vertex],0)),1,1,"")</f>
        <v>35</v>
      </c>
      <c r="BB175" s="45"/>
      <c r="BC175" s="46"/>
      <c r="BD175" s="45"/>
      <c r="BE175" s="46"/>
      <c r="BF175" s="45"/>
      <c r="BG175" s="46"/>
      <c r="BH175" s="45"/>
      <c r="BI175" s="46"/>
      <c r="BJ175" s="45"/>
      <c r="BK175" s="45"/>
      <c r="BL175" s="45"/>
      <c r="BM175" s="45"/>
      <c r="BN175" s="45"/>
      <c r="BO175" s="45"/>
      <c r="BP175" s="45"/>
      <c r="BQ175" s="45"/>
      <c r="BR175" s="45"/>
      <c r="BS175" s="45"/>
      <c r="BT175" s="45"/>
      <c r="BU175" s="2"/>
    </row>
    <row r="176" spans="1:73" ht="15">
      <c r="A176" s="61" t="s">
        <v>504</v>
      </c>
      <c r="B176" s="62"/>
      <c r="C176" s="62"/>
      <c r="D176" s="63">
        <v>100</v>
      </c>
      <c r="E176" s="65"/>
      <c r="F176" s="99" t="str">
        <f>HYPERLINK("https://pbs.twimg.com/profile_images/1475385368727875587/02Nw22e5_normal.jpg")</f>
        <v>https://pbs.twimg.com/profile_images/1475385368727875587/02Nw22e5_normal.jpg</v>
      </c>
      <c r="G176" s="62"/>
      <c r="H176" s="66" t="s">
        <v>504</v>
      </c>
      <c r="I176" s="67"/>
      <c r="J176" s="67"/>
      <c r="K176" s="66" t="s">
        <v>3018</v>
      </c>
      <c r="L176" s="70">
        <v>1</v>
      </c>
      <c r="M176" s="71">
        <v>7907.74560546875</v>
      </c>
      <c r="N176" s="71">
        <v>7242.865234375</v>
      </c>
      <c r="O176" s="72"/>
      <c r="P176" s="73"/>
      <c r="Q176" s="73"/>
      <c r="R176" s="85"/>
      <c r="S176" s="45">
        <v>1</v>
      </c>
      <c r="T176" s="45">
        <v>0</v>
      </c>
      <c r="U176" s="46">
        <v>0</v>
      </c>
      <c r="V176" s="46">
        <v>0.004077</v>
      </c>
      <c r="W176" s="46">
        <v>0</v>
      </c>
      <c r="X176" s="46">
        <v>0.00285</v>
      </c>
      <c r="Y176" s="46">
        <v>0</v>
      </c>
      <c r="Z176" s="46">
        <v>0</v>
      </c>
      <c r="AA176" s="68">
        <v>176</v>
      </c>
      <c r="AB176" s="68"/>
      <c r="AC176" s="69"/>
      <c r="AD176" s="75" t="s">
        <v>2010</v>
      </c>
      <c r="AE176" s="80" t="s">
        <v>1710</v>
      </c>
      <c r="AF176" s="75">
        <v>1451</v>
      </c>
      <c r="AG176" s="75">
        <v>12522</v>
      </c>
      <c r="AH176" s="75">
        <v>6404</v>
      </c>
      <c r="AI176" s="75">
        <v>346</v>
      </c>
      <c r="AJ176" s="75"/>
      <c r="AK176" s="75" t="s">
        <v>2550</v>
      </c>
      <c r="AL176" s="75" t="s">
        <v>2767</v>
      </c>
      <c r="AM176" s="82" t="str">
        <f>HYPERLINK("https://t.co/K1JUJret5E")</f>
        <v>https://t.co/K1JUJret5E</v>
      </c>
      <c r="AN176" s="75"/>
      <c r="AO176" s="77">
        <v>41002.08327546297</v>
      </c>
      <c r="AP176" s="82" t="str">
        <f>HYPERLINK("https://pbs.twimg.com/profile_banners/543975537/1640594470")</f>
        <v>https://pbs.twimg.com/profile_banners/543975537/1640594470</v>
      </c>
      <c r="AQ176" s="75" t="b">
        <v>1</v>
      </c>
      <c r="AR176" s="75" t="b">
        <v>0</v>
      </c>
      <c r="AS176" s="75" t="b">
        <v>0</v>
      </c>
      <c r="AT176" s="75"/>
      <c r="AU176" s="75">
        <v>40</v>
      </c>
      <c r="AV176" s="82" t="str">
        <f>HYPERLINK("https://abs.twimg.com/images/themes/theme1/bg.png")</f>
        <v>https://abs.twimg.com/images/themes/theme1/bg.png</v>
      </c>
      <c r="AW176" s="75" t="b">
        <v>1</v>
      </c>
      <c r="AX176" s="75" t="s">
        <v>2845</v>
      </c>
      <c r="AY176" s="82" t="str">
        <f>HYPERLINK("https://twitter.com/howardlee_my")</f>
        <v>https://twitter.com/howardlee_my</v>
      </c>
      <c r="AZ176" s="75" t="s">
        <v>65</v>
      </c>
      <c r="BA176" s="75" t="str">
        <f>REPLACE(INDEX(GroupVertices[Group],MATCH(Vertices[[#This Row],[Vertex]],GroupVertices[Vertex],0)),1,1,"")</f>
        <v>35</v>
      </c>
      <c r="BB176" s="45"/>
      <c r="BC176" s="46"/>
      <c r="BD176" s="45"/>
      <c r="BE176" s="46"/>
      <c r="BF176" s="45"/>
      <c r="BG176" s="46"/>
      <c r="BH176" s="45"/>
      <c r="BI176" s="46"/>
      <c r="BJ176" s="45"/>
      <c r="BK176" s="45"/>
      <c r="BL176" s="45"/>
      <c r="BM176" s="45"/>
      <c r="BN176" s="45"/>
      <c r="BO176" s="45"/>
      <c r="BP176" s="45"/>
      <c r="BQ176" s="45"/>
      <c r="BR176" s="45"/>
      <c r="BS176" s="45"/>
      <c r="BT176" s="45"/>
      <c r="BU176" s="2"/>
    </row>
    <row r="177" spans="1:73" ht="15">
      <c r="A177" s="61" t="s">
        <v>353</v>
      </c>
      <c r="B177" s="62"/>
      <c r="C177" s="62"/>
      <c r="D177" s="63">
        <v>100</v>
      </c>
      <c r="E177" s="65"/>
      <c r="F177" s="99" t="str">
        <f>HYPERLINK("https://pbs.twimg.com/profile_images/1520642122495500288/riJPiqc0_normal.jpg")</f>
        <v>https://pbs.twimg.com/profile_images/1520642122495500288/riJPiqc0_normal.jpg</v>
      </c>
      <c r="G177" s="62"/>
      <c r="H177" s="66" t="s">
        <v>353</v>
      </c>
      <c r="I177" s="67"/>
      <c r="J177" s="67"/>
      <c r="K177" s="66" t="s">
        <v>3019</v>
      </c>
      <c r="L177" s="70">
        <v>1</v>
      </c>
      <c r="M177" s="71">
        <v>6731.0341796875</v>
      </c>
      <c r="N177" s="71">
        <v>4855.28369140625</v>
      </c>
      <c r="O177" s="72"/>
      <c r="P177" s="73"/>
      <c r="Q177" s="73"/>
      <c r="R177" s="85"/>
      <c r="S177" s="45">
        <v>0</v>
      </c>
      <c r="T177" s="45">
        <v>1</v>
      </c>
      <c r="U177" s="46">
        <v>0</v>
      </c>
      <c r="V177" s="46">
        <v>0.005505</v>
      </c>
      <c r="W177" s="46">
        <v>0</v>
      </c>
      <c r="X177" s="46">
        <v>0.00274</v>
      </c>
      <c r="Y177" s="46">
        <v>0</v>
      </c>
      <c r="Z177" s="46">
        <v>0</v>
      </c>
      <c r="AA177" s="68">
        <v>177</v>
      </c>
      <c r="AB177" s="68"/>
      <c r="AC177" s="69"/>
      <c r="AD177" s="75" t="s">
        <v>2011</v>
      </c>
      <c r="AE177" s="80" t="s">
        <v>2298</v>
      </c>
      <c r="AF177" s="75">
        <v>685</v>
      </c>
      <c r="AG177" s="75">
        <v>775</v>
      </c>
      <c r="AH177" s="75">
        <v>15896</v>
      </c>
      <c r="AI177" s="75">
        <v>40959</v>
      </c>
      <c r="AJ177" s="75"/>
      <c r="AK177" s="75" t="s">
        <v>2551</v>
      </c>
      <c r="AL177" s="75"/>
      <c r="AM177" s="75"/>
      <c r="AN177" s="75"/>
      <c r="AO177" s="77">
        <v>44397.536469907405</v>
      </c>
      <c r="AP177" s="82" t="str">
        <f>HYPERLINK("https://pbs.twimg.com/profile_banners/1417466587351760905/1651384353")</f>
        <v>https://pbs.twimg.com/profile_banners/1417466587351760905/1651384353</v>
      </c>
      <c r="AQ177" s="75" t="b">
        <v>1</v>
      </c>
      <c r="AR177" s="75" t="b">
        <v>0</v>
      </c>
      <c r="AS177" s="75" t="b">
        <v>0</v>
      </c>
      <c r="AT177" s="75"/>
      <c r="AU177" s="75">
        <v>1</v>
      </c>
      <c r="AV177" s="75"/>
      <c r="AW177" s="75" t="b">
        <v>0</v>
      </c>
      <c r="AX177" s="75" t="s">
        <v>2845</v>
      </c>
      <c r="AY177" s="82" t="str">
        <f>HYPERLINK("https://twitter.com/luckystrike2030")</f>
        <v>https://twitter.com/luckystrike2030</v>
      </c>
      <c r="AZ177" s="75" t="s">
        <v>66</v>
      </c>
      <c r="BA177" s="75" t="str">
        <f>REPLACE(INDEX(GroupVertices[Group],MATCH(Vertices[[#This Row],[Vertex]],GroupVertices[Vertex],0)),1,1,"")</f>
        <v>27</v>
      </c>
      <c r="BB177" s="45">
        <v>0</v>
      </c>
      <c r="BC177" s="46">
        <v>0</v>
      </c>
      <c r="BD177" s="45">
        <v>0</v>
      </c>
      <c r="BE177" s="46">
        <v>0</v>
      </c>
      <c r="BF177" s="45">
        <v>0</v>
      </c>
      <c r="BG177" s="46">
        <v>0</v>
      </c>
      <c r="BH177" s="45">
        <v>24</v>
      </c>
      <c r="BI177" s="46">
        <v>100</v>
      </c>
      <c r="BJ177" s="45">
        <v>24</v>
      </c>
      <c r="BK177" s="45"/>
      <c r="BL177" s="45"/>
      <c r="BM177" s="45"/>
      <c r="BN177" s="45"/>
      <c r="BO177" s="45" t="s">
        <v>830</v>
      </c>
      <c r="BP177" s="45" t="s">
        <v>830</v>
      </c>
      <c r="BQ177" s="110" t="s">
        <v>4489</v>
      </c>
      <c r="BR177" s="110" t="s">
        <v>4489</v>
      </c>
      <c r="BS177" s="110" t="s">
        <v>4261</v>
      </c>
      <c r="BT177" s="110" t="s">
        <v>4261</v>
      </c>
      <c r="BU177" s="2"/>
    </row>
    <row r="178" spans="1:73" ht="15">
      <c r="A178" s="61" t="s">
        <v>355</v>
      </c>
      <c r="B178" s="62"/>
      <c r="C178" s="62"/>
      <c r="D178" s="63">
        <v>109.0909090909091</v>
      </c>
      <c r="E178" s="65"/>
      <c r="F178" s="99" t="str">
        <f>HYPERLINK("https://pbs.twimg.com/profile_images/1502033880651554816/3-5eV5Eu_normal.jpg")</f>
        <v>https://pbs.twimg.com/profile_images/1502033880651554816/3-5eV5Eu_normal.jpg</v>
      </c>
      <c r="G178" s="62"/>
      <c r="H178" s="66" t="s">
        <v>355</v>
      </c>
      <c r="I178" s="67"/>
      <c r="J178" s="67"/>
      <c r="K178" s="66" t="s">
        <v>3020</v>
      </c>
      <c r="L178" s="70">
        <v>14.335615190445607</v>
      </c>
      <c r="M178" s="71">
        <v>6731.0341796875</v>
      </c>
      <c r="N178" s="71">
        <v>4310.46630859375</v>
      </c>
      <c r="O178" s="72"/>
      <c r="P178" s="73"/>
      <c r="Q178" s="73"/>
      <c r="R178" s="85"/>
      <c r="S178" s="45">
        <v>4</v>
      </c>
      <c r="T178" s="45">
        <v>1</v>
      </c>
      <c r="U178" s="46">
        <v>6</v>
      </c>
      <c r="V178" s="46">
        <v>0.009174</v>
      </c>
      <c r="W178" s="46">
        <v>0</v>
      </c>
      <c r="X178" s="46">
        <v>0.003974</v>
      </c>
      <c r="Y178" s="46">
        <v>0</v>
      </c>
      <c r="Z178" s="46">
        <v>0</v>
      </c>
      <c r="AA178" s="68">
        <v>178</v>
      </c>
      <c r="AB178" s="68"/>
      <c r="AC178" s="69"/>
      <c r="AD178" s="75" t="s">
        <v>2012</v>
      </c>
      <c r="AE178" s="80" t="s">
        <v>2299</v>
      </c>
      <c r="AF178" s="75">
        <v>425</v>
      </c>
      <c r="AG178" s="75">
        <v>229</v>
      </c>
      <c r="AH178" s="75">
        <v>2052</v>
      </c>
      <c r="AI178" s="75">
        <v>4100</v>
      </c>
      <c r="AJ178" s="75"/>
      <c r="AK178" s="75" t="s">
        <v>2552</v>
      </c>
      <c r="AL178" s="75"/>
      <c r="AM178" s="75"/>
      <c r="AN178" s="75"/>
      <c r="AO178" s="77">
        <v>43148.90369212963</v>
      </c>
      <c r="AP178" s="75"/>
      <c r="AQ178" s="75" t="b">
        <v>1</v>
      </c>
      <c r="AR178" s="75" t="b">
        <v>0</v>
      </c>
      <c r="AS178" s="75" t="b">
        <v>1</v>
      </c>
      <c r="AT178" s="75"/>
      <c r="AU178" s="75">
        <v>2</v>
      </c>
      <c r="AV178" s="75"/>
      <c r="AW178" s="75" t="b">
        <v>0</v>
      </c>
      <c r="AX178" s="75" t="s">
        <v>2845</v>
      </c>
      <c r="AY178" s="82" t="str">
        <f>HYPERLINK("https://twitter.com/palmenco08")</f>
        <v>https://twitter.com/palmenco08</v>
      </c>
      <c r="AZ178" s="75" t="s">
        <v>66</v>
      </c>
      <c r="BA178" s="75" t="str">
        <f>REPLACE(INDEX(GroupVertices[Group],MATCH(Vertices[[#This Row],[Vertex]],GroupVertices[Vertex],0)),1,1,"")</f>
        <v>27</v>
      </c>
      <c r="BB178" s="45">
        <v>0</v>
      </c>
      <c r="BC178" s="46">
        <v>0</v>
      </c>
      <c r="BD178" s="45">
        <v>0</v>
      </c>
      <c r="BE178" s="46">
        <v>0</v>
      </c>
      <c r="BF178" s="45">
        <v>0</v>
      </c>
      <c r="BG178" s="46">
        <v>0</v>
      </c>
      <c r="BH178" s="45">
        <v>31</v>
      </c>
      <c r="BI178" s="46">
        <v>100</v>
      </c>
      <c r="BJ178" s="45">
        <v>31</v>
      </c>
      <c r="BK178" s="45" t="s">
        <v>4004</v>
      </c>
      <c r="BL178" s="45" t="s">
        <v>4004</v>
      </c>
      <c r="BM178" s="45" t="s">
        <v>783</v>
      </c>
      <c r="BN178" s="45" t="s">
        <v>783</v>
      </c>
      <c r="BO178" s="45" t="s">
        <v>4086</v>
      </c>
      <c r="BP178" s="45" t="s">
        <v>4431</v>
      </c>
      <c r="BQ178" s="110" t="s">
        <v>4126</v>
      </c>
      <c r="BR178" s="110" t="s">
        <v>4489</v>
      </c>
      <c r="BS178" s="110" t="s">
        <v>4261</v>
      </c>
      <c r="BT178" s="110" t="s">
        <v>4261</v>
      </c>
      <c r="BU178" s="2"/>
    </row>
    <row r="179" spans="1:73" ht="15">
      <c r="A179" s="61" t="s">
        <v>354</v>
      </c>
      <c r="B179" s="62"/>
      <c r="C179" s="62"/>
      <c r="D179" s="63">
        <v>100</v>
      </c>
      <c r="E179" s="65"/>
      <c r="F179" s="99" t="str">
        <f>HYPERLINK("https://pbs.twimg.com/profile_images/632176523789901825/HRK-IhIb_normal.jpg")</f>
        <v>https://pbs.twimg.com/profile_images/632176523789901825/HRK-IhIb_normal.jpg</v>
      </c>
      <c r="G179" s="62"/>
      <c r="H179" s="66" t="s">
        <v>354</v>
      </c>
      <c r="I179" s="67"/>
      <c r="J179" s="67"/>
      <c r="K179" s="66" t="s">
        <v>3021</v>
      </c>
      <c r="L179" s="70">
        <v>1</v>
      </c>
      <c r="M179" s="71">
        <v>6535.931640625</v>
      </c>
      <c r="N179" s="71">
        <v>4855.28369140625</v>
      </c>
      <c r="O179" s="72"/>
      <c r="P179" s="73"/>
      <c r="Q179" s="73"/>
      <c r="R179" s="85"/>
      <c r="S179" s="45">
        <v>0</v>
      </c>
      <c r="T179" s="45">
        <v>1</v>
      </c>
      <c r="U179" s="46">
        <v>0</v>
      </c>
      <c r="V179" s="46">
        <v>0.005505</v>
      </c>
      <c r="W179" s="46">
        <v>0</v>
      </c>
      <c r="X179" s="46">
        <v>0.00274</v>
      </c>
      <c r="Y179" s="46">
        <v>0</v>
      </c>
      <c r="Z179" s="46">
        <v>0</v>
      </c>
      <c r="AA179" s="68">
        <v>179</v>
      </c>
      <c r="AB179" s="68"/>
      <c r="AC179" s="69"/>
      <c r="AD179" s="75" t="s">
        <v>2013</v>
      </c>
      <c r="AE179" s="80" t="s">
        <v>2300</v>
      </c>
      <c r="AF179" s="75">
        <v>301</v>
      </c>
      <c r="AG179" s="75">
        <v>1453</v>
      </c>
      <c r="AH179" s="75">
        <v>201606</v>
      </c>
      <c r="AI179" s="75">
        <v>169730</v>
      </c>
      <c r="AJ179" s="75"/>
      <c r="AK179" s="75" t="s">
        <v>2553</v>
      </c>
      <c r="AL179" s="75"/>
      <c r="AM179" s="75"/>
      <c r="AN179" s="75"/>
      <c r="AO179" s="77">
        <v>41385.34327546296</v>
      </c>
      <c r="AP179" s="82" t="str">
        <f>HYPERLINK("https://pbs.twimg.com/profile_banners/1369005530/1555408311")</f>
        <v>https://pbs.twimg.com/profile_banners/1369005530/1555408311</v>
      </c>
      <c r="AQ179" s="75" t="b">
        <v>1</v>
      </c>
      <c r="AR179" s="75" t="b">
        <v>0</v>
      </c>
      <c r="AS179" s="75" t="b">
        <v>0</v>
      </c>
      <c r="AT179" s="75"/>
      <c r="AU179" s="75">
        <v>82</v>
      </c>
      <c r="AV179" s="82" t="str">
        <f>HYPERLINK("https://abs.twimg.com/images/themes/theme1/bg.png")</f>
        <v>https://abs.twimg.com/images/themes/theme1/bg.png</v>
      </c>
      <c r="AW179" s="75" t="b">
        <v>0</v>
      </c>
      <c r="AX179" s="75" t="s">
        <v>2845</v>
      </c>
      <c r="AY179" s="82" t="str">
        <f>HYPERLINK("https://twitter.com/giovannicalcara")</f>
        <v>https://twitter.com/giovannicalcara</v>
      </c>
      <c r="AZ179" s="75" t="s">
        <v>66</v>
      </c>
      <c r="BA179" s="75" t="str">
        <f>REPLACE(INDEX(GroupVertices[Group],MATCH(Vertices[[#This Row],[Vertex]],GroupVertices[Vertex],0)),1,1,"")</f>
        <v>27</v>
      </c>
      <c r="BB179" s="45">
        <v>0</v>
      </c>
      <c r="BC179" s="46">
        <v>0</v>
      </c>
      <c r="BD179" s="45">
        <v>0</v>
      </c>
      <c r="BE179" s="46">
        <v>0</v>
      </c>
      <c r="BF179" s="45">
        <v>0</v>
      </c>
      <c r="BG179" s="46">
        <v>0</v>
      </c>
      <c r="BH179" s="45">
        <v>24</v>
      </c>
      <c r="BI179" s="46">
        <v>100</v>
      </c>
      <c r="BJ179" s="45">
        <v>24</v>
      </c>
      <c r="BK179" s="45"/>
      <c r="BL179" s="45"/>
      <c r="BM179" s="45"/>
      <c r="BN179" s="45"/>
      <c r="BO179" s="45" t="s">
        <v>830</v>
      </c>
      <c r="BP179" s="45" t="s">
        <v>830</v>
      </c>
      <c r="BQ179" s="110" t="s">
        <v>4489</v>
      </c>
      <c r="BR179" s="110" t="s">
        <v>4489</v>
      </c>
      <c r="BS179" s="110" t="s">
        <v>4261</v>
      </c>
      <c r="BT179" s="110" t="s">
        <v>4261</v>
      </c>
      <c r="BU179" s="2"/>
    </row>
    <row r="180" spans="1:73" ht="15">
      <c r="A180" s="61" t="s">
        <v>356</v>
      </c>
      <c r="B180" s="62"/>
      <c r="C180" s="62"/>
      <c r="D180" s="63">
        <v>100</v>
      </c>
      <c r="E180" s="65"/>
      <c r="F180" s="99" t="str">
        <f>HYPERLINK("https://pbs.twimg.com/profile_images/1002284644409233408/vQryaOLG_normal.jpg")</f>
        <v>https://pbs.twimg.com/profile_images/1002284644409233408/vQryaOLG_normal.jpg</v>
      </c>
      <c r="G180" s="62"/>
      <c r="H180" s="66" t="s">
        <v>356</v>
      </c>
      <c r="I180" s="67"/>
      <c r="J180" s="67"/>
      <c r="K180" s="66" t="s">
        <v>3022</v>
      </c>
      <c r="L180" s="70">
        <v>1</v>
      </c>
      <c r="M180" s="71">
        <v>6535.931640625</v>
      </c>
      <c r="N180" s="71">
        <v>4310.46630859375</v>
      </c>
      <c r="O180" s="72"/>
      <c r="P180" s="73"/>
      <c r="Q180" s="73"/>
      <c r="R180" s="85"/>
      <c r="S180" s="45">
        <v>0</v>
      </c>
      <c r="T180" s="45">
        <v>1</v>
      </c>
      <c r="U180" s="46">
        <v>0</v>
      </c>
      <c r="V180" s="46">
        <v>0.005505</v>
      </c>
      <c r="W180" s="46">
        <v>0</v>
      </c>
      <c r="X180" s="46">
        <v>0.00274</v>
      </c>
      <c r="Y180" s="46">
        <v>0</v>
      </c>
      <c r="Z180" s="46">
        <v>0</v>
      </c>
      <c r="AA180" s="68">
        <v>180</v>
      </c>
      <c r="AB180" s="68"/>
      <c r="AC180" s="69"/>
      <c r="AD180" s="75" t="s">
        <v>2014</v>
      </c>
      <c r="AE180" s="80" t="s">
        <v>2301</v>
      </c>
      <c r="AF180" s="75">
        <v>1045</v>
      </c>
      <c r="AG180" s="75">
        <v>609</v>
      </c>
      <c r="AH180" s="75">
        <v>111493</v>
      </c>
      <c r="AI180" s="75">
        <v>61103</v>
      </c>
      <c r="AJ180" s="75"/>
      <c r="AK180" s="75"/>
      <c r="AL180" s="75"/>
      <c r="AM180" s="75"/>
      <c r="AN180" s="75"/>
      <c r="AO180" s="77">
        <v>40775.280810185184</v>
      </c>
      <c r="AP180" s="75"/>
      <c r="AQ180" s="75" t="b">
        <v>1</v>
      </c>
      <c r="AR180" s="75" t="b">
        <v>0</v>
      </c>
      <c r="AS180" s="75" t="b">
        <v>0</v>
      </c>
      <c r="AT180" s="75"/>
      <c r="AU180" s="75">
        <v>1</v>
      </c>
      <c r="AV180" s="82" t="str">
        <f>HYPERLINK("https://abs.twimg.com/images/themes/theme1/bg.png")</f>
        <v>https://abs.twimg.com/images/themes/theme1/bg.png</v>
      </c>
      <c r="AW180" s="75" t="b">
        <v>0</v>
      </c>
      <c r="AX180" s="75" t="s">
        <v>2845</v>
      </c>
      <c r="AY180" s="82" t="str">
        <f>HYPERLINK("https://twitter.com/robymark1")</f>
        <v>https://twitter.com/robymark1</v>
      </c>
      <c r="AZ180" s="75" t="s">
        <v>66</v>
      </c>
      <c r="BA180" s="75" t="str">
        <f>REPLACE(INDEX(GroupVertices[Group],MATCH(Vertices[[#This Row],[Vertex]],GroupVertices[Vertex],0)),1,1,"")</f>
        <v>27</v>
      </c>
      <c r="BB180" s="45">
        <v>0</v>
      </c>
      <c r="BC180" s="46">
        <v>0</v>
      </c>
      <c r="BD180" s="45">
        <v>0</v>
      </c>
      <c r="BE180" s="46">
        <v>0</v>
      </c>
      <c r="BF180" s="45">
        <v>0</v>
      </c>
      <c r="BG180" s="46">
        <v>0</v>
      </c>
      <c r="BH180" s="45">
        <v>24</v>
      </c>
      <c r="BI180" s="46">
        <v>100</v>
      </c>
      <c r="BJ180" s="45">
        <v>24</v>
      </c>
      <c r="BK180" s="45"/>
      <c r="BL180" s="45"/>
      <c r="BM180" s="45"/>
      <c r="BN180" s="45"/>
      <c r="BO180" s="45" t="s">
        <v>830</v>
      </c>
      <c r="BP180" s="45" t="s">
        <v>830</v>
      </c>
      <c r="BQ180" s="110" t="s">
        <v>4489</v>
      </c>
      <c r="BR180" s="110" t="s">
        <v>4489</v>
      </c>
      <c r="BS180" s="110" t="s">
        <v>4261</v>
      </c>
      <c r="BT180" s="110" t="s">
        <v>4261</v>
      </c>
      <c r="BU180" s="2"/>
    </row>
    <row r="181" spans="1:73" ht="15">
      <c r="A181" s="61" t="s">
        <v>357</v>
      </c>
      <c r="B181" s="62"/>
      <c r="C181" s="62"/>
      <c r="D181" s="63">
        <v>145.45454545454544</v>
      </c>
      <c r="E181" s="65"/>
      <c r="F181" s="99" t="str">
        <f>HYPERLINK("https://pbs.twimg.com/profile_images/1382752853865955330/I3PvsxEp_normal.jpg")</f>
        <v>https://pbs.twimg.com/profile_images/1382752853865955330/I3PvsxEp_normal.jpg</v>
      </c>
      <c r="G181" s="62"/>
      <c r="H181" s="66" t="s">
        <v>357</v>
      </c>
      <c r="I181" s="67"/>
      <c r="J181" s="67"/>
      <c r="K181" s="66" t="s">
        <v>3023</v>
      </c>
      <c r="L181" s="70">
        <v>67.67807595222803</v>
      </c>
      <c r="M181" s="71">
        <v>5048.275390625</v>
      </c>
      <c r="N181" s="71">
        <v>1378.0672607421875</v>
      </c>
      <c r="O181" s="72"/>
      <c r="P181" s="73"/>
      <c r="Q181" s="73"/>
      <c r="R181" s="85"/>
      <c r="S181" s="45">
        <v>0</v>
      </c>
      <c r="T181" s="45">
        <v>6</v>
      </c>
      <c r="U181" s="46">
        <v>30</v>
      </c>
      <c r="V181" s="46">
        <v>0.018349</v>
      </c>
      <c r="W181" s="46">
        <v>0</v>
      </c>
      <c r="X181" s="46">
        <v>0.005037</v>
      </c>
      <c r="Y181" s="46">
        <v>0</v>
      </c>
      <c r="Z181" s="46">
        <v>0</v>
      </c>
      <c r="AA181" s="68">
        <v>181</v>
      </c>
      <c r="AB181" s="68"/>
      <c r="AC181" s="69"/>
      <c r="AD181" s="75" t="s">
        <v>2015</v>
      </c>
      <c r="AE181" s="80" t="s">
        <v>2302</v>
      </c>
      <c r="AF181" s="75">
        <v>372</v>
      </c>
      <c r="AG181" s="75">
        <v>241</v>
      </c>
      <c r="AH181" s="75">
        <v>6401</v>
      </c>
      <c r="AI181" s="75">
        <v>6609</v>
      </c>
      <c r="AJ181" s="75"/>
      <c r="AK181" s="75" t="s">
        <v>2554</v>
      </c>
      <c r="AL181" s="75"/>
      <c r="AM181" s="75"/>
      <c r="AN181" s="75"/>
      <c r="AO181" s="77">
        <v>40814.84957175926</v>
      </c>
      <c r="AP181" s="82" t="str">
        <f>HYPERLINK("https://pbs.twimg.com/profile_banners/381717202/1636293079")</f>
        <v>https://pbs.twimg.com/profile_banners/381717202/1636293079</v>
      </c>
      <c r="AQ181" s="75" t="b">
        <v>1</v>
      </c>
      <c r="AR181" s="75" t="b">
        <v>0</v>
      </c>
      <c r="AS181" s="75" t="b">
        <v>0</v>
      </c>
      <c r="AT181" s="75"/>
      <c r="AU181" s="75">
        <v>0</v>
      </c>
      <c r="AV181" s="82" t="str">
        <f>HYPERLINK("https://abs.twimg.com/images/themes/theme1/bg.png")</f>
        <v>https://abs.twimg.com/images/themes/theme1/bg.png</v>
      </c>
      <c r="AW181" s="75" t="b">
        <v>0</v>
      </c>
      <c r="AX181" s="75" t="s">
        <v>2845</v>
      </c>
      <c r="AY181" s="82" t="str">
        <f>HYPERLINK("https://twitter.com/mark_dive")</f>
        <v>https://twitter.com/mark_dive</v>
      </c>
      <c r="AZ181" s="75" t="s">
        <v>66</v>
      </c>
      <c r="BA181" s="75" t="str">
        <f>REPLACE(INDEX(GroupVertices[Group],MATCH(Vertices[[#This Row],[Vertex]],GroupVertices[Vertex],0)),1,1,"")</f>
        <v>12</v>
      </c>
      <c r="BB181" s="45">
        <v>0</v>
      </c>
      <c r="BC181" s="46">
        <v>0</v>
      </c>
      <c r="BD181" s="45">
        <v>0</v>
      </c>
      <c r="BE181" s="46">
        <v>0</v>
      </c>
      <c r="BF181" s="45">
        <v>0</v>
      </c>
      <c r="BG181" s="46">
        <v>0</v>
      </c>
      <c r="BH181" s="45">
        <v>86</v>
      </c>
      <c r="BI181" s="46">
        <v>100</v>
      </c>
      <c r="BJ181" s="45">
        <v>86</v>
      </c>
      <c r="BK181" s="45"/>
      <c r="BL181" s="45"/>
      <c r="BM181" s="45"/>
      <c r="BN181" s="45"/>
      <c r="BO181" s="45" t="s">
        <v>4415</v>
      </c>
      <c r="BP181" s="45" t="s">
        <v>4432</v>
      </c>
      <c r="BQ181" s="110" t="s">
        <v>4490</v>
      </c>
      <c r="BR181" s="110" t="s">
        <v>4550</v>
      </c>
      <c r="BS181" s="110" t="s">
        <v>4607</v>
      </c>
      <c r="BT181" s="110" t="s">
        <v>4657</v>
      </c>
      <c r="BU181" s="2"/>
    </row>
    <row r="182" spans="1:73" ht="15">
      <c r="A182" s="61" t="s">
        <v>505</v>
      </c>
      <c r="B182" s="62"/>
      <c r="C182" s="62"/>
      <c r="D182" s="63">
        <v>100</v>
      </c>
      <c r="E182" s="65"/>
      <c r="F182" s="99" t="str">
        <f>HYPERLINK("https://pbs.twimg.com/profile_images/1556804075836129281/X3SE3fS-_normal.jpg")</f>
        <v>https://pbs.twimg.com/profile_images/1556804075836129281/X3SE3fS-_normal.jpg</v>
      </c>
      <c r="G182" s="62"/>
      <c r="H182" s="66" t="s">
        <v>505</v>
      </c>
      <c r="I182" s="67"/>
      <c r="J182" s="67"/>
      <c r="K182" s="66" t="s">
        <v>3024</v>
      </c>
      <c r="L182" s="70">
        <v>1</v>
      </c>
      <c r="M182" s="71">
        <v>5289.49658203125</v>
      </c>
      <c r="N182" s="71">
        <v>1936.7794189453125</v>
      </c>
      <c r="O182" s="72"/>
      <c r="P182" s="73"/>
      <c r="Q182" s="73"/>
      <c r="R182" s="85"/>
      <c r="S182" s="45">
        <v>1</v>
      </c>
      <c r="T182" s="45">
        <v>0</v>
      </c>
      <c r="U182" s="46">
        <v>0</v>
      </c>
      <c r="V182" s="46">
        <v>0.010008</v>
      </c>
      <c r="W182" s="46">
        <v>0</v>
      </c>
      <c r="X182" s="46">
        <v>0.002717</v>
      </c>
      <c r="Y182" s="46">
        <v>0</v>
      </c>
      <c r="Z182" s="46">
        <v>0</v>
      </c>
      <c r="AA182" s="68">
        <v>182</v>
      </c>
      <c r="AB182" s="68"/>
      <c r="AC182" s="69"/>
      <c r="AD182" s="75" t="s">
        <v>2016</v>
      </c>
      <c r="AE182" s="80" t="s">
        <v>1711</v>
      </c>
      <c r="AF182" s="75">
        <v>416</v>
      </c>
      <c r="AG182" s="75">
        <v>141</v>
      </c>
      <c r="AH182" s="75">
        <v>2673</v>
      </c>
      <c r="AI182" s="75">
        <v>5934</v>
      </c>
      <c r="AJ182" s="75"/>
      <c r="AK182" s="75" t="s">
        <v>2555</v>
      </c>
      <c r="AL182" s="75"/>
      <c r="AM182" s="75"/>
      <c r="AN182" s="75"/>
      <c r="AO182" s="77">
        <v>44615.73672453704</v>
      </c>
      <c r="AP182" s="82" t="str">
        <f>HYPERLINK("https://pbs.twimg.com/profile_banners/1496540039450443779/1648659642")</f>
        <v>https://pbs.twimg.com/profile_banners/1496540039450443779/1648659642</v>
      </c>
      <c r="AQ182" s="75" t="b">
        <v>1</v>
      </c>
      <c r="AR182" s="75" t="b">
        <v>0</v>
      </c>
      <c r="AS182" s="75" t="b">
        <v>0</v>
      </c>
      <c r="AT182" s="75"/>
      <c r="AU182" s="75">
        <v>2</v>
      </c>
      <c r="AV182" s="75"/>
      <c r="AW182" s="75" t="b">
        <v>0</v>
      </c>
      <c r="AX182" s="75" t="s">
        <v>2845</v>
      </c>
      <c r="AY182" s="82" t="str">
        <f>HYPERLINK("https://twitter.com/ilpolemista4")</f>
        <v>https://twitter.com/ilpolemista4</v>
      </c>
      <c r="AZ182" s="75" t="s">
        <v>65</v>
      </c>
      <c r="BA182" s="75" t="str">
        <f>REPLACE(INDEX(GroupVertices[Group],MATCH(Vertices[[#This Row],[Vertex]],GroupVertices[Vertex],0)),1,1,"")</f>
        <v>12</v>
      </c>
      <c r="BB182" s="45"/>
      <c r="BC182" s="46"/>
      <c r="BD182" s="45"/>
      <c r="BE182" s="46"/>
      <c r="BF182" s="45"/>
      <c r="BG182" s="46"/>
      <c r="BH182" s="45"/>
      <c r="BI182" s="46"/>
      <c r="BJ182" s="45"/>
      <c r="BK182" s="45"/>
      <c r="BL182" s="45"/>
      <c r="BM182" s="45"/>
      <c r="BN182" s="45"/>
      <c r="BO182" s="45"/>
      <c r="BP182" s="45"/>
      <c r="BQ182" s="45"/>
      <c r="BR182" s="45"/>
      <c r="BS182" s="45"/>
      <c r="BT182" s="45"/>
      <c r="BU182" s="2"/>
    </row>
    <row r="183" spans="1:73" ht="15">
      <c r="A183" s="61" t="s">
        <v>506</v>
      </c>
      <c r="B183" s="62"/>
      <c r="C183" s="62"/>
      <c r="D183" s="63">
        <v>100</v>
      </c>
      <c r="E183" s="65"/>
      <c r="F183" s="99" t="str">
        <f>HYPERLINK("https://pbs.twimg.com/profile_images/1293807573662040065/Ww32zTTw_normal.jpg")</f>
        <v>https://pbs.twimg.com/profile_images/1293807573662040065/Ww32zTTw_normal.jpg</v>
      </c>
      <c r="G183" s="62"/>
      <c r="H183" s="66" t="s">
        <v>506</v>
      </c>
      <c r="I183" s="67"/>
      <c r="J183" s="67"/>
      <c r="K183" s="66" t="s">
        <v>3025</v>
      </c>
      <c r="L183" s="70">
        <v>1</v>
      </c>
      <c r="M183" s="71">
        <v>4807.0546875</v>
      </c>
      <c r="N183" s="71">
        <v>819.3551025390625</v>
      </c>
      <c r="O183" s="72"/>
      <c r="P183" s="73"/>
      <c r="Q183" s="73"/>
      <c r="R183" s="85"/>
      <c r="S183" s="45">
        <v>1</v>
      </c>
      <c r="T183" s="45">
        <v>0</v>
      </c>
      <c r="U183" s="46">
        <v>0</v>
      </c>
      <c r="V183" s="46">
        <v>0.010008</v>
      </c>
      <c r="W183" s="46">
        <v>0</v>
      </c>
      <c r="X183" s="46">
        <v>0.002717</v>
      </c>
      <c r="Y183" s="46">
        <v>0</v>
      </c>
      <c r="Z183" s="46">
        <v>0</v>
      </c>
      <c r="AA183" s="68">
        <v>183</v>
      </c>
      <c r="AB183" s="68"/>
      <c r="AC183" s="69"/>
      <c r="AD183" s="75" t="s">
        <v>2017</v>
      </c>
      <c r="AE183" s="80" t="s">
        <v>1712</v>
      </c>
      <c r="AF183" s="75">
        <v>2806</v>
      </c>
      <c r="AG183" s="75">
        <v>107619</v>
      </c>
      <c r="AH183" s="75">
        <v>67480</v>
      </c>
      <c r="AI183" s="75">
        <v>43675</v>
      </c>
      <c r="AJ183" s="75"/>
      <c r="AK183" s="75" t="s">
        <v>2556</v>
      </c>
      <c r="AL183" s="75" t="s">
        <v>2768</v>
      </c>
      <c r="AM183" s="82" t="str">
        <f>HYPERLINK("https://t.co/HHygjx4vle")</f>
        <v>https://t.co/HHygjx4vle</v>
      </c>
      <c r="AN183" s="75"/>
      <c r="AO183" s="77">
        <v>40959.656701388885</v>
      </c>
      <c r="AP183" s="82" t="str">
        <f>HYPERLINK("https://pbs.twimg.com/profile_banners/497995758/1552552786")</f>
        <v>https://pbs.twimg.com/profile_banners/497995758/1552552786</v>
      </c>
      <c r="AQ183" s="75" t="b">
        <v>0</v>
      </c>
      <c r="AR183" s="75" t="b">
        <v>0</v>
      </c>
      <c r="AS183" s="75" t="b">
        <v>1</v>
      </c>
      <c r="AT183" s="75"/>
      <c r="AU183" s="75">
        <v>786</v>
      </c>
      <c r="AV183" s="82" t="str">
        <f>HYPERLINK("https://abs.twimg.com/images/themes/theme1/bg.png")</f>
        <v>https://abs.twimg.com/images/themes/theme1/bg.png</v>
      </c>
      <c r="AW183" s="75" t="b">
        <v>0</v>
      </c>
      <c r="AX183" s="75" t="s">
        <v>2845</v>
      </c>
      <c r="AY183" s="82" t="str">
        <f>HYPERLINK("https://twitter.com/jacopo_iacoboni")</f>
        <v>https://twitter.com/jacopo_iacoboni</v>
      </c>
      <c r="AZ183" s="75" t="s">
        <v>65</v>
      </c>
      <c r="BA183" s="75" t="str">
        <f>REPLACE(INDEX(GroupVertices[Group],MATCH(Vertices[[#This Row],[Vertex]],GroupVertices[Vertex],0)),1,1,"")</f>
        <v>12</v>
      </c>
      <c r="BB183" s="45"/>
      <c r="BC183" s="46"/>
      <c r="BD183" s="45"/>
      <c r="BE183" s="46"/>
      <c r="BF183" s="45"/>
      <c r="BG183" s="46"/>
      <c r="BH183" s="45"/>
      <c r="BI183" s="46"/>
      <c r="BJ183" s="45"/>
      <c r="BK183" s="45"/>
      <c r="BL183" s="45"/>
      <c r="BM183" s="45"/>
      <c r="BN183" s="45"/>
      <c r="BO183" s="45"/>
      <c r="BP183" s="45"/>
      <c r="BQ183" s="45"/>
      <c r="BR183" s="45"/>
      <c r="BS183" s="45"/>
      <c r="BT183" s="45"/>
      <c r="BU183" s="2"/>
    </row>
    <row r="184" spans="1:73" ht="15">
      <c r="A184" s="61" t="s">
        <v>507</v>
      </c>
      <c r="B184" s="62"/>
      <c r="C184" s="62"/>
      <c r="D184" s="63">
        <v>100</v>
      </c>
      <c r="E184" s="65"/>
      <c r="F184" s="99" t="str">
        <f>HYPERLINK("https://pbs.twimg.com/profile_images/1176983718294106112/cJMdtg22_normal.jpg")</f>
        <v>https://pbs.twimg.com/profile_images/1176983718294106112/cJMdtg22_normal.jpg</v>
      </c>
      <c r="G184" s="62"/>
      <c r="H184" s="66" t="s">
        <v>507</v>
      </c>
      <c r="I184" s="67"/>
      <c r="J184" s="67"/>
      <c r="K184" s="66" t="s">
        <v>3026</v>
      </c>
      <c r="L184" s="70">
        <v>1</v>
      </c>
      <c r="M184" s="71">
        <v>4706.84619140625</v>
      </c>
      <c r="N184" s="71">
        <v>1556.4609375</v>
      </c>
      <c r="O184" s="72"/>
      <c r="P184" s="73"/>
      <c r="Q184" s="73"/>
      <c r="R184" s="85"/>
      <c r="S184" s="45">
        <v>1</v>
      </c>
      <c r="T184" s="45">
        <v>0</v>
      </c>
      <c r="U184" s="46">
        <v>0</v>
      </c>
      <c r="V184" s="46">
        <v>0.010008</v>
      </c>
      <c r="W184" s="46">
        <v>0</v>
      </c>
      <c r="X184" s="46">
        <v>0.002717</v>
      </c>
      <c r="Y184" s="46">
        <v>0</v>
      </c>
      <c r="Z184" s="46">
        <v>0</v>
      </c>
      <c r="AA184" s="68">
        <v>184</v>
      </c>
      <c r="AB184" s="68"/>
      <c r="AC184" s="69"/>
      <c r="AD184" s="75" t="s">
        <v>2018</v>
      </c>
      <c r="AE184" s="80" t="s">
        <v>2303</v>
      </c>
      <c r="AF184" s="75">
        <v>754</v>
      </c>
      <c r="AG184" s="75">
        <v>38594</v>
      </c>
      <c r="AH184" s="75">
        <v>2073</v>
      </c>
      <c r="AI184" s="75">
        <v>3374</v>
      </c>
      <c r="AJ184" s="75"/>
      <c r="AK184" s="75" t="s">
        <v>2557</v>
      </c>
      <c r="AL184" s="75"/>
      <c r="AM184" s="75"/>
      <c r="AN184" s="75"/>
      <c r="AO184" s="77">
        <v>41533.355162037034</v>
      </c>
      <c r="AP184" s="82" t="str">
        <f>HYPERLINK("https://pbs.twimg.com/profile_banners/1870754606/1442707720")</f>
        <v>https://pbs.twimg.com/profile_banners/1870754606/1442707720</v>
      </c>
      <c r="AQ184" s="75" t="b">
        <v>1</v>
      </c>
      <c r="AR184" s="75" t="b">
        <v>0</v>
      </c>
      <c r="AS184" s="75" t="b">
        <v>0</v>
      </c>
      <c r="AT184" s="75"/>
      <c r="AU184" s="75">
        <v>385</v>
      </c>
      <c r="AV184" s="82" t="str">
        <f>HYPERLINK("https://abs.twimg.com/images/themes/theme1/bg.png")</f>
        <v>https://abs.twimg.com/images/themes/theme1/bg.png</v>
      </c>
      <c r="AW184" s="75" t="b">
        <v>1</v>
      </c>
      <c r="AX184" s="75" t="s">
        <v>2845</v>
      </c>
      <c r="AY184" s="82" t="str">
        <f>HYPERLINK("https://twitter.com/guerini_lorenzo")</f>
        <v>https://twitter.com/guerini_lorenzo</v>
      </c>
      <c r="AZ184" s="75" t="s">
        <v>65</v>
      </c>
      <c r="BA184" s="75" t="str">
        <f>REPLACE(INDEX(GroupVertices[Group],MATCH(Vertices[[#This Row],[Vertex]],GroupVertices[Vertex],0)),1,1,"")</f>
        <v>12</v>
      </c>
      <c r="BB184" s="45"/>
      <c r="BC184" s="46"/>
      <c r="BD184" s="45"/>
      <c r="BE184" s="46"/>
      <c r="BF184" s="45"/>
      <c r="BG184" s="46"/>
      <c r="BH184" s="45"/>
      <c r="BI184" s="46"/>
      <c r="BJ184" s="45"/>
      <c r="BK184" s="45"/>
      <c r="BL184" s="45"/>
      <c r="BM184" s="45"/>
      <c r="BN184" s="45"/>
      <c r="BO184" s="45"/>
      <c r="BP184" s="45"/>
      <c r="BQ184" s="45"/>
      <c r="BR184" s="45"/>
      <c r="BS184" s="45"/>
      <c r="BT184" s="45"/>
      <c r="BU184" s="2"/>
    </row>
    <row r="185" spans="1:73" ht="15">
      <c r="A185" s="61" t="s">
        <v>508</v>
      </c>
      <c r="B185" s="62"/>
      <c r="C185" s="62"/>
      <c r="D185" s="63">
        <v>100</v>
      </c>
      <c r="E185" s="65"/>
      <c r="F185" s="99" t="str">
        <f>HYPERLINK("https://pbs.twimg.com/profile_images/1568584913783296000/QGXOPGwW_normal.jpg")</f>
        <v>https://pbs.twimg.com/profile_images/1568584913783296000/QGXOPGwW_normal.jpg</v>
      </c>
      <c r="G185" s="62"/>
      <c r="H185" s="66" t="s">
        <v>508</v>
      </c>
      <c r="I185" s="67"/>
      <c r="J185" s="67"/>
      <c r="K185" s="66" t="s">
        <v>3027</v>
      </c>
      <c r="L185" s="70">
        <v>1</v>
      </c>
      <c r="M185" s="71">
        <v>5389.705078125</v>
      </c>
      <c r="N185" s="71">
        <v>1199.6737060546875</v>
      </c>
      <c r="O185" s="72"/>
      <c r="P185" s="73"/>
      <c r="Q185" s="73"/>
      <c r="R185" s="85"/>
      <c r="S185" s="45">
        <v>1</v>
      </c>
      <c r="T185" s="45">
        <v>0</v>
      </c>
      <c r="U185" s="46">
        <v>0</v>
      </c>
      <c r="V185" s="46">
        <v>0.010008</v>
      </c>
      <c r="W185" s="46">
        <v>0</v>
      </c>
      <c r="X185" s="46">
        <v>0.002717</v>
      </c>
      <c r="Y185" s="46">
        <v>0</v>
      </c>
      <c r="Z185" s="46">
        <v>0</v>
      </c>
      <c r="AA185" s="68">
        <v>185</v>
      </c>
      <c r="AB185" s="68"/>
      <c r="AC185" s="69"/>
      <c r="AD185" s="75" t="s">
        <v>2019</v>
      </c>
      <c r="AE185" s="80" t="s">
        <v>1713</v>
      </c>
      <c r="AF185" s="75">
        <v>112</v>
      </c>
      <c r="AG185" s="75">
        <v>50</v>
      </c>
      <c r="AH185" s="75">
        <v>2879</v>
      </c>
      <c r="AI185" s="75">
        <v>3122</v>
      </c>
      <c r="AJ185" s="75"/>
      <c r="AK185" s="75" t="s">
        <v>2558</v>
      </c>
      <c r="AL185" s="75" t="s">
        <v>2769</v>
      </c>
      <c r="AM185" s="75"/>
      <c r="AN185" s="75"/>
      <c r="AO185" s="77">
        <v>44692.669756944444</v>
      </c>
      <c r="AP185" s="82" t="str">
        <f>HYPERLINK("https://pbs.twimg.com/profile_banners/1524419766609403907/1662758578")</f>
        <v>https://pbs.twimg.com/profile_banners/1524419766609403907/1662758578</v>
      </c>
      <c r="AQ185" s="75" t="b">
        <v>1</v>
      </c>
      <c r="AR185" s="75" t="b">
        <v>0</v>
      </c>
      <c r="AS185" s="75" t="b">
        <v>0</v>
      </c>
      <c r="AT185" s="75"/>
      <c r="AU185" s="75">
        <v>0</v>
      </c>
      <c r="AV185" s="75"/>
      <c r="AW185" s="75" t="b">
        <v>0</v>
      </c>
      <c r="AX185" s="75" t="s">
        <v>2845</v>
      </c>
      <c r="AY185" s="82" t="str">
        <f>HYPERLINK("https://twitter.com/vita66011510")</f>
        <v>https://twitter.com/vita66011510</v>
      </c>
      <c r="AZ185" s="75" t="s">
        <v>65</v>
      </c>
      <c r="BA185" s="75" t="str">
        <f>REPLACE(INDEX(GroupVertices[Group],MATCH(Vertices[[#This Row],[Vertex]],GroupVertices[Vertex],0)),1,1,"")</f>
        <v>12</v>
      </c>
      <c r="BB185" s="45"/>
      <c r="BC185" s="46"/>
      <c r="BD185" s="45"/>
      <c r="BE185" s="46"/>
      <c r="BF185" s="45"/>
      <c r="BG185" s="46"/>
      <c r="BH185" s="45"/>
      <c r="BI185" s="46"/>
      <c r="BJ185" s="45"/>
      <c r="BK185" s="45"/>
      <c r="BL185" s="45"/>
      <c r="BM185" s="45"/>
      <c r="BN185" s="45"/>
      <c r="BO185" s="45"/>
      <c r="BP185" s="45"/>
      <c r="BQ185" s="45"/>
      <c r="BR185" s="45"/>
      <c r="BS185" s="45"/>
      <c r="BT185" s="45"/>
      <c r="BU185" s="2"/>
    </row>
    <row r="186" spans="1:73" ht="15">
      <c r="A186" s="61" t="s">
        <v>509</v>
      </c>
      <c r="B186" s="62"/>
      <c r="C186" s="62"/>
      <c r="D186" s="63">
        <v>100</v>
      </c>
      <c r="E186" s="65"/>
      <c r="F186" s="99" t="str">
        <f>HYPERLINK("https://pbs.twimg.com/profile_images/1569081325721714691/mKgCcoEH_normal.jpg")</f>
        <v>https://pbs.twimg.com/profile_images/1569081325721714691/mKgCcoEH_normal.jpg</v>
      </c>
      <c r="G186" s="62"/>
      <c r="H186" s="66" t="s">
        <v>509</v>
      </c>
      <c r="I186" s="67"/>
      <c r="J186" s="67"/>
      <c r="K186" s="66" t="s">
        <v>3028</v>
      </c>
      <c r="L186" s="70">
        <v>1</v>
      </c>
      <c r="M186" s="71">
        <v>4948.06689453125</v>
      </c>
      <c r="N186" s="71">
        <v>2115.173095703125</v>
      </c>
      <c r="O186" s="72"/>
      <c r="P186" s="73"/>
      <c r="Q186" s="73"/>
      <c r="R186" s="85"/>
      <c r="S186" s="45">
        <v>1</v>
      </c>
      <c r="T186" s="45">
        <v>0</v>
      </c>
      <c r="U186" s="46">
        <v>0</v>
      </c>
      <c r="V186" s="46">
        <v>0.010008</v>
      </c>
      <c r="W186" s="46">
        <v>0</v>
      </c>
      <c r="X186" s="46">
        <v>0.002717</v>
      </c>
      <c r="Y186" s="46">
        <v>0</v>
      </c>
      <c r="Z186" s="46">
        <v>0</v>
      </c>
      <c r="AA186" s="68">
        <v>186</v>
      </c>
      <c r="AB186" s="68"/>
      <c r="AC186" s="69"/>
      <c r="AD186" s="75" t="s">
        <v>2020</v>
      </c>
      <c r="AE186" s="80" t="s">
        <v>1714</v>
      </c>
      <c r="AF186" s="75">
        <v>0</v>
      </c>
      <c r="AG186" s="75">
        <v>6653</v>
      </c>
      <c r="AH186" s="75">
        <v>19</v>
      </c>
      <c r="AI186" s="75">
        <v>5001</v>
      </c>
      <c r="AJ186" s="75"/>
      <c r="AK186" s="75"/>
      <c r="AL186" s="75"/>
      <c r="AM186" s="75"/>
      <c r="AN186" s="75"/>
      <c r="AO186" s="77">
        <v>39930.483923611115</v>
      </c>
      <c r="AP186" s="75"/>
      <c r="AQ186" s="75" t="b">
        <v>0</v>
      </c>
      <c r="AR186" s="75" t="b">
        <v>0</v>
      </c>
      <c r="AS186" s="75" t="b">
        <v>1</v>
      </c>
      <c r="AT186" s="75"/>
      <c r="AU186" s="75">
        <v>73</v>
      </c>
      <c r="AV186" s="82" t="str">
        <f>HYPERLINK("https://abs.twimg.com/images/themes/theme16/bg.gif")</f>
        <v>https://abs.twimg.com/images/themes/theme16/bg.gif</v>
      </c>
      <c r="AW186" s="75" t="b">
        <v>1</v>
      </c>
      <c r="AX186" s="75" t="s">
        <v>2845</v>
      </c>
      <c r="AY186" s="82" t="str">
        <f>HYPERLINK("https://twitter.com/aldotorchiaro")</f>
        <v>https://twitter.com/aldotorchiaro</v>
      </c>
      <c r="AZ186" s="75" t="s">
        <v>65</v>
      </c>
      <c r="BA186" s="75" t="str">
        <f>REPLACE(INDEX(GroupVertices[Group],MATCH(Vertices[[#This Row],[Vertex]],GroupVertices[Vertex],0)),1,1,"")</f>
        <v>12</v>
      </c>
      <c r="BB186" s="45"/>
      <c r="BC186" s="46"/>
      <c r="BD186" s="45"/>
      <c r="BE186" s="46"/>
      <c r="BF186" s="45"/>
      <c r="BG186" s="46"/>
      <c r="BH186" s="45"/>
      <c r="BI186" s="46"/>
      <c r="BJ186" s="45"/>
      <c r="BK186" s="45"/>
      <c r="BL186" s="45"/>
      <c r="BM186" s="45"/>
      <c r="BN186" s="45"/>
      <c r="BO186" s="45"/>
      <c r="BP186" s="45"/>
      <c r="BQ186" s="45"/>
      <c r="BR186" s="45"/>
      <c r="BS186" s="45"/>
      <c r="BT186" s="45"/>
      <c r="BU186" s="2"/>
    </row>
    <row r="187" spans="1:73" ht="15">
      <c r="A187" s="61" t="s">
        <v>510</v>
      </c>
      <c r="B187" s="62"/>
      <c r="C187" s="62"/>
      <c r="D187" s="63">
        <v>100</v>
      </c>
      <c r="E187" s="65"/>
      <c r="F187" s="99" t="str">
        <f>HYPERLINK("https://pbs.twimg.com/profile_images/917394738151649280/Qn-v07Ts_normal.jpg")</f>
        <v>https://pbs.twimg.com/profile_images/917394738151649280/Qn-v07Ts_normal.jpg</v>
      </c>
      <c r="G187" s="62"/>
      <c r="H187" s="66" t="s">
        <v>510</v>
      </c>
      <c r="I187" s="67"/>
      <c r="J187" s="67"/>
      <c r="K187" s="66" t="s">
        <v>3029</v>
      </c>
      <c r="L187" s="70">
        <v>1</v>
      </c>
      <c r="M187" s="71">
        <v>5148.4833984375</v>
      </c>
      <c r="N187" s="71">
        <v>640.9615478515625</v>
      </c>
      <c r="O187" s="72"/>
      <c r="P187" s="73"/>
      <c r="Q187" s="73"/>
      <c r="R187" s="85"/>
      <c r="S187" s="45">
        <v>1</v>
      </c>
      <c r="T187" s="45">
        <v>0</v>
      </c>
      <c r="U187" s="46">
        <v>0</v>
      </c>
      <c r="V187" s="46">
        <v>0.010008</v>
      </c>
      <c r="W187" s="46">
        <v>0</v>
      </c>
      <c r="X187" s="46">
        <v>0.002717</v>
      </c>
      <c r="Y187" s="46">
        <v>0</v>
      </c>
      <c r="Z187" s="46">
        <v>0</v>
      </c>
      <c r="AA187" s="68">
        <v>187</v>
      </c>
      <c r="AB187" s="68"/>
      <c r="AC187" s="69"/>
      <c r="AD187" s="75" t="s">
        <v>2021</v>
      </c>
      <c r="AE187" s="80" t="s">
        <v>1715</v>
      </c>
      <c r="AF187" s="75">
        <v>997</v>
      </c>
      <c r="AG187" s="75">
        <v>38699</v>
      </c>
      <c r="AH187" s="75">
        <v>66744</v>
      </c>
      <c r="AI187" s="75">
        <v>54691</v>
      </c>
      <c r="AJ187" s="75"/>
      <c r="AK187" s="75" t="s">
        <v>2559</v>
      </c>
      <c r="AL187" s="75" t="s">
        <v>2770</v>
      </c>
      <c r="AM187" s="82" t="str">
        <f>HYPERLINK("https://t.co/RG04CdDCik")</f>
        <v>https://t.co/RG04CdDCik</v>
      </c>
      <c r="AN187" s="75"/>
      <c r="AO187" s="77">
        <v>40025.889502314814</v>
      </c>
      <c r="AP187" s="82" t="str">
        <f>HYPERLINK("https://pbs.twimg.com/profile_banners/61877999/1510098307")</f>
        <v>https://pbs.twimg.com/profile_banners/61877999/1510098307</v>
      </c>
      <c r="AQ187" s="75" t="b">
        <v>0</v>
      </c>
      <c r="AR187" s="75" t="b">
        <v>0</v>
      </c>
      <c r="AS187" s="75" t="b">
        <v>1</v>
      </c>
      <c r="AT187" s="75"/>
      <c r="AU187" s="75">
        <v>317</v>
      </c>
      <c r="AV187" s="82" t="str">
        <f>HYPERLINK("https://abs.twimg.com/images/themes/theme13/bg.gif")</f>
        <v>https://abs.twimg.com/images/themes/theme13/bg.gif</v>
      </c>
      <c r="AW187" s="75" t="b">
        <v>1</v>
      </c>
      <c r="AX187" s="75" t="s">
        <v>2845</v>
      </c>
      <c r="AY187" s="82" t="str">
        <f>HYPERLINK("https://twitter.com/pietroraffa")</f>
        <v>https://twitter.com/pietroraffa</v>
      </c>
      <c r="AZ187" s="75" t="s">
        <v>65</v>
      </c>
      <c r="BA187" s="75" t="str">
        <f>REPLACE(INDEX(GroupVertices[Group],MATCH(Vertices[[#This Row],[Vertex]],GroupVertices[Vertex],0)),1,1,"")</f>
        <v>12</v>
      </c>
      <c r="BB187" s="45"/>
      <c r="BC187" s="46"/>
      <c r="BD187" s="45"/>
      <c r="BE187" s="46"/>
      <c r="BF187" s="45"/>
      <c r="BG187" s="46"/>
      <c r="BH187" s="45"/>
      <c r="BI187" s="46"/>
      <c r="BJ187" s="45"/>
      <c r="BK187" s="45"/>
      <c r="BL187" s="45"/>
      <c r="BM187" s="45"/>
      <c r="BN187" s="45"/>
      <c r="BO187" s="45"/>
      <c r="BP187" s="45"/>
      <c r="BQ187" s="45"/>
      <c r="BR187" s="45"/>
      <c r="BS187" s="45"/>
      <c r="BT187" s="45"/>
      <c r="BU187" s="2"/>
    </row>
    <row r="188" spans="1:73" ht="15">
      <c r="A188" s="61" t="s">
        <v>358</v>
      </c>
      <c r="B188" s="62"/>
      <c r="C188" s="62"/>
      <c r="D188" s="63">
        <v>100</v>
      </c>
      <c r="E188" s="65"/>
      <c r="F188" s="99" t="str">
        <f>HYPERLINK("https://pbs.twimg.com/profile_images/1490317095183294464/1tjDF5N-_normal.jpg")</f>
        <v>https://pbs.twimg.com/profile_images/1490317095183294464/1tjDF5N-_normal.jpg</v>
      </c>
      <c r="G188" s="62"/>
      <c r="H188" s="66" t="s">
        <v>358</v>
      </c>
      <c r="I188" s="67"/>
      <c r="J188" s="67"/>
      <c r="K188" s="66" t="s">
        <v>3030</v>
      </c>
      <c r="L188" s="70">
        <v>1</v>
      </c>
      <c r="M188" s="71">
        <v>6194.50244140625</v>
      </c>
      <c r="N188" s="71">
        <v>1394.8013916015625</v>
      </c>
      <c r="O188" s="72"/>
      <c r="P188" s="73"/>
      <c r="Q188" s="73"/>
      <c r="R188" s="85"/>
      <c r="S188" s="45">
        <v>0</v>
      </c>
      <c r="T188" s="45">
        <v>1</v>
      </c>
      <c r="U188" s="46">
        <v>0</v>
      </c>
      <c r="V188" s="46">
        <v>0.00699</v>
      </c>
      <c r="W188" s="46">
        <v>0</v>
      </c>
      <c r="X188" s="46">
        <v>0.002722</v>
      </c>
      <c r="Y188" s="46">
        <v>0</v>
      </c>
      <c r="Z188" s="46">
        <v>0</v>
      </c>
      <c r="AA188" s="68">
        <v>188</v>
      </c>
      <c r="AB188" s="68"/>
      <c r="AC188" s="69"/>
      <c r="AD188" s="75" t="s">
        <v>2022</v>
      </c>
      <c r="AE188" s="80" t="s">
        <v>2304</v>
      </c>
      <c r="AF188" s="75">
        <v>1992</v>
      </c>
      <c r="AG188" s="75">
        <v>1013</v>
      </c>
      <c r="AH188" s="75">
        <v>11084</v>
      </c>
      <c r="AI188" s="75">
        <v>13956</v>
      </c>
      <c r="AJ188" s="75"/>
      <c r="AK188" s="75" t="s">
        <v>2560</v>
      </c>
      <c r="AL188" s="75" t="s">
        <v>2771</v>
      </c>
      <c r="AM188" s="75"/>
      <c r="AN188" s="75"/>
      <c r="AO188" s="77">
        <v>41512.27746527778</v>
      </c>
      <c r="AP188" s="82" t="str">
        <f>HYPERLINK("https://pbs.twimg.com/profile_banners/1701134648/1638539501")</f>
        <v>https://pbs.twimg.com/profile_banners/1701134648/1638539501</v>
      </c>
      <c r="AQ188" s="75" t="b">
        <v>0</v>
      </c>
      <c r="AR188" s="75" t="b">
        <v>0</v>
      </c>
      <c r="AS188" s="75" t="b">
        <v>1</v>
      </c>
      <c r="AT188" s="75"/>
      <c r="AU188" s="75">
        <v>1</v>
      </c>
      <c r="AV188" s="82" t="str">
        <f>HYPERLINK("https://abs.twimg.com/images/themes/theme1/bg.png")</f>
        <v>https://abs.twimg.com/images/themes/theme1/bg.png</v>
      </c>
      <c r="AW188" s="75" t="b">
        <v>0</v>
      </c>
      <c r="AX188" s="75" t="s">
        <v>2845</v>
      </c>
      <c r="AY188" s="82" t="str">
        <f>HYPERLINK("https://twitter.com/gamodana")</f>
        <v>https://twitter.com/gamodana</v>
      </c>
      <c r="AZ188" s="75" t="s">
        <v>66</v>
      </c>
      <c r="BA188" s="75" t="str">
        <f>REPLACE(INDEX(GroupVertices[Group],MATCH(Vertices[[#This Row],[Vertex]],GroupVertices[Vertex],0)),1,1,"")</f>
        <v>17</v>
      </c>
      <c r="BB188" s="45">
        <v>1</v>
      </c>
      <c r="BC188" s="46">
        <v>2.380952380952381</v>
      </c>
      <c r="BD188" s="45">
        <v>1</v>
      </c>
      <c r="BE188" s="46">
        <v>2.380952380952381</v>
      </c>
      <c r="BF188" s="45">
        <v>0</v>
      </c>
      <c r="BG188" s="46">
        <v>0</v>
      </c>
      <c r="BH188" s="45">
        <v>40</v>
      </c>
      <c r="BI188" s="46">
        <v>95.23809523809524</v>
      </c>
      <c r="BJ188" s="45">
        <v>42</v>
      </c>
      <c r="BK188" s="45" t="s">
        <v>3963</v>
      </c>
      <c r="BL188" s="45" t="s">
        <v>3963</v>
      </c>
      <c r="BM188" s="45" t="s">
        <v>783</v>
      </c>
      <c r="BN188" s="45" t="s">
        <v>783</v>
      </c>
      <c r="BO188" s="45" t="s">
        <v>835</v>
      </c>
      <c r="BP188" s="45" t="s">
        <v>835</v>
      </c>
      <c r="BQ188" s="110" t="s">
        <v>4491</v>
      </c>
      <c r="BR188" s="110" t="s">
        <v>4491</v>
      </c>
      <c r="BS188" s="110" t="s">
        <v>4255</v>
      </c>
      <c r="BT188" s="110" t="s">
        <v>4255</v>
      </c>
      <c r="BU188" s="2"/>
    </row>
    <row r="189" spans="1:73" ht="15">
      <c r="A189" s="61" t="s">
        <v>364</v>
      </c>
      <c r="B189" s="62"/>
      <c r="C189" s="62"/>
      <c r="D189" s="63">
        <v>118.18181818181819</v>
      </c>
      <c r="E189" s="65"/>
      <c r="F189" s="99" t="str">
        <f>HYPERLINK("https://pbs.twimg.com/profile_images/923110970515513344/mN-gzyJK_normal.jpg")</f>
        <v>https://pbs.twimg.com/profile_images/923110970515513344/mN-gzyJK_normal.jpg</v>
      </c>
      <c r="G189" s="62"/>
      <c r="H189" s="66" t="s">
        <v>364</v>
      </c>
      <c r="I189" s="67"/>
      <c r="J189" s="67"/>
      <c r="K189" s="66" t="s">
        <v>3031</v>
      </c>
      <c r="L189" s="70">
        <v>27.671230380891213</v>
      </c>
      <c r="M189" s="71">
        <v>5914.04248046875</v>
      </c>
      <c r="N189" s="71">
        <v>1185.77880859375</v>
      </c>
      <c r="O189" s="72"/>
      <c r="P189" s="73"/>
      <c r="Q189" s="73"/>
      <c r="R189" s="85"/>
      <c r="S189" s="45">
        <v>5</v>
      </c>
      <c r="T189" s="45">
        <v>1</v>
      </c>
      <c r="U189" s="46">
        <v>12</v>
      </c>
      <c r="V189" s="46">
        <v>0.012232</v>
      </c>
      <c r="W189" s="46">
        <v>0</v>
      </c>
      <c r="X189" s="46">
        <v>0.004355</v>
      </c>
      <c r="Y189" s="46">
        <v>0</v>
      </c>
      <c r="Z189" s="46">
        <v>0</v>
      </c>
      <c r="AA189" s="68">
        <v>189</v>
      </c>
      <c r="AB189" s="68"/>
      <c r="AC189" s="69"/>
      <c r="AD189" s="75" t="s">
        <v>2023</v>
      </c>
      <c r="AE189" s="80" t="s">
        <v>1716</v>
      </c>
      <c r="AF189" s="75">
        <v>8076</v>
      </c>
      <c r="AG189" s="75">
        <v>26932</v>
      </c>
      <c r="AH189" s="75">
        <v>21915</v>
      </c>
      <c r="AI189" s="75">
        <v>101047</v>
      </c>
      <c r="AJ189" s="75"/>
      <c r="AK189" s="75" t="s">
        <v>2561</v>
      </c>
      <c r="AL189" s="75" t="s">
        <v>2772</v>
      </c>
      <c r="AM189" s="82" t="str">
        <f>HYPERLINK("https://t.co/oslfmJpdi3")</f>
        <v>https://t.co/oslfmJpdi3</v>
      </c>
      <c r="AN189" s="75"/>
      <c r="AO189" s="77">
        <v>43033.35949074074</v>
      </c>
      <c r="AP189" s="82" t="str">
        <f>HYPERLINK("https://pbs.twimg.com/profile_banners/923106269761851392/1509002023")</f>
        <v>https://pbs.twimg.com/profile_banners/923106269761851392/1509002023</v>
      </c>
      <c r="AQ189" s="75" t="b">
        <v>0</v>
      </c>
      <c r="AR189" s="75" t="b">
        <v>0</v>
      </c>
      <c r="AS189" s="75" t="b">
        <v>0</v>
      </c>
      <c r="AT189" s="75"/>
      <c r="AU189" s="75">
        <v>235</v>
      </c>
      <c r="AV189" s="82" t="str">
        <f>HYPERLINK("https://abs.twimg.com/images/themes/theme1/bg.png")</f>
        <v>https://abs.twimg.com/images/themes/theme1/bg.png</v>
      </c>
      <c r="AW189" s="75" t="b">
        <v>0</v>
      </c>
      <c r="AX189" s="75" t="s">
        <v>2845</v>
      </c>
      <c r="AY189" s="82" t="str">
        <f>HYPERLINK("https://twitter.com/akorybko")</f>
        <v>https://twitter.com/akorybko</v>
      </c>
      <c r="AZ189" s="75" t="s">
        <v>66</v>
      </c>
      <c r="BA189" s="75" t="str">
        <f>REPLACE(INDEX(GroupVertices[Group],MATCH(Vertices[[#This Row],[Vertex]],GroupVertices[Vertex],0)),1,1,"")</f>
        <v>17</v>
      </c>
      <c r="BB189" s="45">
        <v>1</v>
      </c>
      <c r="BC189" s="46">
        <v>2.380952380952381</v>
      </c>
      <c r="BD189" s="45">
        <v>1</v>
      </c>
      <c r="BE189" s="46">
        <v>2.380952380952381</v>
      </c>
      <c r="BF189" s="45">
        <v>0</v>
      </c>
      <c r="BG189" s="46">
        <v>0</v>
      </c>
      <c r="BH189" s="45">
        <v>40</v>
      </c>
      <c r="BI189" s="46">
        <v>95.23809523809524</v>
      </c>
      <c r="BJ189" s="45">
        <v>42</v>
      </c>
      <c r="BK189" s="45" t="s">
        <v>3963</v>
      </c>
      <c r="BL189" s="45" t="s">
        <v>3963</v>
      </c>
      <c r="BM189" s="45" t="s">
        <v>783</v>
      </c>
      <c r="BN189" s="45" t="s">
        <v>783</v>
      </c>
      <c r="BO189" s="45" t="s">
        <v>835</v>
      </c>
      <c r="BP189" s="45" t="s">
        <v>835</v>
      </c>
      <c r="BQ189" s="110" t="s">
        <v>4491</v>
      </c>
      <c r="BR189" s="110" t="s">
        <v>4491</v>
      </c>
      <c r="BS189" s="110" t="s">
        <v>4255</v>
      </c>
      <c r="BT189" s="110" t="s">
        <v>4255</v>
      </c>
      <c r="BU189" s="2"/>
    </row>
    <row r="190" spans="1:73" ht="15">
      <c r="A190" s="61" t="s">
        <v>359</v>
      </c>
      <c r="B190" s="62"/>
      <c r="C190" s="62"/>
      <c r="D190" s="63">
        <v>100</v>
      </c>
      <c r="E190" s="65"/>
      <c r="F190" s="99" t="str">
        <f>HYPERLINK("https://pbs.twimg.com/profile_images/1565601273793155072/_ZBFA3xK_normal.jpg")</f>
        <v>https://pbs.twimg.com/profile_images/1565601273793155072/_ZBFA3xK_normal.jpg</v>
      </c>
      <c r="G190" s="62"/>
      <c r="H190" s="66" t="s">
        <v>359</v>
      </c>
      <c r="I190" s="67"/>
      <c r="J190" s="67"/>
      <c r="K190" s="66" t="s">
        <v>3032</v>
      </c>
      <c r="L190" s="70">
        <v>1</v>
      </c>
      <c r="M190" s="71">
        <v>5806.44287109375</v>
      </c>
      <c r="N190" s="71">
        <v>1730.59619140625</v>
      </c>
      <c r="O190" s="72"/>
      <c r="P190" s="73"/>
      <c r="Q190" s="73"/>
      <c r="R190" s="85"/>
      <c r="S190" s="45">
        <v>0</v>
      </c>
      <c r="T190" s="45">
        <v>1</v>
      </c>
      <c r="U190" s="46">
        <v>0</v>
      </c>
      <c r="V190" s="46">
        <v>0.00699</v>
      </c>
      <c r="W190" s="46">
        <v>0</v>
      </c>
      <c r="X190" s="46">
        <v>0.002722</v>
      </c>
      <c r="Y190" s="46">
        <v>0</v>
      </c>
      <c r="Z190" s="46">
        <v>0</v>
      </c>
      <c r="AA190" s="68">
        <v>190</v>
      </c>
      <c r="AB190" s="68"/>
      <c r="AC190" s="69"/>
      <c r="AD190" s="75" t="s">
        <v>2024</v>
      </c>
      <c r="AE190" s="80" t="s">
        <v>2305</v>
      </c>
      <c r="AF190" s="75">
        <v>701</v>
      </c>
      <c r="AG190" s="75">
        <v>1249</v>
      </c>
      <c r="AH190" s="75">
        <v>45041</v>
      </c>
      <c r="AI190" s="75">
        <v>85731</v>
      </c>
      <c r="AJ190" s="75"/>
      <c r="AK190" s="75" t="s">
        <v>2562</v>
      </c>
      <c r="AL190" s="75" t="s">
        <v>2773</v>
      </c>
      <c r="AM190" s="75"/>
      <c r="AN190" s="75"/>
      <c r="AO190" s="77">
        <v>44230.73148148148</v>
      </c>
      <c r="AP190" s="82" t="str">
        <f>HYPERLINK("https://pbs.twimg.com/profile_banners/1357019253099155456/1645007437")</f>
        <v>https://pbs.twimg.com/profile_banners/1357019253099155456/1645007437</v>
      </c>
      <c r="AQ190" s="75" t="b">
        <v>1</v>
      </c>
      <c r="AR190" s="75" t="b">
        <v>0</v>
      </c>
      <c r="AS190" s="75" t="b">
        <v>0</v>
      </c>
      <c r="AT190" s="75"/>
      <c r="AU190" s="75">
        <v>1</v>
      </c>
      <c r="AV190" s="75"/>
      <c r="AW190" s="75" t="b">
        <v>0</v>
      </c>
      <c r="AX190" s="75" t="s">
        <v>2845</v>
      </c>
      <c r="AY190" s="82" t="str">
        <f>HYPERLINK("https://twitter.com/solomon73155195")</f>
        <v>https://twitter.com/solomon73155195</v>
      </c>
      <c r="AZ190" s="75" t="s">
        <v>66</v>
      </c>
      <c r="BA190" s="75" t="str">
        <f>REPLACE(INDEX(GroupVertices[Group],MATCH(Vertices[[#This Row],[Vertex]],GroupVertices[Vertex],0)),1,1,"")</f>
        <v>17</v>
      </c>
      <c r="BB190" s="45">
        <v>0</v>
      </c>
      <c r="BC190" s="46">
        <v>0</v>
      </c>
      <c r="BD190" s="45">
        <v>0</v>
      </c>
      <c r="BE190" s="46">
        <v>0</v>
      </c>
      <c r="BF190" s="45">
        <v>0</v>
      </c>
      <c r="BG190" s="46">
        <v>0</v>
      </c>
      <c r="BH190" s="45">
        <v>2</v>
      </c>
      <c r="BI190" s="46">
        <v>100</v>
      </c>
      <c r="BJ190" s="45">
        <v>2</v>
      </c>
      <c r="BK190" s="45"/>
      <c r="BL190" s="45"/>
      <c r="BM190" s="45"/>
      <c r="BN190" s="45"/>
      <c r="BO190" s="45" t="s">
        <v>795</v>
      </c>
      <c r="BP190" s="45" t="s">
        <v>795</v>
      </c>
      <c r="BQ190" s="110" t="s">
        <v>4492</v>
      </c>
      <c r="BR190" s="110" t="s">
        <v>4492</v>
      </c>
      <c r="BS190" s="110" t="s">
        <v>4608</v>
      </c>
      <c r="BT190" s="110" t="s">
        <v>4608</v>
      </c>
      <c r="BU190" s="2"/>
    </row>
    <row r="191" spans="1:73" ht="15">
      <c r="A191" s="61" t="s">
        <v>360</v>
      </c>
      <c r="B191" s="62"/>
      <c r="C191" s="62"/>
      <c r="D191" s="63">
        <v>406.06060606060606</v>
      </c>
      <c r="E191" s="65"/>
      <c r="F191" s="99" t="str">
        <f>HYPERLINK("https://pbs.twimg.com/profile_images/1544271154147385345/p1GlPOSh_normal.png")</f>
        <v>https://pbs.twimg.com/profile_images/1544271154147385345/p1GlPOSh_normal.png</v>
      </c>
      <c r="G191" s="62"/>
      <c r="H191" s="66" t="s">
        <v>360</v>
      </c>
      <c r="I191" s="67"/>
      <c r="J191" s="67"/>
      <c r="K191" s="66" t="s">
        <v>3033</v>
      </c>
      <c r="L191" s="70">
        <v>449.96571141166874</v>
      </c>
      <c r="M191" s="71">
        <v>416.644287109375</v>
      </c>
      <c r="N191" s="71">
        <v>8807.447265625</v>
      </c>
      <c r="O191" s="72"/>
      <c r="P191" s="73"/>
      <c r="Q191" s="73"/>
      <c r="R191" s="85"/>
      <c r="S191" s="45">
        <v>0</v>
      </c>
      <c r="T191" s="45">
        <v>2</v>
      </c>
      <c r="U191" s="46">
        <v>202</v>
      </c>
      <c r="V191" s="46">
        <v>0.068276</v>
      </c>
      <c r="W191" s="46">
        <v>0.021141</v>
      </c>
      <c r="X191" s="46">
        <v>0.003234</v>
      </c>
      <c r="Y191" s="46">
        <v>0</v>
      </c>
      <c r="Z191" s="46">
        <v>0</v>
      </c>
      <c r="AA191" s="68">
        <v>191</v>
      </c>
      <c r="AB191" s="68"/>
      <c r="AC191" s="69"/>
      <c r="AD191" s="75" t="s">
        <v>2025</v>
      </c>
      <c r="AE191" s="80" t="s">
        <v>2306</v>
      </c>
      <c r="AF191" s="75">
        <v>12</v>
      </c>
      <c r="AG191" s="75">
        <v>8</v>
      </c>
      <c r="AH191" s="75">
        <v>1458</v>
      </c>
      <c r="AI191" s="75">
        <v>482</v>
      </c>
      <c r="AJ191" s="75"/>
      <c r="AK191" s="75"/>
      <c r="AL191" s="75"/>
      <c r="AM191" s="75"/>
      <c r="AN191" s="75"/>
      <c r="AO191" s="77">
        <v>44747.44800925926</v>
      </c>
      <c r="AP191" s="82" t="str">
        <f>HYPERLINK("https://pbs.twimg.com/profile_banners/1544270992771620864/1661348142")</f>
        <v>https://pbs.twimg.com/profile_banners/1544270992771620864/1661348142</v>
      </c>
      <c r="AQ191" s="75" t="b">
        <v>1</v>
      </c>
      <c r="AR191" s="75" t="b">
        <v>0</v>
      </c>
      <c r="AS191" s="75" t="b">
        <v>0</v>
      </c>
      <c r="AT191" s="75"/>
      <c r="AU191" s="75">
        <v>0</v>
      </c>
      <c r="AV191" s="75"/>
      <c r="AW191" s="75" t="b">
        <v>0</v>
      </c>
      <c r="AX191" s="75" t="s">
        <v>2845</v>
      </c>
      <c r="AY191" s="82" t="str">
        <f>HYPERLINK("https://twitter.com/mariusstannard")</f>
        <v>https://twitter.com/mariusstannard</v>
      </c>
      <c r="AZ191" s="75" t="s">
        <v>66</v>
      </c>
      <c r="BA191" s="75" t="str">
        <f>REPLACE(INDEX(GroupVertices[Group],MATCH(Vertices[[#This Row],[Vertex]],GroupVertices[Vertex],0)),1,1,"")</f>
        <v>1</v>
      </c>
      <c r="BB191" s="45">
        <v>1</v>
      </c>
      <c r="BC191" s="46">
        <v>4</v>
      </c>
      <c r="BD191" s="45">
        <v>3</v>
      </c>
      <c r="BE191" s="46">
        <v>12</v>
      </c>
      <c r="BF191" s="45">
        <v>0</v>
      </c>
      <c r="BG191" s="46">
        <v>0</v>
      </c>
      <c r="BH191" s="45">
        <v>21</v>
      </c>
      <c r="BI191" s="46">
        <v>84</v>
      </c>
      <c r="BJ191" s="45">
        <v>25</v>
      </c>
      <c r="BK191" s="45"/>
      <c r="BL191" s="45"/>
      <c r="BM191" s="45"/>
      <c r="BN191" s="45"/>
      <c r="BO191" s="45" t="s">
        <v>836</v>
      </c>
      <c r="BP191" s="45" t="s">
        <v>836</v>
      </c>
      <c r="BQ191" s="110" t="s">
        <v>4493</v>
      </c>
      <c r="BR191" s="110" t="s">
        <v>4493</v>
      </c>
      <c r="BS191" s="110" t="s">
        <v>4609</v>
      </c>
      <c r="BT191" s="110" t="s">
        <v>4609</v>
      </c>
      <c r="BU191" s="2"/>
    </row>
    <row r="192" spans="1:73" ht="15">
      <c r="A192" s="61" t="s">
        <v>511</v>
      </c>
      <c r="B192" s="62"/>
      <c r="C192" s="62"/>
      <c r="D192" s="63">
        <v>100</v>
      </c>
      <c r="E192" s="65"/>
      <c r="F192" s="99" t="str">
        <f>HYPERLINK("https://pbs.twimg.com/profile_images/1492600150954590211/2fiDers7_normal.jpg")</f>
        <v>https://pbs.twimg.com/profile_images/1492600150954590211/2fiDers7_normal.jpg</v>
      </c>
      <c r="G192" s="62"/>
      <c r="H192" s="66" t="s">
        <v>511</v>
      </c>
      <c r="I192" s="67"/>
      <c r="J192" s="67"/>
      <c r="K192" s="66" t="s">
        <v>3034</v>
      </c>
      <c r="L192" s="70">
        <v>1</v>
      </c>
      <c r="M192" s="71">
        <v>243.8780517578125</v>
      </c>
      <c r="N192" s="71">
        <v>9358.0380859375</v>
      </c>
      <c r="O192" s="72"/>
      <c r="P192" s="73"/>
      <c r="Q192" s="73"/>
      <c r="R192" s="85"/>
      <c r="S192" s="45">
        <v>1</v>
      </c>
      <c r="T192" s="45">
        <v>0</v>
      </c>
      <c r="U192" s="46">
        <v>0</v>
      </c>
      <c r="V192" s="46">
        <v>0.056114</v>
      </c>
      <c r="W192" s="46">
        <v>0.003751</v>
      </c>
      <c r="X192" s="46">
        <v>0.002834</v>
      </c>
      <c r="Y192" s="46">
        <v>0</v>
      </c>
      <c r="Z192" s="46">
        <v>0</v>
      </c>
      <c r="AA192" s="68">
        <v>192</v>
      </c>
      <c r="AB192" s="68"/>
      <c r="AC192" s="69"/>
      <c r="AD192" s="75" t="s">
        <v>2026</v>
      </c>
      <c r="AE192" s="80" t="s">
        <v>2307</v>
      </c>
      <c r="AF192" s="75">
        <v>2010</v>
      </c>
      <c r="AG192" s="75">
        <v>846</v>
      </c>
      <c r="AH192" s="75">
        <v>5443</v>
      </c>
      <c r="AI192" s="75">
        <v>22699</v>
      </c>
      <c r="AJ192" s="75"/>
      <c r="AK192" s="75" t="s">
        <v>2563</v>
      </c>
      <c r="AL192" s="75" t="s">
        <v>2774</v>
      </c>
      <c r="AM192" s="75"/>
      <c r="AN192" s="75"/>
      <c r="AO192" s="77">
        <v>40885.87326388889</v>
      </c>
      <c r="AP192" s="82" t="str">
        <f>HYPERLINK("https://pbs.twimg.com/profile_banners/431923953/1657959931")</f>
        <v>https://pbs.twimg.com/profile_banners/431923953/1657959931</v>
      </c>
      <c r="AQ192" s="75" t="b">
        <v>0</v>
      </c>
      <c r="AR192" s="75" t="b">
        <v>0</v>
      </c>
      <c r="AS192" s="75" t="b">
        <v>1</v>
      </c>
      <c r="AT192" s="75"/>
      <c r="AU192" s="75">
        <v>1</v>
      </c>
      <c r="AV192" s="82" t="str">
        <f>HYPERLINK("https://abs.twimg.com/images/themes/theme1/bg.png")</f>
        <v>https://abs.twimg.com/images/themes/theme1/bg.png</v>
      </c>
      <c r="AW192" s="75" t="b">
        <v>0</v>
      </c>
      <c r="AX192" s="75" t="s">
        <v>2845</v>
      </c>
      <c r="AY192" s="82" t="str">
        <f>HYPERLINK("https://twitter.com/judeanne66")</f>
        <v>https://twitter.com/judeanne66</v>
      </c>
      <c r="AZ192" s="75" t="s">
        <v>65</v>
      </c>
      <c r="BA192" s="75" t="str">
        <f>REPLACE(INDEX(GroupVertices[Group],MATCH(Vertices[[#This Row],[Vertex]],GroupVertices[Vertex],0)),1,1,"")</f>
        <v>1</v>
      </c>
      <c r="BB192" s="45"/>
      <c r="BC192" s="46"/>
      <c r="BD192" s="45"/>
      <c r="BE192" s="46"/>
      <c r="BF192" s="45"/>
      <c r="BG192" s="46"/>
      <c r="BH192" s="45"/>
      <c r="BI192" s="46"/>
      <c r="BJ192" s="45"/>
      <c r="BK192" s="45"/>
      <c r="BL192" s="45"/>
      <c r="BM192" s="45"/>
      <c r="BN192" s="45"/>
      <c r="BO192" s="45"/>
      <c r="BP192" s="45"/>
      <c r="BQ192" s="45"/>
      <c r="BR192" s="45"/>
      <c r="BS192" s="45"/>
      <c r="BT192" s="45"/>
      <c r="BU192" s="2"/>
    </row>
    <row r="193" spans="1:73" ht="15">
      <c r="A193" s="61" t="s">
        <v>512</v>
      </c>
      <c r="B193" s="62"/>
      <c r="C193" s="62"/>
      <c r="D193" s="63">
        <v>706.060606060606</v>
      </c>
      <c r="E193" s="65"/>
      <c r="F193" s="99" t="str">
        <f>HYPERLINK("https://pbs.twimg.com/profile_images/1494163842372227077/v611iPuU_normal.jpg")</f>
        <v>https://pbs.twimg.com/profile_images/1494163842372227077/v611iPuU_normal.jpg</v>
      </c>
      <c r="G193" s="62"/>
      <c r="H193" s="66" t="s">
        <v>512</v>
      </c>
      <c r="I193" s="67"/>
      <c r="J193" s="67"/>
      <c r="K193" s="66" t="s">
        <v>3035</v>
      </c>
      <c r="L193" s="70">
        <v>890.0410126963737</v>
      </c>
      <c r="M193" s="71">
        <v>583.5756225585938</v>
      </c>
      <c r="N193" s="71">
        <v>8178.71142578125</v>
      </c>
      <c r="O193" s="72"/>
      <c r="P193" s="73"/>
      <c r="Q193" s="73"/>
      <c r="R193" s="85"/>
      <c r="S193" s="45">
        <v>2</v>
      </c>
      <c r="T193" s="45">
        <v>0</v>
      </c>
      <c r="U193" s="46">
        <v>400</v>
      </c>
      <c r="V193" s="46">
        <v>0.086693</v>
      </c>
      <c r="W193" s="46">
        <v>0.115386</v>
      </c>
      <c r="X193" s="46">
        <v>0.002897</v>
      </c>
      <c r="Y193" s="46">
        <v>0</v>
      </c>
      <c r="Z193" s="46">
        <v>0</v>
      </c>
      <c r="AA193" s="68">
        <v>193</v>
      </c>
      <c r="AB193" s="68"/>
      <c r="AC193" s="69"/>
      <c r="AD193" s="75" t="s">
        <v>2027</v>
      </c>
      <c r="AE193" s="80" t="s">
        <v>1717</v>
      </c>
      <c r="AF193" s="75">
        <v>520</v>
      </c>
      <c r="AG193" s="75">
        <v>139498</v>
      </c>
      <c r="AH193" s="75">
        <v>22460</v>
      </c>
      <c r="AI193" s="75">
        <v>46392</v>
      </c>
      <c r="AJ193" s="75"/>
      <c r="AK193" s="75" t="s">
        <v>2564</v>
      </c>
      <c r="AL193" s="75" t="s">
        <v>2775</v>
      </c>
      <c r="AM193" s="82" t="str">
        <f>HYPERLINK("https://t.co/BWAYo1CZGm")</f>
        <v>https://t.co/BWAYo1CZGm</v>
      </c>
      <c r="AN193" s="75"/>
      <c r="AO193" s="77">
        <v>42671.725648148145</v>
      </c>
      <c r="AP193" s="82" t="str">
        <f>HYPERLINK("https://pbs.twimg.com/profile_banners/792054557501038592/1656870817")</f>
        <v>https://pbs.twimg.com/profile_banners/792054557501038592/1656870817</v>
      </c>
      <c r="AQ193" s="75" t="b">
        <v>1</v>
      </c>
      <c r="AR193" s="75" t="b">
        <v>0</v>
      </c>
      <c r="AS193" s="75" t="b">
        <v>0</v>
      </c>
      <c r="AT193" s="75"/>
      <c r="AU193" s="75">
        <v>2606</v>
      </c>
      <c r="AV193" s="75"/>
      <c r="AW193" s="75" t="b">
        <v>0</v>
      </c>
      <c r="AX193" s="75" t="s">
        <v>2845</v>
      </c>
      <c r="AY193" s="82" t="str">
        <f>HYPERLINK("https://twitter.com/spencerguard")</f>
        <v>https://twitter.com/spencerguard</v>
      </c>
      <c r="AZ193" s="75" t="s">
        <v>65</v>
      </c>
      <c r="BA193" s="75" t="str">
        <f>REPLACE(INDEX(GroupVertices[Group],MATCH(Vertices[[#This Row],[Vertex]],GroupVertices[Vertex],0)),1,1,"")</f>
        <v>1</v>
      </c>
      <c r="BB193" s="45"/>
      <c r="BC193" s="46"/>
      <c r="BD193" s="45"/>
      <c r="BE193" s="46"/>
      <c r="BF193" s="45"/>
      <c r="BG193" s="46"/>
      <c r="BH193" s="45"/>
      <c r="BI193" s="46"/>
      <c r="BJ193" s="45"/>
      <c r="BK193" s="45"/>
      <c r="BL193" s="45"/>
      <c r="BM193" s="45"/>
      <c r="BN193" s="45"/>
      <c r="BO193" s="45"/>
      <c r="BP193" s="45"/>
      <c r="BQ193" s="45"/>
      <c r="BR193" s="45"/>
      <c r="BS193" s="45"/>
      <c r="BT193" s="45"/>
      <c r="BU193" s="2"/>
    </row>
    <row r="194" spans="1:73" ht="15">
      <c r="A194" s="61" t="s">
        <v>361</v>
      </c>
      <c r="B194" s="62"/>
      <c r="C194" s="62"/>
      <c r="D194" s="63">
        <v>100</v>
      </c>
      <c r="E194" s="65"/>
      <c r="F194" s="99" t="str">
        <f>HYPERLINK("https://pbs.twimg.com/profile_images/1287874019660791808/wm9JfkaQ_normal.jpg")</f>
        <v>https://pbs.twimg.com/profile_images/1287874019660791808/wm9JfkaQ_normal.jpg</v>
      </c>
      <c r="G194" s="62"/>
      <c r="H194" s="66" t="s">
        <v>361</v>
      </c>
      <c r="I194" s="67"/>
      <c r="J194" s="67"/>
      <c r="K194" s="66" t="s">
        <v>3036</v>
      </c>
      <c r="L194" s="70">
        <v>1</v>
      </c>
      <c r="M194" s="71">
        <v>9182.0087890625</v>
      </c>
      <c r="N194" s="71">
        <v>2291.4375</v>
      </c>
      <c r="O194" s="72"/>
      <c r="P194" s="73"/>
      <c r="Q194" s="73"/>
      <c r="R194" s="85"/>
      <c r="S194" s="45">
        <v>2</v>
      </c>
      <c r="T194" s="45">
        <v>1</v>
      </c>
      <c r="U194" s="46">
        <v>0</v>
      </c>
      <c r="V194" s="46">
        <v>0.003058</v>
      </c>
      <c r="W194" s="46">
        <v>0</v>
      </c>
      <c r="X194" s="46">
        <v>0.003261</v>
      </c>
      <c r="Y194" s="46">
        <v>0</v>
      </c>
      <c r="Z194" s="46">
        <v>0</v>
      </c>
      <c r="AA194" s="68">
        <v>194</v>
      </c>
      <c r="AB194" s="68"/>
      <c r="AC194" s="69"/>
      <c r="AD194" s="75" t="s">
        <v>2028</v>
      </c>
      <c r="AE194" s="80" t="s">
        <v>1718</v>
      </c>
      <c r="AF194" s="75">
        <v>686</v>
      </c>
      <c r="AG194" s="75">
        <v>340</v>
      </c>
      <c r="AH194" s="75">
        <v>28668</v>
      </c>
      <c r="AI194" s="75">
        <v>22769</v>
      </c>
      <c r="AJ194" s="75"/>
      <c r="AK194" s="75" t="s">
        <v>2565</v>
      </c>
      <c r="AL194" s="75"/>
      <c r="AM194" s="75"/>
      <c r="AN194" s="75"/>
      <c r="AO194" s="77">
        <v>41190.49853009259</v>
      </c>
      <c r="AP194" s="82" t="str">
        <f>HYPERLINK("https://pbs.twimg.com/profile_banners/867871016/1590768805")</f>
        <v>https://pbs.twimg.com/profile_banners/867871016/1590768805</v>
      </c>
      <c r="AQ194" s="75" t="b">
        <v>1</v>
      </c>
      <c r="AR194" s="75" t="b">
        <v>0</v>
      </c>
      <c r="AS194" s="75" t="b">
        <v>1</v>
      </c>
      <c r="AT194" s="75"/>
      <c r="AU194" s="75">
        <v>3</v>
      </c>
      <c r="AV194" s="82" t="str">
        <f>HYPERLINK("https://abs.twimg.com/images/themes/theme1/bg.png")</f>
        <v>https://abs.twimg.com/images/themes/theme1/bg.png</v>
      </c>
      <c r="AW194" s="75" t="b">
        <v>0</v>
      </c>
      <c r="AX194" s="75" t="s">
        <v>2845</v>
      </c>
      <c r="AY194" s="82" t="str">
        <f>HYPERLINK("https://twitter.com/kr33b")</f>
        <v>https://twitter.com/kr33b</v>
      </c>
      <c r="AZ194" s="75" t="s">
        <v>66</v>
      </c>
      <c r="BA194" s="75" t="str">
        <f>REPLACE(INDEX(GroupVertices[Group],MATCH(Vertices[[#This Row],[Vertex]],GroupVertices[Vertex],0)),1,1,"")</f>
        <v>48</v>
      </c>
      <c r="BB194" s="45">
        <v>0</v>
      </c>
      <c r="BC194" s="46">
        <v>0</v>
      </c>
      <c r="BD194" s="45">
        <v>0</v>
      </c>
      <c r="BE194" s="46">
        <v>0</v>
      </c>
      <c r="BF194" s="45">
        <v>0</v>
      </c>
      <c r="BG194" s="46">
        <v>0</v>
      </c>
      <c r="BH194" s="45">
        <v>37</v>
      </c>
      <c r="BI194" s="46">
        <v>100</v>
      </c>
      <c r="BJ194" s="45">
        <v>37</v>
      </c>
      <c r="BK194" s="45"/>
      <c r="BL194" s="45"/>
      <c r="BM194" s="45"/>
      <c r="BN194" s="45"/>
      <c r="BO194" s="45"/>
      <c r="BP194" s="45"/>
      <c r="BQ194" s="110" t="s">
        <v>4135</v>
      </c>
      <c r="BR194" s="110" t="s">
        <v>4135</v>
      </c>
      <c r="BS194" s="110" t="s">
        <v>4266</v>
      </c>
      <c r="BT194" s="110" t="s">
        <v>4266</v>
      </c>
      <c r="BU194" s="2"/>
    </row>
    <row r="195" spans="1:73" ht="15">
      <c r="A195" s="61" t="s">
        <v>362</v>
      </c>
      <c r="B195" s="62"/>
      <c r="C195" s="62"/>
      <c r="D195" s="63">
        <v>100</v>
      </c>
      <c r="E195" s="65"/>
      <c r="F195" s="99" t="str">
        <f>HYPERLINK("https://pbs.twimg.com/profile_images/1222634122411237376/IwyBl8Vy_normal.jpg")</f>
        <v>https://pbs.twimg.com/profile_images/1222634122411237376/IwyBl8Vy_normal.jpg</v>
      </c>
      <c r="G195" s="62"/>
      <c r="H195" s="66" t="s">
        <v>362</v>
      </c>
      <c r="I195" s="67"/>
      <c r="J195" s="67"/>
      <c r="K195" s="66" t="s">
        <v>3037</v>
      </c>
      <c r="L195" s="70">
        <v>1</v>
      </c>
      <c r="M195" s="71">
        <v>9182.0087890625</v>
      </c>
      <c r="N195" s="71">
        <v>2003.0047607421875</v>
      </c>
      <c r="O195" s="72"/>
      <c r="P195" s="73"/>
      <c r="Q195" s="73"/>
      <c r="R195" s="85"/>
      <c r="S195" s="45">
        <v>0</v>
      </c>
      <c r="T195" s="45">
        <v>1</v>
      </c>
      <c r="U195" s="46">
        <v>0</v>
      </c>
      <c r="V195" s="46">
        <v>0.003058</v>
      </c>
      <c r="W195" s="46">
        <v>0</v>
      </c>
      <c r="X195" s="46">
        <v>0.002836</v>
      </c>
      <c r="Y195" s="46">
        <v>0</v>
      </c>
      <c r="Z195" s="46">
        <v>0</v>
      </c>
      <c r="AA195" s="68">
        <v>195</v>
      </c>
      <c r="AB195" s="68"/>
      <c r="AC195" s="69"/>
      <c r="AD195" s="75" t="s">
        <v>2029</v>
      </c>
      <c r="AE195" s="80" t="s">
        <v>2308</v>
      </c>
      <c r="AF195" s="75">
        <v>176</v>
      </c>
      <c r="AG195" s="75">
        <v>2409</v>
      </c>
      <c r="AH195" s="75">
        <v>232011</v>
      </c>
      <c r="AI195" s="75">
        <v>112250</v>
      </c>
      <c r="AJ195" s="75"/>
      <c r="AK195" s="75" t="s">
        <v>2566</v>
      </c>
      <c r="AL195" s="75" t="s">
        <v>2776</v>
      </c>
      <c r="AM195" s="75"/>
      <c r="AN195" s="75"/>
      <c r="AO195" s="77">
        <v>41770.67429398148</v>
      </c>
      <c r="AP195" s="82" t="str">
        <f>HYPERLINK("https://pbs.twimg.com/profile_banners/2490070884/1402740315")</f>
        <v>https://pbs.twimg.com/profile_banners/2490070884/1402740315</v>
      </c>
      <c r="AQ195" s="75" t="b">
        <v>0</v>
      </c>
      <c r="AR195" s="75" t="b">
        <v>0</v>
      </c>
      <c r="AS195" s="75" t="b">
        <v>1</v>
      </c>
      <c r="AT195" s="75"/>
      <c r="AU195" s="75">
        <v>15</v>
      </c>
      <c r="AV195" s="82" t="str">
        <f>HYPERLINK("https://abs.twimg.com/images/themes/theme4/bg.gif")</f>
        <v>https://abs.twimg.com/images/themes/theme4/bg.gif</v>
      </c>
      <c r="AW195" s="75" t="b">
        <v>0</v>
      </c>
      <c r="AX195" s="75" t="s">
        <v>2845</v>
      </c>
      <c r="AY195" s="82" t="str">
        <f>HYPERLINK("https://twitter.com/pp_now")</f>
        <v>https://twitter.com/pp_now</v>
      </c>
      <c r="AZ195" s="75" t="s">
        <v>66</v>
      </c>
      <c r="BA195" s="75" t="str">
        <f>REPLACE(INDEX(GroupVertices[Group],MATCH(Vertices[[#This Row],[Vertex]],GroupVertices[Vertex],0)),1,1,"")</f>
        <v>48</v>
      </c>
      <c r="BB195" s="45">
        <v>0</v>
      </c>
      <c r="BC195" s="46">
        <v>0</v>
      </c>
      <c r="BD195" s="45">
        <v>0</v>
      </c>
      <c r="BE195" s="46">
        <v>0</v>
      </c>
      <c r="BF195" s="45">
        <v>0</v>
      </c>
      <c r="BG195" s="46">
        <v>0</v>
      </c>
      <c r="BH195" s="45">
        <v>37</v>
      </c>
      <c r="BI195" s="46">
        <v>100</v>
      </c>
      <c r="BJ195" s="45">
        <v>37</v>
      </c>
      <c r="BK195" s="45"/>
      <c r="BL195" s="45"/>
      <c r="BM195" s="45"/>
      <c r="BN195" s="45"/>
      <c r="BO195" s="45"/>
      <c r="BP195" s="45"/>
      <c r="BQ195" s="110" t="s">
        <v>4135</v>
      </c>
      <c r="BR195" s="110" t="s">
        <v>4135</v>
      </c>
      <c r="BS195" s="110" t="s">
        <v>4266</v>
      </c>
      <c r="BT195" s="110" t="s">
        <v>4266</v>
      </c>
      <c r="BU195" s="2"/>
    </row>
    <row r="196" spans="1:73" ht="15">
      <c r="A196" s="61" t="s">
        <v>363</v>
      </c>
      <c r="B196" s="62"/>
      <c r="C196" s="62"/>
      <c r="D196" s="63">
        <v>100</v>
      </c>
      <c r="E196" s="65"/>
      <c r="F196" s="99" t="str">
        <f>HYPERLINK("https://pbs.twimg.com/profile_images/1570257207110897666/NP3eJKG7_normal.jpg")</f>
        <v>https://pbs.twimg.com/profile_images/1570257207110897666/NP3eJKG7_normal.jpg</v>
      </c>
      <c r="G196" s="62"/>
      <c r="H196" s="66" t="s">
        <v>363</v>
      </c>
      <c r="I196" s="67"/>
      <c r="J196" s="67"/>
      <c r="K196" s="66" t="s">
        <v>3038</v>
      </c>
      <c r="L196" s="70">
        <v>1</v>
      </c>
      <c r="M196" s="71">
        <v>6021.642578125</v>
      </c>
      <c r="N196" s="71">
        <v>640.9615478515625</v>
      </c>
      <c r="O196" s="72"/>
      <c r="P196" s="73"/>
      <c r="Q196" s="73"/>
      <c r="R196" s="85"/>
      <c r="S196" s="45">
        <v>0</v>
      </c>
      <c r="T196" s="45">
        <v>1</v>
      </c>
      <c r="U196" s="46">
        <v>0</v>
      </c>
      <c r="V196" s="46">
        <v>0.00699</v>
      </c>
      <c r="W196" s="46">
        <v>0</v>
      </c>
      <c r="X196" s="46">
        <v>0.002722</v>
      </c>
      <c r="Y196" s="46">
        <v>0</v>
      </c>
      <c r="Z196" s="46">
        <v>0</v>
      </c>
      <c r="AA196" s="68">
        <v>196</v>
      </c>
      <c r="AB196" s="68"/>
      <c r="AC196" s="69"/>
      <c r="AD196" s="75" t="s">
        <v>2030</v>
      </c>
      <c r="AE196" s="80" t="s">
        <v>2309</v>
      </c>
      <c r="AF196" s="75">
        <v>154</v>
      </c>
      <c r="AG196" s="75">
        <v>553</v>
      </c>
      <c r="AH196" s="75">
        <v>9067</v>
      </c>
      <c r="AI196" s="75">
        <v>7666</v>
      </c>
      <c r="AJ196" s="75"/>
      <c r="AK196" s="75" t="s">
        <v>2567</v>
      </c>
      <c r="AL196" s="75" t="s">
        <v>2777</v>
      </c>
      <c r="AM196" s="75"/>
      <c r="AN196" s="75"/>
      <c r="AO196" s="77">
        <v>41231.03623842593</v>
      </c>
      <c r="AP196" s="82" t="str">
        <f>HYPERLINK("https://pbs.twimg.com/profile_banners/954583338/1663217579")</f>
        <v>https://pbs.twimg.com/profile_banners/954583338/1663217579</v>
      </c>
      <c r="AQ196" s="75" t="b">
        <v>0</v>
      </c>
      <c r="AR196" s="75" t="b">
        <v>0</v>
      </c>
      <c r="AS196" s="75" t="b">
        <v>0</v>
      </c>
      <c r="AT196" s="75"/>
      <c r="AU196" s="75">
        <v>14</v>
      </c>
      <c r="AV196" s="82" t="str">
        <f>HYPERLINK("https://abs.twimg.com/images/themes/theme1/bg.png")</f>
        <v>https://abs.twimg.com/images/themes/theme1/bg.png</v>
      </c>
      <c r="AW196" s="75" t="b">
        <v>0</v>
      </c>
      <c r="AX196" s="75" t="s">
        <v>2845</v>
      </c>
      <c r="AY196" s="82" t="str">
        <f>HYPERLINK("https://twitter.com/ymnkv")</f>
        <v>https://twitter.com/ymnkv</v>
      </c>
      <c r="AZ196" s="75" t="s">
        <v>66</v>
      </c>
      <c r="BA196" s="75" t="str">
        <f>REPLACE(INDEX(GroupVertices[Group],MATCH(Vertices[[#This Row],[Vertex]],GroupVertices[Vertex],0)),1,1,"")</f>
        <v>17</v>
      </c>
      <c r="BB196" s="45">
        <v>1</v>
      </c>
      <c r="BC196" s="46">
        <v>2.380952380952381</v>
      </c>
      <c r="BD196" s="45">
        <v>1</v>
      </c>
      <c r="BE196" s="46">
        <v>2.380952380952381</v>
      </c>
      <c r="BF196" s="45">
        <v>0</v>
      </c>
      <c r="BG196" s="46">
        <v>0</v>
      </c>
      <c r="BH196" s="45">
        <v>40</v>
      </c>
      <c r="BI196" s="46">
        <v>95.23809523809524</v>
      </c>
      <c r="BJ196" s="45">
        <v>42</v>
      </c>
      <c r="BK196" s="45" t="s">
        <v>3963</v>
      </c>
      <c r="BL196" s="45" t="s">
        <v>3963</v>
      </c>
      <c r="BM196" s="45" t="s">
        <v>783</v>
      </c>
      <c r="BN196" s="45" t="s">
        <v>783</v>
      </c>
      <c r="BO196" s="45" t="s">
        <v>835</v>
      </c>
      <c r="BP196" s="45" t="s">
        <v>835</v>
      </c>
      <c r="BQ196" s="110" t="s">
        <v>4491</v>
      </c>
      <c r="BR196" s="110" t="s">
        <v>4491</v>
      </c>
      <c r="BS196" s="110" t="s">
        <v>4255</v>
      </c>
      <c r="BT196" s="110" t="s">
        <v>4255</v>
      </c>
      <c r="BU196" s="2"/>
    </row>
    <row r="197" spans="1:73" ht="15">
      <c r="A197" s="61" t="s">
        <v>365</v>
      </c>
      <c r="B197" s="62"/>
      <c r="C197" s="62"/>
      <c r="D197" s="63">
        <v>100</v>
      </c>
      <c r="E197" s="65"/>
      <c r="F197" s="99" t="str">
        <f>HYPERLINK("https://pbs.twimg.com/profile_images/636582458176221184/2uRQQx1e_normal.png")</f>
        <v>https://pbs.twimg.com/profile_images/636582458176221184/2uRQQx1e_normal.png</v>
      </c>
      <c r="G197" s="62"/>
      <c r="H197" s="66" t="s">
        <v>365</v>
      </c>
      <c r="I197" s="67"/>
      <c r="J197" s="67"/>
      <c r="K197" s="66" t="s">
        <v>3039</v>
      </c>
      <c r="L197" s="70">
        <v>1</v>
      </c>
      <c r="M197" s="71">
        <v>5633.5830078125</v>
      </c>
      <c r="N197" s="71">
        <v>976.7562866210938</v>
      </c>
      <c r="O197" s="72"/>
      <c r="P197" s="73"/>
      <c r="Q197" s="73"/>
      <c r="R197" s="85"/>
      <c r="S197" s="45">
        <v>0</v>
      </c>
      <c r="T197" s="45">
        <v>1</v>
      </c>
      <c r="U197" s="46">
        <v>0</v>
      </c>
      <c r="V197" s="46">
        <v>0.00699</v>
      </c>
      <c r="W197" s="46">
        <v>0</v>
      </c>
      <c r="X197" s="46">
        <v>0.002722</v>
      </c>
      <c r="Y197" s="46">
        <v>0</v>
      </c>
      <c r="Z197" s="46">
        <v>0</v>
      </c>
      <c r="AA197" s="68">
        <v>197</v>
      </c>
      <c r="AB197" s="68"/>
      <c r="AC197" s="69"/>
      <c r="AD197" s="75" t="s">
        <v>2031</v>
      </c>
      <c r="AE197" s="80" t="s">
        <v>2310</v>
      </c>
      <c r="AF197" s="75">
        <v>3506</v>
      </c>
      <c r="AG197" s="75">
        <v>4813</v>
      </c>
      <c r="AH197" s="75">
        <v>244693</v>
      </c>
      <c r="AI197" s="75">
        <v>125869</v>
      </c>
      <c r="AJ197" s="75"/>
      <c r="AK197" s="75" t="s">
        <v>2568</v>
      </c>
      <c r="AL197" s="75" t="s">
        <v>2778</v>
      </c>
      <c r="AM197" s="82" t="str">
        <f>HYPERLINK("https://t.co/3UBWPqzvce")</f>
        <v>https://t.co/3UBWPqzvce</v>
      </c>
      <c r="AN197" s="75"/>
      <c r="AO197" s="77">
        <v>40762.35947916667</v>
      </c>
      <c r="AP197" s="75"/>
      <c r="AQ197" s="75" t="b">
        <v>1</v>
      </c>
      <c r="AR197" s="75" t="b">
        <v>0</v>
      </c>
      <c r="AS197" s="75" t="b">
        <v>1</v>
      </c>
      <c r="AT197" s="75"/>
      <c r="AU197" s="75">
        <v>0</v>
      </c>
      <c r="AV197" s="82" t="str">
        <f>HYPERLINK("https://abs.twimg.com/images/themes/theme1/bg.png")</f>
        <v>https://abs.twimg.com/images/themes/theme1/bg.png</v>
      </c>
      <c r="AW197" s="75" t="b">
        <v>0</v>
      </c>
      <c r="AX197" s="75" t="s">
        <v>2845</v>
      </c>
      <c r="AY197" s="82" t="str">
        <f>HYPERLINK("https://twitter.com/carmenacoleman")</f>
        <v>https://twitter.com/carmenacoleman</v>
      </c>
      <c r="AZ197" s="75" t="s">
        <v>66</v>
      </c>
      <c r="BA197" s="75" t="str">
        <f>REPLACE(INDEX(GroupVertices[Group],MATCH(Vertices[[#This Row],[Vertex]],GroupVertices[Vertex],0)),1,1,"")</f>
        <v>17</v>
      </c>
      <c r="BB197" s="45">
        <v>1</v>
      </c>
      <c r="BC197" s="46">
        <v>2.380952380952381</v>
      </c>
      <c r="BD197" s="45">
        <v>1</v>
      </c>
      <c r="BE197" s="46">
        <v>2.380952380952381</v>
      </c>
      <c r="BF197" s="45">
        <v>0</v>
      </c>
      <c r="BG197" s="46">
        <v>0</v>
      </c>
      <c r="BH197" s="45">
        <v>40</v>
      </c>
      <c r="BI197" s="46">
        <v>95.23809523809524</v>
      </c>
      <c r="BJ197" s="45">
        <v>42</v>
      </c>
      <c r="BK197" s="45" t="s">
        <v>3963</v>
      </c>
      <c r="BL197" s="45" t="s">
        <v>3963</v>
      </c>
      <c r="BM197" s="45" t="s">
        <v>783</v>
      </c>
      <c r="BN197" s="45" t="s">
        <v>783</v>
      </c>
      <c r="BO197" s="45" t="s">
        <v>835</v>
      </c>
      <c r="BP197" s="45" t="s">
        <v>835</v>
      </c>
      <c r="BQ197" s="110" t="s">
        <v>4491</v>
      </c>
      <c r="BR197" s="110" t="s">
        <v>4491</v>
      </c>
      <c r="BS197" s="110" t="s">
        <v>4255</v>
      </c>
      <c r="BT197" s="110" t="s">
        <v>4255</v>
      </c>
      <c r="BU197" s="2"/>
    </row>
    <row r="198" spans="1:73" ht="15">
      <c r="A198" s="61" t="s">
        <v>366</v>
      </c>
      <c r="B198" s="62"/>
      <c r="C198" s="62"/>
      <c r="D198" s="63">
        <v>100</v>
      </c>
      <c r="E198" s="65"/>
      <c r="F198" s="99" t="str">
        <f>HYPERLINK("https://pbs.twimg.com/profile_images/1332671007883137026/M20mm0Jg_normal.jpg")</f>
        <v>https://pbs.twimg.com/profile_images/1332671007883137026/M20mm0Jg_normal.jpg</v>
      </c>
      <c r="G198" s="62"/>
      <c r="H198" s="66" t="s">
        <v>366</v>
      </c>
      <c r="I198" s="67"/>
      <c r="J198" s="67"/>
      <c r="K198" s="66" t="s">
        <v>3040</v>
      </c>
      <c r="L198" s="70">
        <v>1</v>
      </c>
      <c r="M198" s="71">
        <v>9645.376953125</v>
      </c>
      <c r="N198" s="71">
        <v>3204.8076171875</v>
      </c>
      <c r="O198" s="72"/>
      <c r="P198" s="73"/>
      <c r="Q198" s="73"/>
      <c r="R198" s="85"/>
      <c r="S198" s="45">
        <v>0</v>
      </c>
      <c r="T198" s="45">
        <v>1</v>
      </c>
      <c r="U198" s="46">
        <v>0</v>
      </c>
      <c r="V198" s="46">
        <v>0.003058</v>
      </c>
      <c r="W198" s="46">
        <v>0</v>
      </c>
      <c r="X198" s="46">
        <v>0.003049</v>
      </c>
      <c r="Y198" s="46">
        <v>0</v>
      </c>
      <c r="Z198" s="46">
        <v>0</v>
      </c>
      <c r="AA198" s="68">
        <v>198</v>
      </c>
      <c r="AB198" s="68"/>
      <c r="AC198" s="69"/>
      <c r="AD198" s="75" t="s">
        <v>2032</v>
      </c>
      <c r="AE198" s="80" t="s">
        <v>2311</v>
      </c>
      <c r="AF198" s="75">
        <v>424</v>
      </c>
      <c r="AG198" s="75">
        <v>37</v>
      </c>
      <c r="AH198" s="75">
        <v>24739</v>
      </c>
      <c r="AI198" s="75">
        <v>8448</v>
      </c>
      <c r="AJ198" s="75"/>
      <c r="AK198" s="75" t="s">
        <v>2569</v>
      </c>
      <c r="AL198" s="75"/>
      <c r="AM198" s="75"/>
      <c r="AN198" s="75"/>
      <c r="AO198" s="77">
        <v>44163.54238425926</v>
      </c>
      <c r="AP198" s="75"/>
      <c r="AQ198" s="75" t="b">
        <v>1</v>
      </c>
      <c r="AR198" s="75" t="b">
        <v>0</v>
      </c>
      <c r="AS198" s="75" t="b">
        <v>0</v>
      </c>
      <c r="AT198" s="75"/>
      <c r="AU198" s="75">
        <v>0</v>
      </c>
      <c r="AV198" s="75"/>
      <c r="AW198" s="75" t="b">
        <v>0</v>
      </c>
      <c r="AX198" s="75" t="s">
        <v>2845</v>
      </c>
      <c r="AY198" s="82" t="str">
        <f>HYPERLINK("https://twitter.com/berniedelf")</f>
        <v>https://twitter.com/berniedelf</v>
      </c>
      <c r="AZ198" s="75" t="s">
        <v>66</v>
      </c>
      <c r="BA198" s="75" t="str">
        <f>REPLACE(INDEX(GroupVertices[Group],MATCH(Vertices[[#This Row],[Vertex]],GroupVertices[Vertex],0)),1,1,"")</f>
        <v>47</v>
      </c>
      <c r="BB198" s="45">
        <v>0</v>
      </c>
      <c r="BC198" s="46">
        <v>0</v>
      </c>
      <c r="BD198" s="45">
        <v>0</v>
      </c>
      <c r="BE198" s="46">
        <v>0</v>
      </c>
      <c r="BF198" s="45">
        <v>0</v>
      </c>
      <c r="BG198" s="46">
        <v>0</v>
      </c>
      <c r="BH198" s="45">
        <v>3</v>
      </c>
      <c r="BI198" s="46">
        <v>100</v>
      </c>
      <c r="BJ198" s="45">
        <v>3</v>
      </c>
      <c r="BK198" s="45"/>
      <c r="BL198" s="45"/>
      <c r="BM198" s="45"/>
      <c r="BN198" s="45"/>
      <c r="BO198" s="45" t="s">
        <v>837</v>
      </c>
      <c r="BP198" s="45" t="s">
        <v>837</v>
      </c>
      <c r="BQ198" s="110" t="s">
        <v>4494</v>
      </c>
      <c r="BR198" s="110" t="s">
        <v>4494</v>
      </c>
      <c r="BS198" s="110" t="s">
        <v>4610</v>
      </c>
      <c r="BT198" s="110" t="s">
        <v>4610</v>
      </c>
      <c r="BU198" s="2"/>
    </row>
    <row r="199" spans="1:73" ht="15">
      <c r="A199" s="61" t="s">
        <v>513</v>
      </c>
      <c r="B199" s="62"/>
      <c r="C199" s="62"/>
      <c r="D199" s="63">
        <v>100</v>
      </c>
      <c r="E199" s="65"/>
      <c r="F199" s="99" t="str">
        <f>HYPERLINK("https://pbs.twimg.com/profile_images/1267497856778240001/npUcyqTx_normal.jpg")</f>
        <v>https://pbs.twimg.com/profile_images/1267497856778240001/npUcyqTx_normal.jpg</v>
      </c>
      <c r="G199" s="62"/>
      <c r="H199" s="66" t="s">
        <v>513</v>
      </c>
      <c r="I199" s="67"/>
      <c r="J199" s="67"/>
      <c r="K199" s="66" t="s">
        <v>3041</v>
      </c>
      <c r="L199" s="70">
        <v>1</v>
      </c>
      <c r="M199" s="71">
        <v>9645.376953125</v>
      </c>
      <c r="N199" s="71">
        <v>3461.1923828125</v>
      </c>
      <c r="O199" s="72"/>
      <c r="P199" s="73"/>
      <c r="Q199" s="73"/>
      <c r="R199" s="85"/>
      <c r="S199" s="45">
        <v>1</v>
      </c>
      <c r="T199" s="45">
        <v>0</v>
      </c>
      <c r="U199" s="46">
        <v>0</v>
      </c>
      <c r="V199" s="46">
        <v>0.003058</v>
      </c>
      <c r="W199" s="46">
        <v>0</v>
      </c>
      <c r="X199" s="46">
        <v>0.003049</v>
      </c>
      <c r="Y199" s="46">
        <v>0</v>
      </c>
      <c r="Z199" s="46">
        <v>0</v>
      </c>
      <c r="AA199" s="68">
        <v>199</v>
      </c>
      <c r="AB199" s="68"/>
      <c r="AC199" s="69"/>
      <c r="AD199" s="75" t="s">
        <v>2033</v>
      </c>
      <c r="AE199" s="80" t="s">
        <v>1719</v>
      </c>
      <c r="AF199" s="75">
        <v>66</v>
      </c>
      <c r="AG199" s="75">
        <v>3514247</v>
      </c>
      <c r="AH199" s="75">
        <v>789587</v>
      </c>
      <c r="AI199" s="75">
        <v>241</v>
      </c>
      <c r="AJ199" s="75"/>
      <c r="AK199" s="75" t="s">
        <v>2570</v>
      </c>
      <c r="AL199" s="75"/>
      <c r="AM199" s="82" t="str">
        <f>HYPERLINK("https://t.co/lo2KB3neoz")</f>
        <v>https://t.co/lo2KB3neoz</v>
      </c>
      <c r="AN199" s="75"/>
      <c r="AO199" s="77">
        <v>40178.39810185185</v>
      </c>
      <c r="AP199" s="82" t="str">
        <f>HYPERLINK("https://pbs.twimg.com/profile_banners/100731315/1613041761")</f>
        <v>https://pbs.twimg.com/profile_banners/100731315/1613041761</v>
      </c>
      <c r="AQ199" s="75" t="b">
        <v>0</v>
      </c>
      <c r="AR199" s="75" t="b">
        <v>0</v>
      </c>
      <c r="AS199" s="75" t="b">
        <v>1</v>
      </c>
      <c r="AT199" s="75"/>
      <c r="AU199" s="75">
        <v>12411</v>
      </c>
      <c r="AV199" s="82" t="str">
        <f>HYPERLINK("https://abs.twimg.com/images/themes/theme1/bg.png")</f>
        <v>https://abs.twimg.com/images/themes/theme1/bg.png</v>
      </c>
      <c r="AW199" s="75" t="b">
        <v>1</v>
      </c>
      <c r="AX199" s="75" t="s">
        <v>2845</v>
      </c>
      <c r="AY199" s="82" t="str">
        <f>HYPERLINK("https://twitter.com/actualidadrt")</f>
        <v>https://twitter.com/actualidadrt</v>
      </c>
      <c r="AZ199" s="75" t="s">
        <v>65</v>
      </c>
      <c r="BA199" s="75" t="str">
        <f>REPLACE(INDEX(GroupVertices[Group],MATCH(Vertices[[#This Row],[Vertex]],GroupVertices[Vertex],0)),1,1,"")</f>
        <v>47</v>
      </c>
      <c r="BB199" s="45"/>
      <c r="BC199" s="46"/>
      <c r="BD199" s="45"/>
      <c r="BE199" s="46"/>
      <c r="BF199" s="45"/>
      <c r="BG199" s="46"/>
      <c r="BH199" s="45"/>
      <c r="BI199" s="46"/>
      <c r="BJ199" s="45"/>
      <c r="BK199" s="45"/>
      <c r="BL199" s="45"/>
      <c r="BM199" s="45"/>
      <c r="BN199" s="45"/>
      <c r="BO199" s="45"/>
      <c r="BP199" s="45"/>
      <c r="BQ199" s="45"/>
      <c r="BR199" s="45"/>
      <c r="BS199" s="45"/>
      <c r="BT199" s="45"/>
      <c r="BU199" s="2"/>
    </row>
    <row r="200" spans="1:73" ht="15">
      <c r="A200" s="61" t="s">
        <v>367</v>
      </c>
      <c r="B200" s="62"/>
      <c r="C200" s="62"/>
      <c r="D200" s="63">
        <v>100</v>
      </c>
      <c r="E200" s="65"/>
      <c r="F200" s="99" t="str">
        <f>HYPERLINK("https://pbs.twimg.com/profile_images/1561835387508740098/-ajRrRYm_normal.jpg")</f>
        <v>https://pbs.twimg.com/profile_images/1561835387508740098/-ajRrRYm_normal.jpg</v>
      </c>
      <c r="G200" s="62"/>
      <c r="H200" s="66" t="s">
        <v>367</v>
      </c>
      <c r="I200" s="67"/>
      <c r="J200" s="67"/>
      <c r="K200" s="66" t="s">
        <v>3042</v>
      </c>
      <c r="L200" s="70">
        <v>1</v>
      </c>
      <c r="M200" s="71">
        <v>9182.0087890625</v>
      </c>
      <c r="N200" s="71">
        <v>785.1778564453125</v>
      </c>
      <c r="O200" s="72"/>
      <c r="P200" s="73"/>
      <c r="Q200" s="73"/>
      <c r="R200" s="85"/>
      <c r="S200" s="45">
        <v>0</v>
      </c>
      <c r="T200" s="45">
        <v>1</v>
      </c>
      <c r="U200" s="46">
        <v>0</v>
      </c>
      <c r="V200" s="46">
        <v>0.003058</v>
      </c>
      <c r="W200" s="46">
        <v>0</v>
      </c>
      <c r="X200" s="46">
        <v>0.003049</v>
      </c>
      <c r="Y200" s="46">
        <v>0</v>
      </c>
      <c r="Z200" s="46">
        <v>0</v>
      </c>
      <c r="AA200" s="68">
        <v>200</v>
      </c>
      <c r="AB200" s="68"/>
      <c r="AC200" s="69"/>
      <c r="AD200" s="75" t="s">
        <v>2034</v>
      </c>
      <c r="AE200" s="80" t="s">
        <v>2312</v>
      </c>
      <c r="AF200" s="75">
        <v>468</v>
      </c>
      <c r="AG200" s="75">
        <v>30</v>
      </c>
      <c r="AH200" s="75">
        <v>4311</v>
      </c>
      <c r="AI200" s="75">
        <v>9384</v>
      </c>
      <c r="AJ200" s="75"/>
      <c r="AK200" s="75" t="s">
        <v>2571</v>
      </c>
      <c r="AL200" s="75" t="s">
        <v>2779</v>
      </c>
      <c r="AM200" s="75"/>
      <c r="AN200" s="75"/>
      <c r="AO200" s="77">
        <v>40713.818240740744</v>
      </c>
      <c r="AP200" s="82" t="str">
        <f>HYPERLINK("https://pbs.twimg.com/profile_banners/320361997/1662974938")</f>
        <v>https://pbs.twimg.com/profile_banners/320361997/1662974938</v>
      </c>
      <c r="AQ200" s="75" t="b">
        <v>0</v>
      </c>
      <c r="AR200" s="75" t="b">
        <v>0</v>
      </c>
      <c r="AS200" s="75" t="b">
        <v>1</v>
      </c>
      <c r="AT200" s="75"/>
      <c r="AU200" s="75">
        <v>1</v>
      </c>
      <c r="AV200" s="82" t="str">
        <f>HYPERLINK("https://abs.twimg.com/images/themes/theme14/bg.gif")</f>
        <v>https://abs.twimg.com/images/themes/theme14/bg.gif</v>
      </c>
      <c r="AW200" s="75" t="b">
        <v>0</v>
      </c>
      <c r="AX200" s="75" t="s">
        <v>2845</v>
      </c>
      <c r="AY200" s="82" t="str">
        <f>HYPERLINK("https://twitter.com/arifvns1985")</f>
        <v>https://twitter.com/arifvns1985</v>
      </c>
      <c r="AZ200" s="75" t="s">
        <v>66</v>
      </c>
      <c r="BA200" s="75" t="str">
        <f>REPLACE(INDEX(GroupVertices[Group],MATCH(Vertices[[#This Row],[Vertex]],GroupVertices[Vertex],0)),1,1,"")</f>
        <v>46</v>
      </c>
      <c r="BB200" s="45">
        <v>0</v>
      </c>
      <c r="BC200" s="46">
        <v>0</v>
      </c>
      <c r="BD200" s="45">
        <v>0</v>
      </c>
      <c r="BE200" s="46">
        <v>0</v>
      </c>
      <c r="BF200" s="45">
        <v>0</v>
      </c>
      <c r="BG200" s="46">
        <v>0</v>
      </c>
      <c r="BH200" s="45">
        <v>14</v>
      </c>
      <c r="BI200" s="46">
        <v>100</v>
      </c>
      <c r="BJ200" s="45">
        <v>14</v>
      </c>
      <c r="BK200" s="45"/>
      <c r="BL200" s="45"/>
      <c r="BM200" s="45"/>
      <c r="BN200" s="45"/>
      <c r="BO200" s="45" t="s">
        <v>4088</v>
      </c>
      <c r="BP200" s="45" t="s">
        <v>4088</v>
      </c>
      <c r="BQ200" s="110" t="s">
        <v>4495</v>
      </c>
      <c r="BR200" s="110" t="s">
        <v>4495</v>
      </c>
      <c r="BS200" s="110" t="s">
        <v>4611</v>
      </c>
      <c r="BT200" s="110" t="s">
        <v>4611</v>
      </c>
      <c r="BU200" s="2"/>
    </row>
    <row r="201" spans="1:73" ht="15">
      <c r="A201" s="61" t="s">
        <v>514</v>
      </c>
      <c r="B201" s="62"/>
      <c r="C201" s="62"/>
      <c r="D201" s="63">
        <v>100</v>
      </c>
      <c r="E201" s="65"/>
      <c r="F201" s="99" t="str">
        <f>HYPERLINK("https://pbs.twimg.com/profile_images/1194751949821939712/3VBu4_Sa_normal.jpg")</f>
        <v>https://pbs.twimg.com/profile_images/1194751949821939712/3VBu4_Sa_normal.jpg</v>
      </c>
      <c r="G201" s="62"/>
      <c r="H201" s="66" t="s">
        <v>514</v>
      </c>
      <c r="I201" s="67"/>
      <c r="J201" s="67"/>
      <c r="K201" s="66" t="s">
        <v>3043</v>
      </c>
      <c r="L201" s="70">
        <v>1</v>
      </c>
      <c r="M201" s="71">
        <v>9182.0087890625</v>
      </c>
      <c r="N201" s="71">
        <v>1073.610595703125</v>
      </c>
      <c r="O201" s="72"/>
      <c r="P201" s="73"/>
      <c r="Q201" s="73"/>
      <c r="R201" s="85"/>
      <c r="S201" s="45">
        <v>1</v>
      </c>
      <c r="T201" s="45">
        <v>0</v>
      </c>
      <c r="U201" s="46">
        <v>0</v>
      </c>
      <c r="V201" s="46">
        <v>0.003058</v>
      </c>
      <c r="W201" s="46">
        <v>0</v>
      </c>
      <c r="X201" s="46">
        <v>0.003049</v>
      </c>
      <c r="Y201" s="46">
        <v>0</v>
      </c>
      <c r="Z201" s="46">
        <v>0</v>
      </c>
      <c r="AA201" s="68">
        <v>201</v>
      </c>
      <c r="AB201" s="68"/>
      <c r="AC201" s="69"/>
      <c r="AD201" s="75" t="s">
        <v>2035</v>
      </c>
      <c r="AE201" s="80" t="s">
        <v>1720</v>
      </c>
      <c r="AF201" s="75">
        <v>1236</v>
      </c>
      <c r="AG201" s="75">
        <v>25538490</v>
      </c>
      <c r="AH201" s="75">
        <v>909678</v>
      </c>
      <c r="AI201" s="75">
        <v>749</v>
      </c>
      <c r="AJ201" s="75"/>
      <c r="AK201" s="75" t="s">
        <v>2572</v>
      </c>
      <c r="AL201" s="75" t="s">
        <v>2780</v>
      </c>
      <c r="AM201" s="82" t="str">
        <f>HYPERLINK("http://t.co/BmHxhkm3Mh")</f>
        <v>http://t.co/BmHxhkm3Mh</v>
      </c>
      <c r="AN201" s="75"/>
      <c r="AO201" s="77">
        <v>39161.740335648145</v>
      </c>
      <c r="AP201" s="82" t="str">
        <f>HYPERLINK("https://pbs.twimg.com/profile_banners/1652541/1573687397")</f>
        <v>https://pbs.twimg.com/profile_banners/1652541/1573687397</v>
      </c>
      <c r="AQ201" s="75" t="b">
        <v>0</v>
      </c>
      <c r="AR201" s="75" t="b">
        <v>0</v>
      </c>
      <c r="AS201" s="75" t="b">
        <v>0</v>
      </c>
      <c r="AT201" s="75"/>
      <c r="AU201" s="75">
        <v>135813</v>
      </c>
      <c r="AV201" s="82" t="str">
        <f>HYPERLINK("https://abs.twimg.com/images/themes/theme1/bg.png")</f>
        <v>https://abs.twimg.com/images/themes/theme1/bg.png</v>
      </c>
      <c r="AW201" s="75" t="b">
        <v>1</v>
      </c>
      <c r="AX201" s="75" t="s">
        <v>2845</v>
      </c>
      <c r="AY201" s="82" t="str">
        <f>HYPERLINK("https://twitter.com/reuters")</f>
        <v>https://twitter.com/reuters</v>
      </c>
      <c r="AZ201" s="75" t="s">
        <v>65</v>
      </c>
      <c r="BA201" s="75" t="str">
        <f>REPLACE(INDEX(GroupVertices[Group],MATCH(Vertices[[#This Row],[Vertex]],GroupVertices[Vertex],0)),1,1,"")</f>
        <v>46</v>
      </c>
      <c r="BB201" s="45"/>
      <c r="BC201" s="46"/>
      <c r="BD201" s="45"/>
      <c r="BE201" s="46"/>
      <c r="BF201" s="45"/>
      <c r="BG201" s="46"/>
      <c r="BH201" s="45"/>
      <c r="BI201" s="46"/>
      <c r="BJ201" s="45"/>
      <c r="BK201" s="45"/>
      <c r="BL201" s="45"/>
      <c r="BM201" s="45"/>
      <c r="BN201" s="45"/>
      <c r="BO201" s="45"/>
      <c r="BP201" s="45"/>
      <c r="BQ201" s="45"/>
      <c r="BR201" s="45"/>
      <c r="BS201" s="45"/>
      <c r="BT201" s="45"/>
      <c r="BU201" s="2"/>
    </row>
    <row r="202" spans="1:73" ht="15">
      <c r="A202" s="61" t="s">
        <v>368</v>
      </c>
      <c r="B202" s="62"/>
      <c r="C202" s="62"/>
      <c r="D202" s="63">
        <v>100</v>
      </c>
      <c r="E202" s="65"/>
      <c r="F202" s="99" t="str">
        <f>HYPERLINK("https://pbs.twimg.com/profile_images/814403268118007808/n19BKdMM_normal.jpg")</f>
        <v>https://pbs.twimg.com/profile_images/814403268118007808/n19BKdMM_normal.jpg</v>
      </c>
      <c r="G202" s="62"/>
      <c r="H202" s="66" t="s">
        <v>368</v>
      </c>
      <c r="I202" s="67"/>
      <c r="J202" s="67"/>
      <c r="K202" s="66" t="s">
        <v>3044</v>
      </c>
      <c r="L202" s="70">
        <v>1</v>
      </c>
      <c r="M202" s="71">
        <v>1225.4871826171875</v>
      </c>
      <c r="N202" s="71">
        <v>3108.66357421875</v>
      </c>
      <c r="O202" s="72"/>
      <c r="P202" s="73"/>
      <c r="Q202" s="73"/>
      <c r="R202" s="85"/>
      <c r="S202" s="45">
        <v>1</v>
      </c>
      <c r="T202" s="45">
        <v>1</v>
      </c>
      <c r="U202" s="46">
        <v>0</v>
      </c>
      <c r="V202" s="46">
        <v>0</v>
      </c>
      <c r="W202" s="46">
        <v>0</v>
      </c>
      <c r="X202" s="46">
        <v>0.003049</v>
      </c>
      <c r="Y202" s="46">
        <v>0</v>
      </c>
      <c r="Z202" s="46">
        <v>0</v>
      </c>
      <c r="AA202" s="68">
        <v>202</v>
      </c>
      <c r="AB202" s="68"/>
      <c r="AC202" s="69"/>
      <c r="AD202" s="75" t="s">
        <v>2036</v>
      </c>
      <c r="AE202" s="80" t="s">
        <v>2313</v>
      </c>
      <c r="AF202" s="75">
        <v>5748</v>
      </c>
      <c r="AG202" s="75">
        <v>5957</v>
      </c>
      <c r="AH202" s="75">
        <v>121417</v>
      </c>
      <c r="AI202" s="75">
        <v>124669</v>
      </c>
      <c r="AJ202" s="75"/>
      <c r="AK202" s="75" t="s">
        <v>2573</v>
      </c>
      <c r="AL202" s="75" t="s">
        <v>2781</v>
      </c>
      <c r="AM202" s="75"/>
      <c r="AN202" s="75"/>
      <c r="AO202" s="77">
        <v>40440.473958333336</v>
      </c>
      <c r="AP202" s="82" t="str">
        <f>HYPERLINK("https://pbs.twimg.com/profile_banners/192517432/1398418942")</f>
        <v>https://pbs.twimg.com/profile_banners/192517432/1398418942</v>
      </c>
      <c r="AQ202" s="75" t="b">
        <v>0</v>
      </c>
      <c r="AR202" s="75" t="b">
        <v>0</v>
      </c>
      <c r="AS202" s="75" t="b">
        <v>0</v>
      </c>
      <c r="AT202" s="75"/>
      <c r="AU202" s="75">
        <v>184</v>
      </c>
      <c r="AV202" s="82" t="str">
        <f>HYPERLINK("https://abs.twimg.com/images/themes/theme5/bg.gif")</f>
        <v>https://abs.twimg.com/images/themes/theme5/bg.gif</v>
      </c>
      <c r="AW202" s="75" t="b">
        <v>0</v>
      </c>
      <c r="AX202" s="75" t="s">
        <v>2845</v>
      </c>
      <c r="AY202" s="82" t="str">
        <f>HYPERLINK("https://twitter.com/varyagi")</f>
        <v>https://twitter.com/varyagi</v>
      </c>
      <c r="AZ202" s="75" t="s">
        <v>66</v>
      </c>
      <c r="BA202" s="75" t="str">
        <f>REPLACE(INDEX(GroupVertices[Group],MATCH(Vertices[[#This Row],[Vertex]],GroupVertices[Vertex],0)),1,1,"")</f>
        <v>2</v>
      </c>
      <c r="BB202" s="45">
        <v>2</v>
      </c>
      <c r="BC202" s="46">
        <v>2.0408163265306123</v>
      </c>
      <c r="BD202" s="45">
        <v>6</v>
      </c>
      <c r="BE202" s="46">
        <v>6.122448979591836</v>
      </c>
      <c r="BF202" s="45">
        <v>0</v>
      </c>
      <c r="BG202" s="46">
        <v>0</v>
      </c>
      <c r="BH202" s="45">
        <v>90</v>
      </c>
      <c r="BI202" s="46">
        <v>91.83673469387755</v>
      </c>
      <c r="BJ202" s="45">
        <v>98</v>
      </c>
      <c r="BK202" s="45"/>
      <c r="BL202" s="45"/>
      <c r="BM202" s="45"/>
      <c r="BN202" s="45"/>
      <c r="BO202" s="45" t="s">
        <v>839</v>
      </c>
      <c r="BP202" s="45" t="s">
        <v>839</v>
      </c>
      <c r="BQ202" s="110" t="s">
        <v>4496</v>
      </c>
      <c r="BR202" s="110" t="s">
        <v>4496</v>
      </c>
      <c r="BS202" s="110" t="s">
        <v>4612</v>
      </c>
      <c r="BT202" s="110" t="s">
        <v>4612</v>
      </c>
      <c r="BU202" s="2"/>
    </row>
    <row r="203" spans="1:73" ht="15">
      <c r="A203" s="61" t="s">
        <v>369</v>
      </c>
      <c r="B203" s="62"/>
      <c r="C203" s="62"/>
      <c r="D203" s="63">
        <v>109.0909090909091</v>
      </c>
      <c r="E203" s="65"/>
      <c r="F203" s="99" t="str">
        <f>HYPERLINK("https://abs.twimg.com/sticky/default_profile_images/default_profile_normal.png")</f>
        <v>https://abs.twimg.com/sticky/default_profile_images/default_profile_normal.png</v>
      </c>
      <c r="G203" s="62"/>
      <c r="H203" s="66" t="s">
        <v>369</v>
      </c>
      <c r="I203" s="67"/>
      <c r="J203" s="67"/>
      <c r="K203" s="66" t="s">
        <v>3045</v>
      </c>
      <c r="L203" s="70">
        <v>14.335615190445607</v>
      </c>
      <c r="M203" s="71">
        <v>6731.0341796875</v>
      </c>
      <c r="N203" s="71">
        <v>2627.9423828125</v>
      </c>
      <c r="O203" s="72"/>
      <c r="P203" s="73"/>
      <c r="Q203" s="73"/>
      <c r="R203" s="85"/>
      <c r="S203" s="45">
        <v>0</v>
      </c>
      <c r="T203" s="45">
        <v>3</v>
      </c>
      <c r="U203" s="46">
        <v>6</v>
      </c>
      <c r="V203" s="46">
        <v>0.009174</v>
      </c>
      <c r="W203" s="46">
        <v>0</v>
      </c>
      <c r="X203" s="46">
        <v>0.003844</v>
      </c>
      <c r="Y203" s="46">
        <v>0</v>
      </c>
      <c r="Z203" s="46">
        <v>0</v>
      </c>
      <c r="AA203" s="68">
        <v>203</v>
      </c>
      <c r="AB203" s="68"/>
      <c r="AC203" s="69"/>
      <c r="AD203" s="75" t="s">
        <v>2037</v>
      </c>
      <c r="AE203" s="80" t="s">
        <v>2314</v>
      </c>
      <c r="AF203" s="75">
        <v>96</v>
      </c>
      <c r="AG203" s="75">
        <v>4</v>
      </c>
      <c r="AH203" s="75">
        <v>1218</v>
      </c>
      <c r="AI203" s="75">
        <v>509</v>
      </c>
      <c r="AJ203" s="75"/>
      <c r="AK203" s="75"/>
      <c r="AL203" s="75"/>
      <c r="AM203" s="75"/>
      <c r="AN203" s="75"/>
      <c r="AO203" s="77">
        <v>44622.59951388889</v>
      </c>
      <c r="AP203" s="75"/>
      <c r="AQ203" s="75" t="b">
        <v>1</v>
      </c>
      <c r="AR203" s="75" t="b">
        <v>1</v>
      </c>
      <c r="AS203" s="75" t="b">
        <v>0</v>
      </c>
      <c r="AT203" s="75"/>
      <c r="AU203" s="75">
        <v>0</v>
      </c>
      <c r="AV203" s="75"/>
      <c r="AW203" s="75" t="b">
        <v>0</v>
      </c>
      <c r="AX203" s="75" t="s">
        <v>2845</v>
      </c>
      <c r="AY203" s="82" t="str">
        <f>HYPERLINK("https://twitter.com/peter_b_c")</f>
        <v>https://twitter.com/peter_b_c</v>
      </c>
      <c r="AZ203" s="75" t="s">
        <v>66</v>
      </c>
      <c r="BA203" s="75" t="str">
        <f>REPLACE(INDEX(GroupVertices[Group],MATCH(Vertices[[#This Row],[Vertex]],GroupVertices[Vertex],0)),1,1,"")</f>
        <v>26</v>
      </c>
      <c r="BB203" s="45">
        <v>0</v>
      </c>
      <c r="BC203" s="46">
        <v>0</v>
      </c>
      <c r="BD203" s="45">
        <v>0</v>
      </c>
      <c r="BE203" s="46">
        <v>0</v>
      </c>
      <c r="BF203" s="45">
        <v>0</v>
      </c>
      <c r="BG203" s="46">
        <v>0</v>
      </c>
      <c r="BH203" s="45">
        <v>43</v>
      </c>
      <c r="BI203" s="46">
        <v>100</v>
      </c>
      <c r="BJ203" s="45">
        <v>43</v>
      </c>
      <c r="BK203" s="45"/>
      <c r="BL203" s="45"/>
      <c r="BM203" s="45"/>
      <c r="BN203" s="45"/>
      <c r="BO203" s="45"/>
      <c r="BP203" s="45"/>
      <c r="BQ203" s="110" t="s">
        <v>4497</v>
      </c>
      <c r="BR203" s="110" t="s">
        <v>4497</v>
      </c>
      <c r="BS203" s="110" t="s">
        <v>4613</v>
      </c>
      <c r="BT203" s="110" t="s">
        <v>4613</v>
      </c>
      <c r="BU203" s="2"/>
    </row>
    <row r="204" spans="1:73" ht="15">
      <c r="A204" s="61" t="s">
        <v>515</v>
      </c>
      <c r="B204" s="62"/>
      <c r="C204" s="62"/>
      <c r="D204" s="63">
        <v>100</v>
      </c>
      <c r="E204" s="65"/>
      <c r="F204" s="99" t="str">
        <f>HYPERLINK("https://pbs.twimg.com/profile_images/496297589671604224/vPp0kzhv_normal.jpeg")</f>
        <v>https://pbs.twimg.com/profile_images/496297589671604224/vPp0kzhv_normal.jpeg</v>
      </c>
      <c r="G204" s="62"/>
      <c r="H204" s="66" t="s">
        <v>515</v>
      </c>
      <c r="I204" s="67"/>
      <c r="J204" s="67"/>
      <c r="K204" s="66" t="s">
        <v>3046</v>
      </c>
      <c r="L204" s="70">
        <v>1</v>
      </c>
      <c r="M204" s="71">
        <v>6731.0341796875</v>
      </c>
      <c r="N204" s="71">
        <v>3140.71142578125</v>
      </c>
      <c r="O204" s="72"/>
      <c r="P204" s="73"/>
      <c r="Q204" s="73"/>
      <c r="R204" s="85"/>
      <c r="S204" s="45">
        <v>1</v>
      </c>
      <c r="T204" s="45">
        <v>0</v>
      </c>
      <c r="U204" s="46">
        <v>0</v>
      </c>
      <c r="V204" s="46">
        <v>0.005505</v>
      </c>
      <c r="W204" s="46">
        <v>0</v>
      </c>
      <c r="X204" s="46">
        <v>0.002784</v>
      </c>
      <c r="Y204" s="46">
        <v>0</v>
      </c>
      <c r="Z204" s="46">
        <v>0</v>
      </c>
      <c r="AA204" s="68">
        <v>204</v>
      </c>
      <c r="AB204" s="68"/>
      <c r="AC204" s="69"/>
      <c r="AD204" s="75" t="s">
        <v>2038</v>
      </c>
      <c r="AE204" s="80" t="s">
        <v>2315</v>
      </c>
      <c r="AF204" s="75">
        <v>565</v>
      </c>
      <c r="AG204" s="75">
        <v>71661</v>
      </c>
      <c r="AH204" s="75">
        <v>6755</v>
      </c>
      <c r="AI204" s="75">
        <v>4032</v>
      </c>
      <c r="AJ204" s="75"/>
      <c r="AK204" s="75" t="s">
        <v>2574</v>
      </c>
      <c r="AL204" s="75" t="s">
        <v>2782</v>
      </c>
      <c r="AM204" s="75"/>
      <c r="AN204" s="75"/>
      <c r="AO204" s="77">
        <v>41744.36387731481</v>
      </c>
      <c r="AP204" s="82" t="str">
        <f>HYPERLINK("https://pbs.twimg.com/profile_banners/2445134780/1441544277")</f>
        <v>https://pbs.twimg.com/profile_banners/2445134780/1441544277</v>
      </c>
      <c r="AQ204" s="75" t="b">
        <v>0</v>
      </c>
      <c r="AR204" s="75" t="b">
        <v>0</v>
      </c>
      <c r="AS204" s="75" t="b">
        <v>1</v>
      </c>
      <c r="AT204" s="75"/>
      <c r="AU204" s="75">
        <v>965</v>
      </c>
      <c r="AV204" s="82" t="str">
        <f>HYPERLINK("https://abs.twimg.com/images/themes/theme1/bg.png")</f>
        <v>https://abs.twimg.com/images/themes/theme1/bg.png</v>
      </c>
      <c r="AW204" s="75" t="b">
        <v>0</v>
      </c>
      <c r="AX204" s="75" t="s">
        <v>2845</v>
      </c>
      <c r="AY204" s="82" t="str">
        <f>HYPERLINK("https://twitter.com/plnewstoday")</f>
        <v>https://twitter.com/plnewstoday</v>
      </c>
      <c r="AZ204" s="75" t="s">
        <v>65</v>
      </c>
      <c r="BA204" s="75" t="str">
        <f>REPLACE(INDEX(GroupVertices[Group],MATCH(Vertices[[#This Row],[Vertex]],GroupVertices[Vertex],0)),1,1,"")</f>
        <v>26</v>
      </c>
      <c r="BB204" s="45"/>
      <c r="BC204" s="46"/>
      <c r="BD204" s="45"/>
      <c r="BE204" s="46"/>
      <c r="BF204" s="45"/>
      <c r="BG204" s="46"/>
      <c r="BH204" s="45"/>
      <c r="BI204" s="46"/>
      <c r="BJ204" s="45"/>
      <c r="BK204" s="45"/>
      <c r="BL204" s="45"/>
      <c r="BM204" s="45"/>
      <c r="BN204" s="45"/>
      <c r="BO204" s="45"/>
      <c r="BP204" s="45"/>
      <c r="BQ204" s="45"/>
      <c r="BR204" s="45"/>
      <c r="BS204" s="45"/>
      <c r="BT204" s="45"/>
      <c r="BU204" s="2"/>
    </row>
    <row r="205" spans="1:73" ht="15">
      <c r="A205" s="61" t="s">
        <v>516</v>
      </c>
      <c r="B205" s="62"/>
      <c r="C205" s="62"/>
      <c r="D205" s="63">
        <v>100</v>
      </c>
      <c r="E205" s="65"/>
      <c r="F205" s="99" t="str">
        <f>HYPERLINK("https://pbs.twimg.com/profile_images/1568463202911981570/dyJR1uMd_normal.jpg")</f>
        <v>https://pbs.twimg.com/profile_images/1568463202911981570/dyJR1uMd_normal.jpg</v>
      </c>
      <c r="G205" s="62"/>
      <c r="H205" s="66" t="s">
        <v>516</v>
      </c>
      <c r="I205" s="67"/>
      <c r="J205" s="67"/>
      <c r="K205" s="66" t="s">
        <v>3047</v>
      </c>
      <c r="L205" s="70">
        <v>1</v>
      </c>
      <c r="M205" s="71">
        <v>6535.931640625</v>
      </c>
      <c r="N205" s="71">
        <v>3140.71142578125</v>
      </c>
      <c r="O205" s="72"/>
      <c r="P205" s="73"/>
      <c r="Q205" s="73"/>
      <c r="R205" s="85"/>
      <c r="S205" s="45">
        <v>1</v>
      </c>
      <c r="T205" s="45">
        <v>0</v>
      </c>
      <c r="U205" s="46">
        <v>0</v>
      </c>
      <c r="V205" s="46">
        <v>0.005505</v>
      </c>
      <c r="W205" s="46">
        <v>0</v>
      </c>
      <c r="X205" s="46">
        <v>0.002784</v>
      </c>
      <c r="Y205" s="46">
        <v>0</v>
      </c>
      <c r="Z205" s="46">
        <v>0</v>
      </c>
      <c r="AA205" s="68">
        <v>205</v>
      </c>
      <c r="AB205" s="68"/>
      <c r="AC205" s="69"/>
      <c r="AD205" s="75" t="s">
        <v>2039</v>
      </c>
      <c r="AE205" s="80" t="s">
        <v>2316</v>
      </c>
      <c r="AF205" s="75">
        <v>417</v>
      </c>
      <c r="AG205" s="75">
        <v>614</v>
      </c>
      <c r="AH205" s="75">
        <v>1069</v>
      </c>
      <c r="AI205" s="75">
        <v>854</v>
      </c>
      <c r="AJ205" s="75"/>
      <c r="AK205" s="75" t="s">
        <v>2575</v>
      </c>
      <c r="AL205" s="75" t="s">
        <v>2783</v>
      </c>
      <c r="AM205" s="82" t="str">
        <f>HYPERLINK("https://t.co/lLwcHt6ULT")</f>
        <v>https://t.co/lLwcHt6ULT</v>
      </c>
      <c r="AN205" s="75"/>
      <c r="AO205" s="77">
        <v>44734.05991898148</v>
      </c>
      <c r="AP205" s="82" t="str">
        <f>HYPERLINK("https://pbs.twimg.com/profile_banners/1539419437501136896/1662742041")</f>
        <v>https://pbs.twimg.com/profile_banners/1539419437501136896/1662742041</v>
      </c>
      <c r="AQ205" s="75" t="b">
        <v>1</v>
      </c>
      <c r="AR205" s="75" t="b">
        <v>0</v>
      </c>
      <c r="AS205" s="75" t="b">
        <v>0</v>
      </c>
      <c r="AT205" s="75"/>
      <c r="AU205" s="75">
        <v>7</v>
      </c>
      <c r="AV205" s="75"/>
      <c r="AW205" s="75" t="b">
        <v>0</v>
      </c>
      <c r="AX205" s="75" t="s">
        <v>2845</v>
      </c>
      <c r="AY205" s="82" t="str">
        <f>HYPERLINK("https://twitter.com/termitesturd")</f>
        <v>https://twitter.com/termitesturd</v>
      </c>
      <c r="AZ205" s="75" t="s">
        <v>65</v>
      </c>
      <c r="BA205" s="75" t="str">
        <f>REPLACE(INDEX(GroupVertices[Group],MATCH(Vertices[[#This Row],[Vertex]],GroupVertices[Vertex],0)),1,1,"")</f>
        <v>26</v>
      </c>
      <c r="BB205" s="45"/>
      <c r="BC205" s="46"/>
      <c r="BD205" s="45"/>
      <c r="BE205" s="46"/>
      <c r="BF205" s="45"/>
      <c r="BG205" s="46"/>
      <c r="BH205" s="45"/>
      <c r="BI205" s="46"/>
      <c r="BJ205" s="45"/>
      <c r="BK205" s="45"/>
      <c r="BL205" s="45"/>
      <c r="BM205" s="45"/>
      <c r="BN205" s="45"/>
      <c r="BO205" s="45"/>
      <c r="BP205" s="45"/>
      <c r="BQ205" s="45"/>
      <c r="BR205" s="45"/>
      <c r="BS205" s="45"/>
      <c r="BT205" s="45"/>
      <c r="BU205" s="2"/>
    </row>
    <row r="206" spans="1:73" ht="15">
      <c r="A206" s="61" t="s">
        <v>517</v>
      </c>
      <c r="B206" s="62"/>
      <c r="C206" s="62"/>
      <c r="D206" s="63">
        <v>100</v>
      </c>
      <c r="E206" s="65"/>
      <c r="F206" s="99" t="str">
        <f>HYPERLINK("https://pbs.twimg.com/profile_images/1449006847281741826/YRV-_kAH_normal.jpg")</f>
        <v>https://pbs.twimg.com/profile_images/1449006847281741826/YRV-_kAH_normal.jpg</v>
      </c>
      <c r="G206" s="62"/>
      <c r="H206" s="66" t="s">
        <v>517</v>
      </c>
      <c r="I206" s="67"/>
      <c r="J206" s="67"/>
      <c r="K206" s="66" t="s">
        <v>3048</v>
      </c>
      <c r="L206" s="70">
        <v>1</v>
      </c>
      <c r="M206" s="71">
        <v>6535.931640625</v>
      </c>
      <c r="N206" s="71">
        <v>2627.9423828125</v>
      </c>
      <c r="O206" s="72"/>
      <c r="P206" s="73"/>
      <c r="Q206" s="73"/>
      <c r="R206" s="85"/>
      <c r="S206" s="45">
        <v>1</v>
      </c>
      <c r="T206" s="45">
        <v>0</v>
      </c>
      <c r="U206" s="46">
        <v>0</v>
      </c>
      <c r="V206" s="46">
        <v>0.005505</v>
      </c>
      <c r="W206" s="46">
        <v>0</v>
      </c>
      <c r="X206" s="46">
        <v>0.002784</v>
      </c>
      <c r="Y206" s="46">
        <v>0</v>
      </c>
      <c r="Z206" s="46">
        <v>0</v>
      </c>
      <c r="AA206" s="68">
        <v>206</v>
      </c>
      <c r="AB206" s="68"/>
      <c r="AC206" s="69"/>
      <c r="AD206" s="75" t="s">
        <v>2040</v>
      </c>
      <c r="AE206" s="80" t="s">
        <v>1722</v>
      </c>
      <c r="AF206" s="75">
        <v>1112</v>
      </c>
      <c r="AG206" s="75">
        <v>1644</v>
      </c>
      <c r="AH206" s="75">
        <v>73364</v>
      </c>
      <c r="AI206" s="75">
        <v>121560</v>
      </c>
      <c r="AJ206" s="75"/>
      <c r="AK206" s="75" t="s">
        <v>2576</v>
      </c>
      <c r="AL206" s="75" t="s">
        <v>2784</v>
      </c>
      <c r="AM206" s="75"/>
      <c r="AN206" s="75"/>
      <c r="AO206" s="77">
        <v>44066.39265046296</v>
      </c>
      <c r="AP206" s="82" t="str">
        <f>HYPERLINK("https://pbs.twimg.com/profile_banners/1297464842287226880/1598218554")</f>
        <v>https://pbs.twimg.com/profile_banners/1297464842287226880/1598218554</v>
      </c>
      <c r="AQ206" s="75" t="b">
        <v>1</v>
      </c>
      <c r="AR206" s="75" t="b">
        <v>0</v>
      </c>
      <c r="AS206" s="75" t="b">
        <v>0</v>
      </c>
      <c r="AT206" s="75"/>
      <c r="AU206" s="75">
        <v>9</v>
      </c>
      <c r="AV206" s="75"/>
      <c r="AW206" s="75" t="b">
        <v>0</v>
      </c>
      <c r="AX206" s="75" t="s">
        <v>2845</v>
      </c>
      <c r="AY206" s="82" t="str">
        <f>HYPERLINK("https://twitter.com/surfingcelia")</f>
        <v>https://twitter.com/surfingcelia</v>
      </c>
      <c r="AZ206" s="75" t="s">
        <v>65</v>
      </c>
      <c r="BA206" s="75" t="str">
        <f>REPLACE(INDEX(GroupVertices[Group],MATCH(Vertices[[#This Row],[Vertex]],GroupVertices[Vertex],0)),1,1,"")</f>
        <v>26</v>
      </c>
      <c r="BB206" s="45"/>
      <c r="BC206" s="46"/>
      <c r="BD206" s="45"/>
      <c r="BE206" s="46"/>
      <c r="BF206" s="45"/>
      <c r="BG206" s="46"/>
      <c r="BH206" s="45"/>
      <c r="BI206" s="46"/>
      <c r="BJ206" s="45"/>
      <c r="BK206" s="45"/>
      <c r="BL206" s="45"/>
      <c r="BM206" s="45"/>
      <c r="BN206" s="45"/>
      <c r="BO206" s="45"/>
      <c r="BP206" s="45"/>
      <c r="BQ206" s="45"/>
      <c r="BR206" s="45"/>
      <c r="BS206" s="45"/>
      <c r="BT206" s="45"/>
      <c r="BU206" s="2"/>
    </row>
    <row r="207" spans="1:73" ht="15">
      <c r="A207" s="61" t="s">
        <v>370</v>
      </c>
      <c r="B207" s="62"/>
      <c r="C207" s="62"/>
      <c r="D207" s="63">
        <v>100</v>
      </c>
      <c r="E207" s="65"/>
      <c r="F207" s="99" t="str">
        <f>HYPERLINK("https://pbs.twimg.com/profile_images/1423346020805644288/T3n4AiLz_normal.jpg")</f>
        <v>https://pbs.twimg.com/profile_images/1423346020805644288/T3n4AiLz_normal.jpg</v>
      </c>
      <c r="G207" s="62"/>
      <c r="H207" s="66" t="s">
        <v>370</v>
      </c>
      <c r="I207" s="67"/>
      <c r="J207" s="67"/>
      <c r="K207" s="66" t="s">
        <v>3049</v>
      </c>
      <c r="L207" s="70">
        <v>1</v>
      </c>
      <c r="M207" s="71">
        <v>9645.376953125</v>
      </c>
      <c r="N207" s="71">
        <v>785.1778564453125</v>
      </c>
      <c r="O207" s="72"/>
      <c r="P207" s="73"/>
      <c r="Q207" s="73"/>
      <c r="R207" s="85"/>
      <c r="S207" s="45">
        <v>0</v>
      </c>
      <c r="T207" s="45">
        <v>1</v>
      </c>
      <c r="U207" s="46">
        <v>0</v>
      </c>
      <c r="V207" s="46">
        <v>0.003058</v>
      </c>
      <c r="W207" s="46">
        <v>0</v>
      </c>
      <c r="X207" s="46">
        <v>0.003049</v>
      </c>
      <c r="Y207" s="46">
        <v>0</v>
      </c>
      <c r="Z207" s="46">
        <v>0</v>
      </c>
      <c r="AA207" s="68">
        <v>207</v>
      </c>
      <c r="AB207" s="68"/>
      <c r="AC207" s="69"/>
      <c r="AD207" s="75" t="s">
        <v>2041</v>
      </c>
      <c r="AE207" s="80" t="s">
        <v>2317</v>
      </c>
      <c r="AF207" s="75">
        <v>20</v>
      </c>
      <c r="AG207" s="75">
        <v>57</v>
      </c>
      <c r="AH207" s="75">
        <v>508</v>
      </c>
      <c r="AI207" s="75">
        <v>23</v>
      </c>
      <c r="AJ207" s="75"/>
      <c r="AK207" s="75" t="s">
        <v>2577</v>
      </c>
      <c r="AL207" s="75" t="s">
        <v>2785</v>
      </c>
      <c r="AM207" s="75"/>
      <c r="AN207" s="75"/>
      <c r="AO207" s="77">
        <v>40338.36614583333</v>
      </c>
      <c r="AP207" s="75"/>
      <c r="AQ207" s="75" t="b">
        <v>0</v>
      </c>
      <c r="AR207" s="75" t="b">
        <v>0</v>
      </c>
      <c r="AS207" s="75" t="b">
        <v>1</v>
      </c>
      <c r="AT207" s="75"/>
      <c r="AU207" s="75">
        <v>7</v>
      </c>
      <c r="AV207" s="82" t="str">
        <f>HYPERLINK("https://abs.twimg.com/images/themes/theme14/bg.gif")</f>
        <v>https://abs.twimg.com/images/themes/theme14/bg.gif</v>
      </c>
      <c r="AW207" s="75" t="b">
        <v>0</v>
      </c>
      <c r="AX207" s="75" t="s">
        <v>2845</v>
      </c>
      <c r="AY207" s="82" t="str">
        <f>HYPERLINK("https://twitter.com/cookiegonewrong")</f>
        <v>https://twitter.com/cookiegonewrong</v>
      </c>
      <c r="AZ207" s="75" t="s">
        <v>66</v>
      </c>
      <c r="BA207" s="75" t="str">
        <f>REPLACE(INDEX(GroupVertices[Group],MATCH(Vertices[[#This Row],[Vertex]],GroupVertices[Vertex],0)),1,1,"")</f>
        <v>45</v>
      </c>
      <c r="BB207" s="45">
        <v>2</v>
      </c>
      <c r="BC207" s="46">
        <v>5.2631578947368425</v>
      </c>
      <c r="BD207" s="45">
        <v>1</v>
      </c>
      <c r="BE207" s="46">
        <v>2.6315789473684212</v>
      </c>
      <c r="BF207" s="45">
        <v>0</v>
      </c>
      <c r="BG207" s="46">
        <v>0</v>
      </c>
      <c r="BH207" s="45">
        <v>35</v>
      </c>
      <c r="BI207" s="46">
        <v>92.10526315789474</v>
      </c>
      <c r="BJ207" s="45">
        <v>38</v>
      </c>
      <c r="BK207" s="45"/>
      <c r="BL207" s="45"/>
      <c r="BM207" s="45"/>
      <c r="BN207" s="45"/>
      <c r="BO207" s="45" t="s">
        <v>801</v>
      </c>
      <c r="BP207" s="45" t="s">
        <v>801</v>
      </c>
      <c r="BQ207" s="110" t="s">
        <v>4498</v>
      </c>
      <c r="BR207" s="110" t="s">
        <v>4498</v>
      </c>
      <c r="BS207" s="110" t="s">
        <v>4614</v>
      </c>
      <c r="BT207" s="110" t="s">
        <v>4614</v>
      </c>
      <c r="BU207" s="2"/>
    </row>
    <row r="208" spans="1:73" ht="15">
      <c r="A208" s="61" t="s">
        <v>518</v>
      </c>
      <c r="B208" s="62"/>
      <c r="C208" s="62"/>
      <c r="D208" s="63">
        <v>100</v>
      </c>
      <c r="E208" s="65"/>
      <c r="F208" s="99" t="str">
        <f>HYPERLINK("https://pbs.twimg.com/profile_images/776633313234591745/9yb3BPJ3_normal.jpg")</f>
        <v>https://pbs.twimg.com/profile_images/776633313234591745/9yb3BPJ3_normal.jpg</v>
      </c>
      <c r="G208" s="62"/>
      <c r="H208" s="66" t="s">
        <v>518</v>
      </c>
      <c r="I208" s="67"/>
      <c r="J208" s="67"/>
      <c r="K208" s="66" t="s">
        <v>3050</v>
      </c>
      <c r="L208" s="70">
        <v>1</v>
      </c>
      <c r="M208" s="71">
        <v>9645.376953125</v>
      </c>
      <c r="N208" s="71">
        <v>1073.610595703125</v>
      </c>
      <c r="O208" s="72"/>
      <c r="P208" s="73"/>
      <c r="Q208" s="73"/>
      <c r="R208" s="85"/>
      <c r="S208" s="45">
        <v>1</v>
      </c>
      <c r="T208" s="45">
        <v>0</v>
      </c>
      <c r="U208" s="46">
        <v>0</v>
      </c>
      <c r="V208" s="46">
        <v>0.003058</v>
      </c>
      <c r="W208" s="46">
        <v>0</v>
      </c>
      <c r="X208" s="46">
        <v>0.003049</v>
      </c>
      <c r="Y208" s="46">
        <v>0</v>
      </c>
      <c r="Z208" s="46">
        <v>0</v>
      </c>
      <c r="AA208" s="68">
        <v>208</v>
      </c>
      <c r="AB208" s="68"/>
      <c r="AC208" s="69"/>
      <c r="AD208" s="75" t="s">
        <v>2042</v>
      </c>
      <c r="AE208" s="80" t="s">
        <v>1723</v>
      </c>
      <c r="AF208" s="75">
        <v>273</v>
      </c>
      <c r="AG208" s="75">
        <v>1912</v>
      </c>
      <c r="AH208" s="75">
        <v>51004</v>
      </c>
      <c r="AI208" s="75">
        <v>38534</v>
      </c>
      <c r="AJ208" s="75"/>
      <c r="AK208" s="75" t="s">
        <v>2578</v>
      </c>
      <c r="AL208" s="75"/>
      <c r="AM208" s="75"/>
      <c r="AN208" s="75"/>
      <c r="AO208" s="77">
        <v>42624.54006944445</v>
      </c>
      <c r="AP208" s="75"/>
      <c r="AQ208" s="75" t="b">
        <v>1</v>
      </c>
      <c r="AR208" s="75" t="b">
        <v>0</v>
      </c>
      <c r="AS208" s="75" t="b">
        <v>0</v>
      </c>
      <c r="AT208" s="75"/>
      <c r="AU208" s="75">
        <v>7</v>
      </c>
      <c r="AV208" s="75"/>
      <c r="AW208" s="75" t="b">
        <v>0</v>
      </c>
      <c r="AX208" s="75" t="s">
        <v>2845</v>
      </c>
      <c r="AY208" s="82" t="str">
        <f>HYPERLINK("https://twitter.com/heinrich_haupt")</f>
        <v>https://twitter.com/heinrich_haupt</v>
      </c>
      <c r="AZ208" s="75" t="s">
        <v>65</v>
      </c>
      <c r="BA208" s="75" t="str">
        <f>REPLACE(INDEX(GroupVertices[Group],MATCH(Vertices[[#This Row],[Vertex]],GroupVertices[Vertex],0)),1,1,"")</f>
        <v>45</v>
      </c>
      <c r="BB208" s="45"/>
      <c r="BC208" s="46"/>
      <c r="BD208" s="45"/>
      <c r="BE208" s="46"/>
      <c r="BF208" s="45"/>
      <c r="BG208" s="46"/>
      <c r="BH208" s="45"/>
      <c r="BI208" s="46"/>
      <c r="BJ208" s="45"/>
      <c r="BK208" s="45"/>
      <c r="BL208" s="45"/>
      <c r="BM208" s="45"/>
      <c r="BN208" s="45"/>
      <c r="BO208" s="45"/>
      <c r="BP208" s="45"/>
      <c r="BQ208" s="45"/>
      <c r="BR208" s="45"/>
      <c r="BS208" s="45"/>
      <c r="BT208" s="45"/>
      <c r="BU208" s="2"/>
    </row>
    <row r="209" spans="1:73" ht="15">
      <c r="A209" s="61" t="s">
        <v>371</v>
      </c>
      <c r="B209" s="62"/>
      <c r="C209" s="62"/>
      <c r="D209" s="63">
        <v>103.03030303030303</v>
      </c>
      <c r="E209" s="65"/>
      <c r="F209" s="99" t="str">
        <f>HYPERLINK("https://pbs.twimg.com/profile_images/1065809287476318208/sExOz_YS_normal.jpg")</f>
        <v>https://pbs.twimg.com/profile_images/1065809287476318208/sExOz_YS_normal.jpg</v>
      </c>
      <c r="G209" s="62"/>
      <c r="H209" s="66" t="s">
        <v>371</v>
      </c>
      <c r="I209" s="67"/>
      <c r="J209" s="67"/>
      <c r="K209" s="66" t="s">
        <v>3051</v>
      </c>
      <c r="L209" s="70">
        <v>5.445205063481868</v>
      </c>
      <c r="M209" s="71">
        <v>7767.515625</v>
      </c>
      <c r="N209" s="71">
        <v>3557.33642578125</v>
      </c>
      <c r="O209" s="72"/>
      <c r="P209" s="73"/>
      <c r="Q209" s="73"/>
      <c r="R209" s="85"/>
      <c r="S209" s="45">
        <v>0</v>
      </c>
      <c r="T209" s="45">
        <v>2</v>
      </c>
      <c r="U209" s="46">
        <v>2</v>
      </c>
      <c r="V209" s="46">
        <v>0.006116</v>
      </c>
      <c r="W209" s="46">
        <v>0</v>
      </c>
      <c r="X209" s="46">
        <v>0.003446</v>
      </c>
      <c r="Y209" s="46">
        <v>0</v>
      </c>
      <c r="Z209" s="46">
        <v>0</v>
      </c>
      <c r="AA209" s="68">
        <v>209</v>
      </c>
      <c r="AB209" s="68"/>
      <c r="AC209" s="69"/>
      <c r="AD209" s="75" t="s">
        <v>2043</v>
      </c>
      <c r="AE209" s="80" t="s">
        <v>2318</v>
      </c>
      <c r="AF209" s="75">
        <v>261</v>
      </c>
      <c r="AG209" s="75">
        <v>294</v>
      </c>
      <c r="AH209" s="75">
        <v>11164</v>
      </c>
      <c r="AI209" s="75">
        <v>669</v>
      </c>
      <c r="AJ209" s="75"/>
      <c r="AK209" s="75" t="s">
        <v>2579</v>
      </c>
      <c r="AL209" s="75" t="s">
        <v>2786</v>
      </c>
      <c r="AM209" s="75"/>
      <c r="AN209" s="75"/>
      <c r="AO209" s="77">
        <v>40813.92899305555</v>
      </c>
      <c r="AP209" s="82" t="str">
        <f>HYPERLINK("https://pbs.twimg.com/profile_banners/381192430/1597037171")</f>
        <v>https://pbs.twimg.com/profile_banners/381192430/1597037171</v>
      </c>
      <c r="AQ209" s="75" t="b">
        <v>1</v>
      </c>
      <c r="AR209" s="75" t="b">
        <v>0</v>
      </c>
      <c r="AS209" s="75" t="b">
        <v>1</v>
      </c>
      <c r="AT209" s="75"/>
      <c r="AU209" s="75">
        <v>2</v>
      </c>
      <c r="AV209" s="82" t="str">
        <f>HYPERLINK("https://abs.twimg.com/images/themes/theme1/bg.png")</f>
        <v>https://abs.twimg.com/images/themes/theme1/bg.png</v>
      </c>
      <c r="AW209" s="75" t="b">
        <v>0</v>
      </c>
      <c r="AX209" s="75" t="s">
        <v>2845</v>
      </c>
      <c r="AY209" s="82" t="str">
        <f>HYPERLINK("https://twitter.com/theliverpooly")</f>
        <v>https://twitter.com/theliverpooly</v>
      </c>
      <c r="AZ209" s="75" t="s">
        <v>66</v>
      </c>
      <c r="BA209" s="75" t="str">
        <f>REPLACE(INDEX(GroupVertices[Group],MATCH(Vertices[[#This Row],[Vertex]],GroupVertices[Vertex],0)),1,1,"")</f>
        <v>34</v>
      </c>
      <c r="BB209" s="45">
        <v>1</v>
      </c>
      <c r="BC209" s="46">
        <v>3.0303030303030303</v>
      </c>
      <c r="BD209" s="45">
        <v>1</v>
      </c>
      <c r="BE209" s="46">
        <v>3.0303030303030303</v>
      </c>
      <c r="BF209" s="45">
        <v>0</v>
      </c>
      <c r="BG209" s="46">
        <v>0</v>
      </c>
      <c r="BH209" s="45">
        <v>31</v>
      </c>
      <c r="BI209" s="46">
        <v>93.93939393939394</v>
      </c>
      <c r="BJ209" s="45">
        <v>33</v>
      </c>
      <c r="BK209" s="45"/>
      <c r="BL209" s="45"/>
      <c r="BM209" s="45"/>
      <c r="BN209" s="45"/>
      <c r="BO209" s="45" t="s">
        <v>840</v>
      </c>
      <c r="BP209" s="45" t="s">
        <v>840</v>
      </c>
      <c r="BQ209" s="110" t="s">
        <v>4499</v>
      </c>
      <c r="BR209" s="110" t="s">
        <v>4499</v>
      </c>
      <c r="BS209" s="110" t="s">
        <v>4615</v>
      </c>
      <c r="BT209" s="110" t="s">
        <v>4615</v>
      </c>
      <c r="BU209" s="2"/>
    </row>
    <row r="210" spans="1:73" ht="15">
      <c r="A210" s="61" t="s">
        <v>519</v>
      </c>
      <c r="B210" s="62"/>
      <c r="C210" s="62"/>
      <c r="D210" s="63">
        <v>100</v>
      </c>
      <c r="E210" s="65"/>
      <c r="F210" s="99" t="str">
        <f>HYPERLINK("https://pbs.twimg.com/profile_images/1278259160644227073/MfCyF7CG_normal.jpg")</f>
        <v>https://pbs.twimg.com/profile_images/1278259160644227073/MfCyF7CG_normal.jpg</v>
      </c>
      <c r="G210" s="62"/>
      <c r="H210" s="66" t="s">
        <v>519</v>
      </c>
      <c r="I210" s="67"/>
      <c r="J210" s="67"/>
      <c r="K210" s="66" t="s">
        <v>3052</v>
      </c>
      <c r="L210" s="70">
        <v>1</v>
      </c>
      <c r="M210" s="71">
        <v>7767.515625</v>
      </c>
      <c r="N210" s="71">
        <v>4198.2978515625</v>
      </c>
      <c r="O210" s="72"/>
      <c r="P210" s="73"/>
      <c r="Q210" s="73"/>
      <c r="R210" s="85"/>
      <c r="S210" s="45">
        <v>1</v>
      </c>
      <c r="T210" s="45">
        <v>0</v>
      </c>
      <c r="U210" s="46">
        <v>0</v>
      </c>
      <c r="V210" s="46">
        <v>0.004077</v>
      </c>
      <c r="W210" s="46">
        <v>0</v>
      </c>
      <c r="X210" s="46">
        <v>0.00285</v>
      </c>
      <c r="Y210" s="46">
        <v>0</v>
      </c>
      <c r="Z210" s="46">
        <v>0</v>
      </c>
      <c r="AA210" s="68">
        <v>210</v>
      </c>
      <c r="AB210" s="68"/>
      <c r="AC210" s="69"/>
      <c r="AD210" s="75" t="s">
        <v>2044</v>
      </c>
      <c r="AE210" s="80" t="s">
        <v>2319</v>
      </c>
      <c r="AF210" s="75">
        <v>1103</v>
      </c>
      <c r="AG210" s="75">
        <v>59832956</v>
      </c>
      <c r="AH210" s="75">
        <v>383761</v>
      </c>
      <c r="AI210" s="75">
        <v>1391</v>
      </c>
      <c r="AJ210" s="75"/>
      <c r="AK210" s="75" t="s">
        <v>2580</v>
      </c>
      <c r="AL210" s="75"/>
      <c r="AM210" s="82" t="str">
        <f>HYPERLINK("https://t.co/imGp4Ieixi")</f>
        <v>https://t.co/imGp4Ieixi</v>
      </c>
      <c r="AN210" s="75"/>
      <c r="AO210" s="77">
        <v>39122.0243287037</v>
      </c>
      <c r="AP210" s="82" t="str">
        <f>HYPERLINK("https://pbs.twimg.com/profile_banners/759251/1663253468")</f>
        <v>https://pbs.twimg.com/profile_banners/759251/1663253468</v>
      </c>
      <c r="AQ210" s="75" t="b">
        <v>0</v>
      </c>
      <c r="AR210" s="75" t="b">
        <v>0</v>
      </c>
      <c r="AS210" s="75" t="b">
        <v>1</v>
      </c>
      <c r="AT210" s="75"/>
      <c r="AU210" s="75">
        <v>156202</v>
      </c>
      <c r="AV210" s="82" t="str">
        <f>HYPERLINK("https://abs.twimg.com/images/themes/theme1/bg.png")</f>
        <v>https://abs.twimg.com/images/themes/theme1/bg.png</v>
      </c>
      <c r="AW210" s="75" t="b">
        <v>1</v>
      </c>
      <c r="AX210" s="75" t="s">
        <v>2845</v>
      </c>
      <c r="AY210" s="82" t="str">
        <f>HYPERLINK("https://twitter.com/cnn")</f>
        <v>https://twitter.com/cnn</v>
      </c>
      <c r="AZ210" s="75" t="s">
        <v>65</v>
      </c>
      <c r="BA210" s="75" t="str">
        <f>REPLACE(INDEX(GroupVertices[Group],MATCH(Vertices[[#This Row],[Vertex]],GroupVertices[Vertex],0)),1,1,"")</f>
        <v>34</v>
      </c>
      <c r="BB210" s="45"/>
      <c r="BC210" s="46"/>
      <c r="BD210" s="45"/>
      <c r="BE210" s="46"/>
      <c r="BF210" s="45"/>
      <c r="BG210" s="46"/>
      <c r="BH210" s="45"/>
      <c r="BI210" s="46"/>
      <c r="BJ210" s="45"/>
      <c r="BK210" s="45"/>
      <c r="BL210" s="45"/>
      <c r="BM210" s="45"/>
      <c r="BN210" s="45"/>
      <c r="BO210" s="45"/>
      <c r="BP210" s="45"/>
      <c r="BQ210" s="45"/>
      <c r="BR210" s="45"/>
      <c r="BS210" s="45"/>
      <c r="BT210" s="45"/>
      <c r="BU210" s="2"/>
    </row>
    <row r="211" spans="1:73" ht="15">
      <c r="A211" s="61" t="s">
        <v>520</v>
      </c>
      <c r="B211" s="62"/>
      <c r="C211" s="62"/>
      <c r="D211" s="63">
        <v>100</v>
      </c>
      <c r="E211" s="65"/>
      <c r="F211" s="99" t="str">
        <f>HYPERLINK("https://pbs.twimg.com/profile_images/1560530975502831616/687qDDcP_normal.jpg")</f>
        <v>https://pbs.twimg.com/profile_images/1560530975502831616/687qDDcP_normal.jpg</v>
      </c>
      <c r="G211" s="62"/>
      <c r="H211" s="66" t="s">
        <v>520</v>
      </c>
      <c r="I211" s="67"/>
      <c r="J211" s="67"/>
      <c r="K211" s="66" t="s">
        <v>3053</v>
      </c>
      <c r="L211" s="70">
        <v>1</v>
      </c>
      <c r="M211" s="71">
        <v>7767.515625</v>
      </c>
      <c r="N211" s="71">
        <v>3877.8173828125</v>
      </c>
      <c r="O211" s="72"/>
      <c r="P211" s="73"/>
      <c r="Q211" s="73"/>
      <c r="R211" s="85"/>
      <c r="S211" s="45">
        <v>1</v>
      </c>
      <c r="T211" s="45">
        <v>0</v>
      </c>
      <c r="U211" s="46">
        <v>0</v>
      </c>
      <c r="V211" s="46">
        <v>0.004077</v>
      </c>
      <c r="W211" s="46">
        <v>0</v>
      </c>
      <c r="X211" s="46">
        <v>0.00285</v>
      </c>
      <c r="Y211" s="46">
        <v>0</v>
      </c>
      <c r="Z211" s="46">
        <v>0</v>
      </c>
      <c r="AA211" s="68">
        <v>211</v>
      </c>
      <c r="AB211" s="68"/>
      <c r="AC211" s="69"/>
      <c r="AD211" s="75" t="s">
        <v>2045</v>
      </c>
      <c r="AE211" s="80" t="s">
        <v>1724</v>
      </c>
      <c r="AF211" s="75">
        <v>52</v>
      </c>
      <c r="AG211" s="75">
        <v>41</v>
      </c>
      <c r="AH211" s="75">
        <v>3876</v>
      </c>
      <c r="AI211" s="75">
        <v>13526</v>
      </c>
      <c r="AJ211" s="75"/>
      <c r="AK211" s="75" t="s">
        <v>2581</v>
      </c>
      <c r="AL211" s="75"/>
      <c r="AM211" s="75"/>
      <c r="AN211" s="75"/>
      <c r="AO211" s="77">
        <v>44604.34263888889</v>
      </c>
      <c r="AP211" s="82" t="str">
        <f>HYPERLINK("https://pbs.twimg.com/profile_banners/1492411357785903104/1659689990")</f>
        <v>https://pbs.twimg.com/profile_banners/1492411357785903104/1659689990</v>
      </c>
      <c r="AQ211" s="75" t="b">
        <v>1</v>
      </c>
      <c r="AR211" s="75" t="b">
        <v>0</v>
      </c>
      <c r="AS211" s="75" t="b">
        <v>1</v>
      </c>
      <c r="AT211" s="75"/>
      <c r="AU211" s="75">
        <v>0</v>
      </c>
      <c r="AV211" s="75"/>
      <c r="AW211" s="75" t="b">
        <v>0</v>
      </c>
      <c r="AX211" s="75" t="s">
        <v>2845</v>
      </c>
      <c r="AY211" s="82" t="str">
        <f>HYPERLINK("https://twitter.com/chimdi0811")</f>
        <v>https://twitter.com/chimdi0811</v>
      </c>
      <c r="AZ211" s="75" t="s">
        <v>65</v>
      </c>
      <c r="BA211" s="75" t="str">
        <f>REPLACE(INDEX(GroupVertices[Group],MATCH(Vertices[[#This Row],[Vertex]],GroupVertices[Vertex],0)),1,1,"")</f>
        <v>34</v>
      </c>
      <c r="BB211" s="45"/>
      <c r="BC211" s="46"/>
      <c r="BD211" s="45"/>
      <c r="BE211" s="46"/>
      <c r="BF211" s="45"/>
      <c r="BG211" s="46"/>
      <c r="BH211" s="45"/>
      <c r="BI211" s="46"/>
      <c r="BJ211" s="45"/>
      <c r="BK211" s="45"/>
      <c r="BL211" s="45"/>
      <c r="BM211" s="45"/>
      <c r="BN211" s="45"/>
      <c r="BO211" s="45"/>
      <c r="BP211" s="45"/>
      <c r="BQ211" s="45"/>
      <c r="BR211" s="45"/>
      <c r="BS211" s="45"/>
      <c r="BT211" s="45"/>
      <c r="BU211" s="2"/>
    </row>
    <row r="212" spans="1:73" ht="15">
      <c r="A212" s="61" t="s">
        <v>372</v>
      </c>
      <c r="B212" s="62"/>
      <c r="C212" s="62"/>
      <c r="D212" s="63">
        <v>103.03030303030303</v>
      </c>
      <c r="E212" s="65"/>
      <c r="F212" s="99" t="str">
        <f>HYPERLINK("https://pbs.twimg.com/profile_images/1497900647550697473/Ezdr-fMu_normal.png")</f>
        <v>https://pbs.twimg.com/profile_images/1497900647550697473/Ezdr-fMu_normal.png</v>
      </c>
      <c r="G212" s="62"/>
      <c r="H212" s="66" t="s">
        <v>372</v>
      </c>
      <c r="I212" s="67"/>
      <c r="J212" s="67"/>
      <c r="K212" s="66" t="s">
        <v>3054</v>
      </c>
      <c r="L212" s="70">
        <v>5.445205063481868</v>
      </c>
      <c r="M212" s="71">
        <v>7767.515625</v>
      </c>
      <c r="N212" s="71">
        <v>1901.51904296875</v>
      </c>
      <c r="O212" s="72"/>
      <c r="P212" s="73"/>
      <c r="Q212" s="73"/>
      <c r="R212" s="85"/>
      <c r="S212" s="45">
        <v>0</v>
      </c>
      <c r="T212" s="45">
        <v>2</v>
      </c>
      <c r="U212" s="46">
        <v>2</v>
      </c>
      <c r="V212" s="46">
        <v>0.006116</v>
      </c>
      <c r="W212" s="46">
        <v>0</v>
      </c>
      <c r="X212" s="46">
        <v>0.003446</v>
      </c>
      <c r="Y212" s="46">
        <v>0</v>
      </c>
      <c r="Z212" s="46">
        <v>0</v>
      </c>
      <c r="AA212" s="68">
        <v>212</v>
      </c>
      <c r="AB212" s="68"/>
      <c r="AC212" s="69"/>
      <c r="AD212" s="75" t="s">
        <v>2046</v>
      </c>
      <c r="AE212" s="80" t="s">
        <v>2320</v>
      </c>
      <c r="AF212" s="75">
        <v>64</v>
      </c>
      <c r="AG212" s="75">
        <v>34</v>
      </c>
      <c r="AH212" s="75">
        <v>2614</v>
      </c>
      <c r="AI212" s="75">
        <v>3997</v>
      </c>
      <c r="AJ212" s="75"/>
      <c r="AK212" s="75" t="s">
        <v>2582</v>
      </c>
      <c r="AL212" s="75"/>
      <c r="AM212" s="75"/>
      <c r="AN212" s="75"/>
      <c r="AO212" s="77">
        <v>44619.48979166667</v>
      </c>
      <c r="AP212" s="75"/>
      <c r="AQ212" s="75" t="b">
        <v>1</v>
      </c>
      <c r="AR212" s="75" t="b">
        <v>0</v>
      </c>
      <c r="AS212" s="75" t="b">
        <v>0</v>
      </c>
      <c r="AT212" s="75"/>
      <c r="AU212" s="75">
        <v>1</v>
      </c>
      <c r="AV212" s="75"/>
      <c r="AW212" s="75" t="b">
        <v>0</v>
      </c>
      <c r="AX212" s="75" t="s">
        <v>2845</v>
      </c>
      <c r="AY212" s="82" t="str">
        <f>HYPERLINK("https://twitter.com/wille_keurige")</f>
        <v>https://twitter.com/wille_keurige</v>
      </c>
      <c r="AZ212" s="75" t="s">
        <v>66</v>
      </c>
      <c r="BA212" s="75" t="str">
        <f>REPLACE(INDEX(GroupVertices[Group],MATCH(Vertices[[#This Row],[Vertex]],GroupVertices[Vertex],0)),1,1,"")</f>
        <v>33</v>
      </c>
      <c r="BB212" s="45">
        <v>0</v>
      </c>
      <c r="BC212" s="46">
        <v>0</v>
      </c>
      <c r="BD212" s="45">
        <v>0</v>
      </c>
      <c r="BE212" s="46">
        <v>0</v>
      </c>
      <c r="BF212" s="45">
        <v>0</v>
      </c>
      <c r="BG212" s="46">
        <v>0</v>
      </c>
      <c r="BH212" s="45">
        <v>33</v>
      </c>
      <c r="BI212" s="46">
        <v>100</v>
      </c>
      <c r="BJ212" s="45">
        <v>33</v>
      </c>
      <c r="BK212" s="45"/>
      <c r="BL212" s="45"/>
      <c r="BM212" s="45"/>
      <c r="BN212" s="45"/>
      <c r="BO212" s="45"/>
      <c r="BP212" s="45"/>
      <c r="BQ212" s="110" t="s">
        <v>4500</v>
      </c>
      <c r="BR212" s="110" t="s">
        <v>4500</v>
      </c>
      <c r="BS212" s="110" t="s">
        <v>4616</v>
      </c>
      <c r="BT212" s="110" t="s">
        <v>4616</v>
      </c>
      <c r="BU212" s="2"/>
    </row>
    <row r="213" spans="1:73" ht="15">
      <c r="A213" s="61" t="s">
        <v>521</v>
      </c>
      <c r="B213" s="62"/>
      <c r="C213" s="62"/>
      <c r="D213" s="63">
        <v>100</v>
      </c>
      <c r="E213" s="65"/>
      <c r="F213" s="99" t="str">
        <f>HYPERLINK("https://pbs.twimg.com/profile_images/1313957114805653507/_bXZHYXD_normal.jpg")</f>
        <v>https://pbs.twimg.com/profile_images/1313957114805653507/_bXZHYXD_normal.jpg</v>
      </c>
      <c r="G213" s="62"/>
      <c r="H213" s="66" t="s">
        <v>521</v>
      </c>
      <c r="I213" s="67"/>
      <c r="J213" s="67"/>
      <c r="K213" s="66" t="s">
        <v>3055</v>
      </c>
      <c r="L213" s="70">
        <v>1</v>
      </c>
      <c r="M213" s="71">
        <v>7767.515625</v>
      </c>
      <c r="N213" s="71">
        <v>2585.211669921875</v>
      </c>
      <c r="O213" s="72"/>
      <c r="P213" s="73"/>
      <c r="Q213" s="73"/>
      <c r="R213" s="85"/>
      <c r="S213" s="45">
        <v>1</v>
      </c>
      <c r="T213" s="45">
        <v>0</v>
      </c>
      <c r="U213" s="46">
        <v>0</v>
      </c>
      <c r="V213" s="46">
        <v>0.004077</v>
      </c>
      <c r="W213" s="46">
        <v>0</v>
      </c>
      <c r="X213" s="46">
        <v>0.00285</v>
      </c>
      <c r="Y213" s="46">
        <v>0</v>
      </c>
      <c r="Z213" s="46">
        <v>0</v>
      </c>
      <c r="AA213" s="68">
        <v>213</v>
      </c>
      <c r="AB213" s="68"/>
      <c r="AC213" s="69"/>
      <c r="AD213" s="75" t="s">
        <v>2047</v>
      </c>
      <c r="AE213" s="80" t="s">
        <v>2321</v>
      </c>
      <c r="AF213" s="75">
        <v>1750</v>
      </c>
      <c r="AG213" s="75">
        <v>16337</v>
      </c>
      <c r="AH213" s="75">
        <v>29177</v>
      </c>
      <c r="AI213" s="75">
        <v>94819</v>
      </c>
      <c r="AJ213" s="75"/>
      <c r="AK213" s="75" t="s">
        <v>2583</v>
      </c>
      <c r="AL213" s="75" t="s">
        <v>2787</v>
      </c>
      <c r="AM213" s="82" t="str">
        <f>HYPERLINK("https://t.co/Js5luzDQ14")</f>
        <v>https://t.co/Js5luzDQ14</v>
      </c>
      <c r="AN213" s="75"/>
      <c r="AO213" s="77">
        <v>41442.558541666665</v>
      </c>
      <c r="AP213" s="82" t="str">
        <f>HYPERLINK("https://pbs.twimg.com/profile_banners/1524819096/1659161227")</f>
        <v>https://pbs.twimg.com/profile_banners/1524819096/1659161227</v>
      </c>
      <c r="AQ213" s="75" t="b">
        <v>0</v>
      </c>
      <c r="AR213" s="75" t="b">
        <v>0</v>
      </c>
      <c r="AS213" s="75" t="b">
        <v>0</v>
      </c>
      <c r="AT213" s="75"/>
      <c r="AU213" s="75">
        <v>231</v>
      </c>
      <c r="AV213" s="82" t="str">
        <f>HYPERLINK("https://abs.twimg.com/images/themes/theme1/bg.png")</f>
        <v>https://abs.twimg.com/images/themes/theme1/bg.png</v>
      </c>
      <c r="AW213" s="75" t="b">
        <v>0</v>
      </c>
      <c r="AX213" s="75" t="s">
        <v>2845</v>
      </c>
      <c r="AY213" s="82" t="str">
        <f>HYPERLINK("https://twitter.com/pwrdbyanthony")</f>
        <v>https://twitter.com/pwrdbyanthony</v>
      </c>
      <c r="AZ213" s="75" t="s">
        <v>65</v>
      </c>
      <c r="BA213" s="75" t="str">
        <f>REPLACE(INDEX(GroupVertices[Group],MATCH(Vertices[[#This Row],[Vertex]],GroupVertices[Vertex],0)),1,1,"")</f>
        <v>33</v>
      </c>
      <c r="BB213" s="45"/>
      <c r="BC213" s="46"/>
      <c r="BD213" s="45"/>
      <c r="BE213" s="46"/>
      <c r="BF213" s="45"/>
      <c r="BG213" s="46"/>
      <c r="BH213" s="45"/>
      <c r="BI213" s="46"/>
      <c r="BJ213" s="45"/>
      <c r="BK213" s="45"/>
      <c r="BL213" s="45"/>
      <c r="BM213" s="45"/>
      <c r="BN213" s="45"/>
      <c r="BO213" s="45"/>
      <c r="BP213" s="45"/>
      <c r="BQ213" s="45"/>
      <c r="BR213" s="45"/>
      <c r="BS213" s="45"/>
      <c r="BT213" s="45"/>
      <c r="BU213" s="2"/>
    </row>
    <row r="214" spans="1:73" ht="15">
      <c r="A214" s="61" t="s">
        <v>522</v>
      </c>
      <c r="B214" s="62"/>
      <c r="C214" s="62"/>
      <c r="D214" s="63">
        <v>100</v>
      </c>
      <c r="E214" s="65"/>
      <c r="F214" s="99" t="str">
        <f>HYPERLINK("https://pbs.twimg.com/profile_images/1554185503322374144/MXCCOWiL_normal.jpg")</f>
        <v>https://pbs.twimg.com/profile_images/1554185503322374144/MXCCOWiL_normal.jpg</v>
      </c>
      <c r="G214" s="62"/>
      <c r="H214" s="66" t="s">
        <v>522</v>
      </c>
      <c r="I214" s="67"/>
      <c r="J214" s="67"/>
      <c r="K214" s="66" t="s">
        <v>3056</v>
      </c>
      <c r="L214" s="70">
        <v>1</v>
      </c>
      <c r="M214" s="71">
        <v>7767.515625</v>
      </c>
      <c r="N214" s="71">
        <v>2243.365478515625</v>
      </c>
      <c r="O214" s="72"/>
      <c r="P214" s="73"/>
      <c r="Q214" s="73"/>
      <c r="R214" s="85"/>
      <c r="S214" s="45">
        <v>1</v>
      </c>
      <c r="T214" s="45">
        <v>0</v>
      </c>
      <c r="U214" s="46">
        <v>0</v>
      </c>
      <c r="V214" s="46">
        <v>0.004077</v>
      </c>
      <c r="W214" s="46">
        <v>0</v>
      </c>
      <c r="X214" s="46">
        <v>0.00285</v>
      </c>
      <c r="Y214" s="46">
        <v>0</v>
      </c>
      <c r="Z214" s="46">
        <v>0</v>
      </c>
      <c r="AA214" s="68">
        <v>214</v>
      </c>
      <c r="AB214" s="68"/>
      <c r="AC214" s="69"/>
      <c r="AD214" s="75" t="s">
        <v>2048</v>
      </c>
      <c r="AE214" s="80" t="s">
        <v>1725</v>
      </c>
      <c r="AF214" s="75">
        <v>2013</v>
      </c>
      <c r="AG214" s="75">
        <v>1411</v>
      </c>
      <c r="AH214" s="75">
        <v>9053</v>
      </c>
      <c r="AI214" s="75">
        <v>7230</v>
      </c>
      <c r="AJ214" s="75"/>
      <c r="AK214" s="75" t="s">
        <v>2584</v>
      </c>
      <c r="AL214" s="75" t="s">
        <v>2788</v>
      </c>
      <c r="AM214" s="75"/>
      <c r="AN214" s="75"/>
      <c r="AO214" s="77">
        <v>40362.54083333333</v>
      </c>
      <c r="AP214" s="82" t="str">
        <f>HYPERLINK("https://pbs.twimg.com/profile_banners/162368802/1546202576")</f>
        <v>https://pbs.twimg.com/profile_banners/162368802/1546202576</v>
      </c>
      <c r="AQ214" s="75" t="b">
        <v>0</v>
      </c>
      <c r="AR214" s="75" t="b">
        <v>0</v>
      </c>
      <c r="AS214" s="75" t="b">
        <v>1</v>
      </c>
      <c r="AT214" s="75"/>
      <c r="AU214" s="75">
        <v>4</v>
      </c>
      <c r="AV214" s="82" t="str">
        <f>HYPERLINK("https://abs.twimg.com/images/themes/theme6/bg.gif")</f>
        <v>https://abs.twimg.com/images/themes/theme6/bg.gif</v>
      </c>
      <c r="AW214" s="75" t="b">
        <v>0</v>
      </c>
      <c r="AX214" s="75" t="s">
        <v>2845</v>
      </c>
      <c r="AY214" s="82" t="str">
        <f>HYPERLINK("https://twitter.com/sunshinesaskia")</f>
        <v>https://twitter.com/sunshinesaskia</v>
      </c>
      <c r="AZ214" s="75" t="s">
        <v>65</v>
      </c>
      <c r="BA214" s="75" t="str">
        <f>REPLACE(INDEX(GroupVertices[Group],MATCH(Vertices[[#This Row],[Vertex]],GroupVertices[Vertex],0)),1,1,"")</f>
        <v>33</v>
      </c>
      <c r="BB214" s="45"/>
      <c r="BC214" s="46"/>
      <c r="BD214" s="45"/>
      <c r="BE214" s="46"/>
      <c r="BF214" s="45"/>
      <c r="BG214" s="46"/>
      <c r="BH214" s="45"/>
      <c r="BI214" s="46"/>
      <c r="BJ214" s="45"/>
      <c r="BK214" s="45"/>
      <c r="BL214" s="45"/>
      <c r="BM214" s="45"/>
      <c r="BN214" s="45"/>
      <c r="BO214" s="45"/>
      <c r="BP214" s="45"/>
      <c r="BQ214" s="45"/>
      <c r="BR214" s="45"/>
      <c r="BS214" s="45"/>
      <c r="BT214" s="45"/>
      <c r="BU214" s="2"/>
    </row>
    <row r="215" spans="1:73" ht="15">
      <c r="A215" s="61" t="s">
        <v>373</v>
      </c>
      <c r="B215" s="62"/>
      <c r="C215" s="62"/>
      <c r="D215" s="63">
        <v>103.03030303030303</v>
      </c>
      <c r="E215" s="65"/>
      <c r="F215" s="99" t="str">
        <f>HYPERLINK("https://pbs.twimg.com/profile_images/1117568007499284480/ks2D6uA6_normal.jpg")</f>
        <v>https://pbs.twimg.com/profile_images/1117568007499284480/ks2D6uA6_normal.jpg</v>
      </c>
      <c r="G215" s="62"/>
      <c r="H215" s="66" t="s">
        <v>373</v>
      </c>
      <c r="I215" s="67"/>
      <c r="J215" s="67"/>
      <c r="K215" s="66" t="s">
        <v>3057</v>
      </c>
      <c r="L215" s="70">
        <v>5.445205063481868</v>
      </c>
      <c r="M215" s="71">
        <v>9499.0498046875</v>
      </c>
      <c r="N215" s="71">
        <v>6858.28857421875</v>
      </c>
      <c r="O215" s="72"/>
      <c r="P215" s="73"/>
      <c r="Q215" s="73"/>
      <c r="R215" s="85"/>
      <c r="S215" s="45">
        <v>1</v>
      </c>
      <c r="T215" s="45">
        <v>3</v>
      </c>
      <c r="U215" s="46">
        <v>2</v>
      </c>
      <c r="V215" s="46">
        <v>0.006116</v>
      </c>
      <c r="W215" s="46">
        <v>0</v>
      </c>
      <c r="X215" s="46">
        <v>0.003603</v>
      </c>
      <c r="Y215" s="46">
        <v>0</v>
      </c>
      <c r="Z215" s="46">
        <v>0</v>
      </c>
      <c r="AA215" s="68">
        <v>215</v>
      </c>
      <c r="AB215" s="68"/>
      <c r="AC215" s="69"/>
      <c r="AD215" s="75" t="s">
        <v>2049</v>
      </c>
      <c r="AE215" s="80" t="s">
        <v>2322</v>
      </c>
      <c r="AF215" s="75">
        <v>842</v>
      </c>
      <c r="AG215" s="75">
        <v>227</v>
      </c>
      <c r="AH215" s="75">
        <v>1370</v>
      </c>
      <c r="AI215" s="75">
        <v>587</v>
      </c>
      <c r="AJ215" s="75"/>
      <c r="AK215" s="75" t="s">
        <v>2585</v>
      </c>
      <c r="AL215" s="75" t="s">
        <v>2789</v>
      </c>
      <c r="AM215" s="75"/>
      <c r="AN215" s="75"/>
      <c r="AO215" s="77">
        <v>43569.96333333333</v>
      </c>
      <c r="AP215" s="82" t="str">
        <f>HYPERLINK("https://pbs.twimg.com/profile_banners/1117564994042912768/1659113587")</f>
        <v>https://pbs.twimg.com/profile_banners/1117564994042912768/1659113587</v>
      </c>
      <c r="AQ215" s="75" t="b">
        <v>1</v>
      </c>
      <c r="AR215" s="75" t="b">
        <v>0</v>
      </c>
      <c r="AS215" s="75" t="b">
        <v>0</v>
      </c>
      <c r="AT215" s="75"/>
      <c r="AU215" s="75">
        <v>0</v>
      </c>
      <c r="AV215" s="75"/>
      <c r="AW215" s="75" t="b">
        <v>0</v>
      </c>
      <c r="AX215" s="75" t="s">
        <v>2845</v>
      </c>
      <c r="AY215" s="82" t="str">
        <f>HYPERLINK("https://twitter.com/pxalbert1")</f>
        <v>https://twitter.com/pxalbert1</v>
      </c>
      <c r="AZ215" s="75" t="s">
        <v>66</v>
      </c>
      <c r="BA215" s="75" t="str">
        <f>REPLACE(INDEX(GroupVertices[Group],MATCH(Vertices[[#This Row],[Vertex]],GroupVertices[Vertex],0)),1,1,"")</f>
        <v>32</v>
      </c>
      <c r="BB215" s="45">
        <v>0</v>
      </c>
      <c r="BC215" s="46">
        <v>0</v>
      </c>
      <c r="BD215" s="45">
        <v>3</v>
      </c>
      <c r="BE215" s="46">
        <v>3.75</v>
      </c>
      <c r="BF215" s="45">
        <v>0</v>
      </c>
      <c r="BG215" s="46">
        <v>0</v>
      </c>
      <c r="BH215" s="45">
        <v>77</v>
      </c>
      <c r="BI215" s="46">
        <v>96.25</v>
      </c>
      <c r="BJ215" s="45">
        <v>80</v>
      </c>
      <c r="BK215" s="45" t="s">
        <v>4005</v>
      </c>
      <c r="BL215" s="45" t="s">
        <v>4005</v>
      </c>
      <c r="BM215" s="45" t="s">
        <v>783</v>
      </c>
      <c r="BN215" s="45" t="s">
        <v>783</v>
      </c>
      <c r="BO215" s="45" t="s">
        <v>841</v>
      </c>
      <c r="BP215" s="45" t="s">
        <v>4433</v>
      </c>
      <c r="BQ215" s="110" t="s">
        <v>4501</v>
      </c>
      <c r="BR215" s="110" t="s">
        <v>4551</v>
      </c>
      <c r="BS215" s="110" t="s">
        <v>4617</v>
      </c>
      <c r="BT215" s="110" t="s">
        <v>4617</v>
      </c>
      <c r="BU215" s="2"/>
    </row>
    <row r="216" spans="1:73" ht="15">
      <c r="A216" s="61" t="s">
        <v>523</v>
      </c>
      <c r="B216" s="62"/>
      <c r="C216" s="62"/>
      <c r="D216" s="63">
        <v>100</v>
      </c>
      <c r="E216" s="65"/>
      <c r="F216" s="99" t="str">
        <f>HYPERLINK("https://pbs.twimg.com/profile_images/1565062579831115778/k5rCaBI6_normal.jpg")</f>
        <v>https://pbs.twimg.com/profile_images/1565062579831115778/k5rCaBI6_normal.jpg</v>
      </c>
      <c r="G216" s="62"/>
      <c r="H216" s="66" t="s">
        <v>523</v>
      </c>
      <c r="I216" s="67"/>
      <c r="J216" s="67"/>
      <c r="K216" s="66" t="s">
        <v>3058</v>
      </c>
      <c r="L216" s="70">
        <v>1</v>
      </c>
      <c r="M216" s="71">
        <v>9499.0498046875</v>
      </c>
      <c r="N216" s="71">
        <v>7242.865234375</v>
      </c>
      <c r="O216" s="72"/>
      <c r="P216" s="73"/>
      <c r="Q216" s="73"/>
      <c r="R216" s="85"/>
      <c r="S216" s="45">
        <v>1</v>
      </c>
      <c r="T216" s="45">
        <v>0</v>
      </c>
      <c r="U216" s="46">
        <v>0</v>
      </c>
      <c r="V216" s="46">
        <v>0.004077</v>
      </c>
      <c r="W216" s="46">
        <v>0</v>
      </c>
      <c r="X216" s="46">
        <v>0.002772</v>
      </c>
      <c r="Y216" s="46">
        <v>0</v>
      </c>
      <c r="Z216" s="46">
        <v>0</v>
      </c>
      <c r="AA216" s="68">
        <v>216</v>
      </c>
      <c r="AB216" s="68"/>
      <c r="AC216" s="69"/>
      <c r="AD216" s="75" t="s">
        <v>2050</v>
      </c>
      <c r="AE216" s="80" t="s">
        <v>2323</v>
      </c>
      <c r="AF216" s="75">
        <v>381</v>
      </c>
      <c r="AG216" s="75">
        <v>224</v>
      </c>
      <c r="AH216" s="75">
        <v>1524</v>
      </c>
      <c r="AI216" s="75">
        <v>1606</v>
      </c>
      <c r="AJ216" s="75"/>
      <c r="AK216" s="75" t="s">
        <v>2586</v>
      </c>
      <c r="AL216" s="75" t="s">
        <v>2790</v>
      </c>
      <c r="AM216" s="75"/>
      <c r="AN216" s="75"/>
      <c r="AO216" s="77">
        <v>44681.30023148148</v>
      </c>
      <c r="AP216" s="82" t="str">
        <f>HYPERLINK("https://pbs.twimg.com/profile_banners/1520299694047563779/1660823322")</f>
        <v>https://pbs.twimg.com/profile_banners/1520299694047563779/1660823322</v>
      </c>
      <c r="AQ216" s="75" t="b">
        <v>1</v>
      </c>
      <c r="AR216" s="75" t="b">
        <v>0</v>
      </c>
      <c r="AS216" s="75" t="b">
        <v>1</v>
      </c>
      <c r="AT216" s="75"/>
      <c r="AU216" s="75">
        <v>1</v>
      </c>
      <c r="AV216" s="75"/>
      <c r="AW216" s="75" t="b">
        <v>0</v>
      </c>
      <c r="AX216" s="75" t="s">
        <v>2845</v>
      </c>
      <c r="AY216" s="82" t="str">
        <f>HYPERLINK("https://twitter.com/heinzpetergnth2")</f>
        <v>https://twitter.com/heinzpetergnth2</v>
      </c>
      <c r="AZ216" s="75" t="s">
        <v>65</v>
      </c>
      <c r="BA216" s="75" t="str">
        <f>REPLACE(INDEX(GroupVertices[Group],MATCH(Vertices[[#This Row],[Vertex]],GroupVertices[Vertex],0)),1,1,"")</f>
        <v>32</v>
      </c>
      <c r="BB216" s="45"/>
      <c r="BC216" s="46"/>
      <c r="BD216" s="45"/>
      <c r="BE216" s="46"/>
      <c r="BF216" s="45"/>
      <c r="BG216" s="46"/>
      <c r="BH216" s="45"/>
      <c r="BI216" s="46"/>
      <c r="BJ216" s="45"/>
      <c r="BK216" s="45"/>
      <c r="BL216" s="45"/>
      <c r="BM216" s="45"/>
      <c r="BN216" s="45"/>
      <c r="BO216" s="45"/>
      <c r="BP216" s="45"/>
      <c r="BQ216" s="45"/>
      <c r="BR216" s="45"/>
      <c r="BS216" s="45"/>
      <c r="BT216" s="45"/>
      <c r="BU216" s="2"/>
    </row>
    <row r="217" spans="1:73" ht="15">
      <c r="A217" s="61" t="s">
        <v>524</v>
      </c>
      <c r="B217" s="62"/>
      <c r="C217" s="62"/>
      <c r="D217" s="63">
        <v>100</v>
      </c>
      <c r="E217" s="65"/>
      <c r="F217" s="99" t="str">
        <f>HYPERLINK("https://pbs.twimg.com/profile_images/1036930916474675200/JXQ3lY6N_normal.jpg")</f>
        <v>https://pbs.twimg.com/profile_images/1036930916474675200/JXQ3lY6N_normal.jpg</v>
      </c>
      <c r="G217" s="62"/>
      <c r="H217" s="66" t="s">
        <v>524</v>
      </c>
      <c r="I217" s="67"/>
      <c r="J217" s="67"/>
      <c r="K217" s="66" t="s">
        <v>3059</v>
      </c>
      <c r="L217" s="70">
        <v>1</v>
      </c>
      <c r="M217" s="71">
        <v>9669.7646484375</v>
      </c>
      <c r="N217" s="71">
        <v>7242.865234375</v>
      </c>
      <c r="O217" s="72"/>
      <c r="P217" s="73"/>
      <c r="Q217" s="73"/>
      <c r="R217" s="85"/>
      <c r="S217" s="45">
        <v>1</v>
      </c>
      <c r="T217" s="45">
        <v>0</v>
      </c>
      <c r="U217" s="46">
        <v>0</v>
      </c>
      <c r="V217" s="46">
        <v>0.004077</v>
      </c>
      <c r="W217" s="46">
        <v>0</v>
      </c>
      <c r="X217" s="46">
        <v>0.002772</v>
      </c>
      <c r="Y217" s="46">
        <v>0</v>
      </c>
      <c r="Z217" s="46">
        <v>0</v>
      </c>
      <c r="AA217" s="68">
        <v>217</v>
      </c>
      <c r="AB217" s="68"/>
      <c r="AC217" s="69"/>
      <c r="AD217" s="75" t="s">
        <v>2051</v>
      </c>
      <c r="AE217" s="80" t="s">
        <v>2324</v>
      </c>
      <c r="AF217" s="75">
        <v>1898</v>
      </c>
      <c r="AG217" s="75">
        <v>15323</v>
      </c>
      <c r="AH217" s="75">
        <v>52499</v>
      </c>
      <c r="AI217" s="75">
        <v>31742</v>
      </c>
      <c r="AJ217" s="75"/>
      <c r="AK217" s="75" t="s">
        <v>2587</v>
      </c>
      <c r="AL217" s="75" t="s">
        <v>2791</v>
      </c>
      <c r="AM217" s="82" t="str">
        <f>HYPERLINK("https://t.co/Nt9FMHiEDE")</f>
        <v>https://t.co/Nt9FMHiEDE</v>
      </c>
      <c r="AN217" s="75"/>
      <c r="AO217" s="77">
        <v>39993.45990740741</v>
      </c>
      <c r="AP217" s="82" t="str">
        <f>HYPERLINK("https://pbs.twimg.com/profile_banners/52024480/1645639857")</f>
        <v>https://pbs.twimg.com/profile_banners/52024480/1645639857</v>
      </c>
      <c r="AQ217" s="75" t="b">
        <v>0</v>
      </c>
      <c r="AR217" s="75" t="b">
        <v>0</v>
      </c>
      <c r="AS217" s="75" t="b">
        <v>1</v>
      </c>
      <c r="AT217" s="75"/>
      <c r="AU217" s="75">
        <v>577</v>
      </c>
      <c r="AV217" s="82" t="str">
        <f>HYPERLINK("https://abs.twimg.com/images/themes/theme5/bg.gif")</f>
        <v>https://abs.twimg.com/images/themes/theme5/bg.gif</v>
      </c>
      <c r="AW217" s="75" t="b">
        <v>1</v>
      </c>
      <c r="AX217" s="75" t="s">
        <v>2845</v>
      </c>
      <c r="AY217" s="82" t="str">
        <f>HYPERLINK("https://twitter.com/djanecek")</f>
        <v>https://twitter.com/djanecek</v>
      </c>
      <c r="AZ217" s="75" t="s">
        <v>65</v>
      </c>
      <c r="BA217" s="75" t="str">
        <f>REPLACE(INDEX(GroupVertices[Group],MATCH(Vertices[[#This Row],[Vertex]],GroupVertices[Vertex],0)),1,1,"")</f>
        <v>32</v>
      </c>
      <c r="BB217" s="45"/>
      <c r="BC217" s="46"/>
      <c r="BD217" s="45"/>
      <c r="BE217" s="46"/>
      <c r="BF217" s="45"/>
      <c r="BG217" s="46"/>
      <c r="BH217" s="45"/>
      <c r="BI217" s="46"/>
      <c r="BJ217" s="45"/>
      <c r="BK217" s="45"/>
      <c r="BL217" s="45"/>
      <c r="BM217" s="45"/>
      <c r="BN217" s="45"/>
      <c r="BO217" s="45"/>
      <c r="BP217" s="45"/>
      <c r="BQ217" s="45"/>
      <c r="BR217" s="45"/>
      <c r="BS217" s="45"/>
      <c r="BT217" s="45"/>
      <c r="BU217" s="2"/>
    </row>
    <row r="218" spans="1:73" ht="15">
      <c r="A218" s="61" t="s">
        <v>374</v>
      </c>
      <c r="B218" s="62"/>
      <c r="C218" s="62"/>
      <c r="D218" s="63">
        <v>100</v>
      </c>
      <c r="E218" s="65"/>
      <c r="F218" s="99" t="str">
        <f>HYPERLINK("https://pbs.twimg.com/profile_images/1558438671887605760/dKtWLXtK_normal.jpg")</f>
        <v>https://pbs.twimg.com/profile_images/1558438671887605760/dKtWLXtK_normal.jpg</v>
      </c>
      <c r="G218" s="62"/>
      <c r="H218" s="66" t="s">
        <v>374</v>
      </c>
      <c r="I218" s="67"/>
      <c r="J218" s="67"/>
      <c r="K218" s="66" t="s">
        <v>3060</v>
      </c>
      <c r="L218" s="70">
        <v>1</v>
      </c>
      <c r="M218" s="71">
        <v>1505.9468994140625</v>
      </c>
      <c r="N218" s="71">
        <v>3108.66357421875</v>
      </c>
      <c r="O218" s="72"/>
      <c r="P218" s="73"/>
      <c r="Q218" s="73"/>
      <c r="R218" s="85"/>
      <c r="S218" s="45">
        <v>1</v>
      </c>
      <c r="T218" s="45">
        <v>1</v>
      </c>
      <c r="U218" s="46">
        <v>0</v>
      </c>
      <c r="V218" s="46">
        <v>0</v>
      </c>
      <c r="W218" s="46">
        <v>0</v>
      </c>
      <c r="X218" s="46">
        <v>0.003049</v>
      </c>
      <c r="Y218" s="46">
        <v>0</v>
      </c>
      <c r="Z218" s="46">
        <v>0</v>
      </c>
      <c r="AA218" s="68">
        <v>218</v>
      </c>
      <c r="AB218" s="68"/>
      <c r="AC218" s="69"/>
      <c r="AD218" s="75" t="s">
        <v>2052</v>
      </c>
      <c r="AE218" s="80" t="s">
        <v>2325</v>
      </c>
      <c r="AF218" s="75">
        <v>438</v>
      </c>
      <c r="AG218" s="75">
        <v>152</v>
      </c>
      <c r="AH218" s="75">
        <v>3431</v>
      </c>
      <c r="AI218" s="75">
        <v>25242</v>
      </c>
      <c r="AJ218" s="75"/>
      <c r="AK218" s="75" t="s">
        <v>2588</v>
      </c>
      <c r="AL218" s="75"/>
      <c r="AM218" s="75"/>
      <c r="AN218" s="75"/>
      <c r="AO218" s="77">
        <v>43635.85543981481</v>
      </c>
      <c r="AP218" s="82" t="str">
        <f>HYPERLINK("https://pbs.twimg.com/profile_banners/1141443491857412096/1660151179")</f>
        <v>https://pbs.twimg.com/profile_banners/1141443491857412096/1660151179</v>
      </c>
      <c r="AQ218" s="75" t="b">
        <v>1</v>
      </c>
      <c r="AR218" s="75" t="b">
        <v>0</v>
      </c>
      <c r="AS218" s="75" t="b">
        <v>0</v>
      </c>
      <c r="AT218" s="75"/>
      <c r="AU218" s="75">
        <v>0</v>
      </c>
      <c r="AV218" s="75"/>
      <c r="AW218" s="75" t="b">
        <v>0</v>
      </c>
      <c r="AX218" s="75" t="s">
        <v>2845</v>
      </c>
      <c r="AY218" s="82" t="str">
        <f>HYPERLINK("https://twitter.com/tamer_lannn")</f>
        <v>https://twitter.com/tamer_lannn</v>
      </c>
      <c r="AZ218" s="75" t="s">
        <v>66</v>
      </c>
      <c r="BA218" s="75" t="str">
        <f>REPLACE(INDEX(GroupVertices[Group],MATCH(Vertices[[#This Row],[Vertex]],GroupVertices[Vertex],0)),1,1,"")</f>
        <v>2</v>
      </c>
      <c r="BB218" s="45">
        <v>0</v>
      </c>
      <c r="BC218" s="46">
        <v>0</v>
      </c>
      <c r="BD218" s="45">
        <v>0</v>
      </c>
      <c r="BE218" s="46">
        <v>0</v>
      </c>
      <c r="BF218" s="45">
        <v>0</v>
      </c>
      <c r="BG218" s="46">
        <v>0</v>
      </c>
      <c r="BH218" s="45">
        <v>33</v>
      </c>
      <c r="BI218" s="46">
        <v>100</v>
      </c>
      <c r="BJ218" s="45">
        <v>33</v>
      </c>
      <c r="BK218" s="45" t="s">
        <v>4396</v>
      </c>
      <c r="BL218" s="45" t="s">
        <v>4396</v>
      </c>
      <c r="BM218" s="45" t="s">
        <v>783</v>
      </c>
      <c r="BN218" s="45" t="s">
        <v>783</v>
      </c>
      <c r="BO218" s="45"/>
      <c r="BP218" s="45"/>
      <c r="BQ218" s="110" t="s">
        <v>4502</v>
      </c>
      <c r="BR218" s="110" t="s">
        <v>4502</v>
      </c>
      <c r="BS218" s="110" t="s">
        <v>4618</v>
      </c>
      <c r="BT218" s="110" t="s">
        <v>4618</v>
      </c>
      <c r="BU218" s="2"/>
    </row>
    <row r="219" spans="1:73" ht="15">
      <c r="A219" s="61" t="s">
        <v>375</v>
      </c>
      <c r="B219" s="62"/>
      <c r="C219" s="62"/>
      <c r="D219" s="63">
        <v>100</v>
      </c>
      <c r="E219" s="65"/>
      <c r="F219" s="99" t="str">
        <f>HYPERLINK("https://pbs.twimg.com/profile_images/1553404646944817153/xU0pQxtX_normal.jpg")</f>
        <v>https://pbs.twimg.com/profile_images/1553404646944817153/xU0pQxtX_normal.jpg</v>
      </c>
      <c r="G219" s="62"/>
      <c r="H219" s="66" t="s">
        <v>375</v>
      </c>
      <c r="I219" s="67"/>
      <c r="J219" s="67"/>
      <c r="K219" s="66" t="s">
        <v>3061</v>
      </c>
      <c r="L219" s="70">
        <v>1</v>
      </c>
      <c r="M219" s="71">
        <v>2620.131591796875</v>
      </c>
      <c r="N219" s="71">
        <v>6845.33740234375</v>
      </c>
      <c r="O219" s="72"/>
      <c r="P219" s="73"/>
      <c r="Q219" s="73"/>
      <c r="R219" s="85"/>
      <c r="S219" s="45">
        <v>0</v>
      </c>
      <c r="T219" s="45">
        <v>2</v>
      </c>
      <c r="U219" s="46">
        <v>0</v>
      </c>
      <c r="V219" s="46">
        <v>0.088625</v>
      </c>
      <c r="W219" s="46">
        <v>0.071477</v>
      </c>
      <c r="X219" s="46">
        <v>0.002746</v>
      </c>
      <c r="Y219" s="46">
        <v>0.5</v>
      </c>
      <c r="Z219" s="46">
        <v>0</v>
      </c>
      <c r="AA219" s="68">
        <v>219</v>
      </c>
      <c r="AB219" s="68"/>
      <c r="AC219" s="69"/>
      <c r="AD219" s="75" t="s">
        <v>2053</v>
      </c>
      <c r="AE219" s="80" t="s">
        <v>2326</v>
      </c>
      <c r="AF219" s="75">
        <v>219</v>
      </c>
      <c r="AG219" s="75">
        <v>66</v>
      </c>
      <c r="AH219" s="75">
        <v>1379</v>
      </c>
      <c r="AI219" s="75">
        <v>5469</v>
      </c>
      <c r="AJ219" s="75"/>
      <c r="AK219" s="75" t="s">
        <v>2589</v>
      </c>
      <c r="AL219" s="75" t="s">
        <v>2792</v>
      </c>
      <c r="AM219" s="75"/>
      <c r="AN219" s="75"/>
      <c r="AO219" s="77">
        <v>44029.41763888889</v>
      </c>
      <c r="AP219" s="82" t="str">
        <f>HYPERLINK("https://pbs.twimg.com/profile_banners/1284065608137682945/1616149844")</f>
        <v>https://pbs.twimg.com/profile_banners/1284065608137682945/1616149844</v>
      </c>
      <c r="AQ219" s="75" t="b">
        <v>1</v>
      </c>
      <c r="AR219" s="75" t="b">
        <v>0</v>
      </c>
      <c r="AS219" s="75" t="b">
        <v>0</v>
      </c>
      <c r="AT219" s="75"/>
      <c r="AU219" s="75">
        <v>0</v>
      </c>
      <c r="AV219" s="75"/>
      <c r="AW219" s="75" t="b">
        <v>0</v>
      </c>
      <c r="AX219" s="75" t="s">
        <v>2845</v>
      </c>
      <c r="AY219" s="82" t="str">
        <f>HYPERLINK("https://twitter.com/cagataycirit12")</f>
        <v>https://twitter.com/cagataycirit12</v>
      </c>
      <c r="AZ219" s="75" t="s">
        <v>66</v>
      </c>
      <c r="BA219" s="75" t="str">
        <f>REPLACE(INDEX(GroupVertices[Group],MATCH(Vertices[[#This Row],[Vertex]],GroupVertices[Vertex],0)),1,1,"")</f>
        <v>3</v>
      </c>
      <c r="BB219" s="45">
        <v>0</v>
      </c>
      <c r="BC219" s="46">
        <v>0</v>
      </c>
      <c r="BD219" s="45">
        <v>0</v>
      </c>
      <c r="BE219" s="46">
        <v>0</v>
      </c>
      <c r="BF219" s="45">
        <v>0</v>
      </c>
      <c r="BG219" s="46">
        <v>0</v>
      </c>
      <c r="BH219" s="45">
        <v>27</v>
      </c>
      <c r="BI219" s="46">
        <v>100</v>
      </c>
      <c r="BJ219" s="45">
        <v>27</v>
      </c>
      <c r="BK219" s="45"/>
      <c r="BL219" s="45"/>
      <c r="BM219" s="45"/>
      <c r="BN219" s="45"/>
      <c r="BO219" s="45" t="s">
        <v>819</v>
      </c>
      <c r="BP219" s="45" t="s">
        <v>4434</v>
      </c>
      <c r="BQ219" s="110" t="s">
        <v>4503</v>
      </c>
      <c r="BR219" s="110" t="s">
        <v>4552</v>
      </c>
      <c r="BS219" s="110" t="s">
        <v>4619</v>
      </c>
      <c r="BT219" s="110" t="s">
        <v>4658</v>
      </c>
      <c r="BU219" s="2"/>
    </row>
    <row r="220" spans="1:73" ht="15">
      <c r="A220" s="61" t="s">
        <v>376</v>
      </c>
      <c r="B220" s="62"/>
      <c r="C220" s="62"/>
      <c r="D220" s="63">
        <v>100</v>
      </c>
      <c r="E220" s="65"/>
      <c r="F220" s="99" t="str">
        <f>HYPERLINK("https://pbs.twimg.com/profile_images/1331662336021712902/_l8YgACQ_normal.jpg")</f>
        <v>https://pbs.twimg.com/profile_images/1331662336021712902/_l8YgACQ_normal.jpg</v>
      </c>
      <c r="G220" s="62"/>
      <c r="H220" s="66" t="s">
        <v>376</v>
      </c>
      <c r="I220" s="67"/>
      <c r="J220" s="67"/>
      <c r="K220" s="66" t="s">
        <v>3062</v>
      </c>
      <c r="L220" s="70">
        <v>1</v>
      </c>
      <c r="M220" s="71">
        <v>9645.376953125</v>
      </c>
      <c r="N220" s="71">
        <v>2003.0047607421875</v>
      </c>
      <c r="O220" s="72"/>
      <c r="P220" s="73"/>
      <c r="Q220" s="73"/>
      <c r="R220" s="85"/>
      <c r="S220" s="45">
        <v>0</v>
      </c>
      <c r="T220" s="45">
        <v>1</v>
      </c>
      <c r="U220" s="46">
        <v>0</v>
      </c>
      <c r="V220" s="46">
        <v>0.003058</v>
      </c>
      <c r="W220" s="46">
        <v>0</v>
      </c>
      <c r="X220" s="46">
        <v>0.003049</v>
      </c>
      <c r="Y220" s="46">
        <v>0</v>
      </c>
      <c r="Z220" s="46">
        <v>0</v>
      </c>
      <c r="AA220" s="68">
        <v>220</v>
      </c>
      <c r="AB220" s="68"/>
      <c r="AC220" s="69"/>
      <c r="AD220" s="75" t="s">
        <v>2054</v>
      </c>
      <c r="AE220" s="80" t="s">
        <v>2327</v>
      </c>
      <c r="AF220" s="75">
        <v>1317</v>
      </c>
      <c r="AG220" s="75">
        <v>2087</v>
      </c>
      <c r="AH220" s="75">
        <v>47831</v>
      </c>
      <c r="AI220" s="75">
        <v>22766</v>
      </c>
      <c r="AJ220" s="75"/>
      <c r="AK220" s="75" t="s">
        <v>2590</v>
      </c>
      <c r="AL220" s="75" t="s">
        <v>2793</v>
      </c>
      <c r="AM220" s="75"/>
      <c r="AN220" s="75"/>
      <c r="AO220" s="77">
        <v>40954.8575</v>
      </c>
      <c r="AP220" s="82" t="str">
        <f>HYPERLINK("https://pbs.twimg.com/profile_banners/493458359/1612265556")</f>
        <v>https://pbs.twimg.com/profile_banners/493458359/1612265556</v>
      </c>
      <c r="AQ220" s="75" t="b">
        <v>0</v>
      </c>
      <c r="AR220" s="75" t="b">
        <v>0</v>
      </c>
      <c r="AS220" s="75" t="b">
        <v>0</v>
      </c>
      <c r="AT220" s="75"/>
      <c r="AU220" s="75">
        <v>20</v>
      </c>
      <c r="AV220" s="82" t="str">
        <f>HYPERLINK("https://abs.twimg.com/images/themes/theme9/bg.gif")</f>
        <v>https://abs.twimg.com/images/themes/theme9/bg.gif</v>
      </c>
      <c r="AW220" s="75" t="b">
        <v>0</v>
      </c>
      <c r="AX220" s="75" t="s">
        <v>2845</v>
      </c>
      <c r="AY220" s="82" t="str">
        <f>HYPERLINK("https://twitter.com/l_spagg")</f>
        <v>https://twitter.com/l_spagg</v>
      </c>
      <c r="AZ220" s="75" t="s">
        <v>66</v>
      </c>
      <c r="BA220" s="75" t="str">
        <f>REPLACE(INDEX(GroupVertices[Group],MATCH(Vertices[[#This Row],[Vertex]],GroupVertices[Vertex],0)),1,1,"")</f>
        <v>44</v>
      </c>
      <c r="BB220" s="45">
        <v>0</v>
      </c>
      <c r="BC220" s="46">
        <v>0</v>
      </c>
      <c r="BD220" s="45">
        <v>0</v>
      </c>
      <c r="BE220" s="46">
        <v>0</v>
      </c>
      <c r="BF220" s="45">
        <v>0</v>
      </c>
      <c r="BG220" s="46">
        <v>0</v>
      </c>
      <c r="BH220" s="45">
        <v>7</v>
      </c>
      <c r="BI220" s="46">
        <v>100</v>
      </c>
      <c r="BJ220" s="45">
        <v>7</v>
      </c>
      <c r="BK220" s="45"/>
      <c r="BL220" s="45"/>
      <c r="BM220" s="45"/>
      <c r="BN220" s="45"/>
      <c r="BO220" s="45" t="s">
        <v>844</v>
      </c>
      <c r="BP220" s="45" t="s">
        <v>844</v>
      </c>
      <c r="BQ220" s="110" t="s">
        <v>4504</v>
      </c>
      <c r="BR220" s="110" t="s">
        <v>4504</v>
      </c>
      <c r="BS220" s="110" t="s">
        <v>4620</v>
      </c>
      <c r="BT220" s="110" t="s">
        <v>4620</v>
      </c>
      <c r="BU220" s="2"/>
    </row>
    <row r="221" spans="1:73" ht="15">
      <c r="A221" s="61" t="s">
        <v>525</v>
      </c>
      <c r="B221" s="62"/>
      <c r="C221" s="62"/>
      <c r="D221" s="63">
        <v>100</v>
      </c>
      <c r="E221" s="65"/>
      <c r="F221" s="99" t="str">
        <f>HYPERLINK("https://pbs.twimg.com/profile_images/790498179536064512/D-MPADPP_normal.jpg")</f>
        <v>https://pbs.twimg.com/profile_images/790498179536064512/D-MPADPP_normal.jpg</v>
      </c>
      <c r="G221" s="62"/>
      <c r="H221" s="66" t="s">
        <v>525</v>
      </c>
      <c r="I221" s="67"/>
      <c r="J221" s="67"/>
      <c r="K221" s="66" t="s">
        <v>3063</v>
      </c>
      <c r="L221" s="70">
        <v>1</v>
      </c>
      <c r="M221" s="71">
        <v>9645.376953125</v>
      </c>
      <c r="N221" s="71">
        <v>2291.4375</v>
      </c>
      <c r="O221" s="72"/>
      <c r="P221" s="73"/>
      <c r="Q221" s="73"/>
      <c r="R221" s="85"/>
      <c r="S221" s="45">
        <v>1</v>
      </c>
      <c r="T221" s="45">
        <v>0</v>
      </c>
      <c r="U221" s="46">
        <v>0</v>
      </c>
      <c r="V221" s="46">
        <v>0.003058</v>
      </c>
      <c r="W221" s="46">
        <v>0</v>
      </c>
      <c r="X221" s="46">
        <v>0.003049</v>
      </c>
      <c r="Y221" s="46">
        <v>0</v>
      </c>
      <c r="Z221" s="46">
        <v>0</v>
      </c>
      <c r="AA221" s="68">
        <v>221</v>
      </c>
      <c r="AB221" s="68"/>
      <c r="AC221" s="69"/>
      <c r="AD221" s="75" t="s">
        <v>2055</v>
      </c>
      <c r="AE221" s="80" t="s">
        <v>1726</v>
      </c>
      <c r="AF221" s="75">
        <v>6450</v>
      </c>
      <c r="AG221" s="75">
        <v>33122</v>
      </c>
      <c r="AH221" s="75">
        <v>20248</v>
      </c>
      <c r="AI221" s="75">
        <v>32995</v>
      </c>
      <c r="AJ221" s="75"/>
      <c r="AK221" s="75" t="s">
        <v>2591</v>
      </c>
      <c r="AL221" s="75" t="s">
        <v>2794</v>
      </c>
      <c r="AM221" s="82" t="str">
        <f>HYPERLINK("https://t.co/Rhok9G67j8")</f>
        <v>https://t.co/Rhok9G67j8</v>
      </c>
      <c r="AN221" s="75"/>
      <c r="AO221" s="77">
        <v>42664.45594907407</v>
      </c>
      <c r="AP221" s="82" t="str">
        <f>HYPERLINK("https://pbs.twimg.com/profile_banners/789420103787958272/1477302671")</f>
        <v>https://pbs.twimg.com/profile_banners/789420103787958272/1477302671</v>
      </c>
      <c r="AQ221" s="75" t="b">
        <v>0</v>
      </c>
      <c r="AR221" s="75" t="b">
        <v>0</v>
      </c>
      <c r="AS221" s="75" t="b">
        <v>0</v>
      </c>
      <c r="AT221" s="75"/>
      <c r="AU221" s="75">
        <v>137</v>
      </c>
      <c r="AV221" s="82" t="str">
        <f>HYPERLINK("https://abs.twimg.com/images/themes/theme1/bg.png")</f>
        <v>https://abs.twimg.com/images/themes/theme1/bg.png</v>
      </c>
      <c r="AW221" s="75" t="b">
        <v>0</v>
      </c>
      <c r="AX221" s="75" t="s">
        <v>2845</v>
      </c>
      <c r="AY221" s="82" t="str">
        <f>HYPERLINK("https://twitter.com/patrick_edery")</f>
        <v>https://twitter.com/patrick_edery</v>
      </c>
      <c r="AZ221" s="75" t="s">
        <v>65</v>
      </c>
      <c r="BA221" s="75" t="str">
        <f>REPLACE(INDEX(GroupVertices[Group],MATCH(Vertices[[#This Row],[Vertex]],GroupVertices[Vertex],0)),1,1,"")</f>
        <v>44</v>
      </c>
      <c r="BB221" s="45"/>
      <c r="BC221" s="46"/>
      <c r="BD221" s="45"/>
      <c r="BE221" s="46"/>
      <c r="BF221" s="45"/>
      <c r="BG221" s="46"/>
      <c r="BH221" s="45"/>
      <c r="BI221" s="46"/>
      <c r="BJ221" s="45"/>
      <c r="BK221" s="45"/>
      <c r="BL221" s="45"/>
      <c r="BM221" s="45"/>
      <c r="BN221" s="45"/>
      <c r="BO221" s="45"/>
      <c r="BP221" s="45"/>
      <c r="BQ221" s="45"/>
      <c r="BR221" s="45"/>
      <c r="BS221" s="45"/>
      <c r="BT221" s="45"/>
      <c r="BU221" s="2"/>
    </row>
    <row r="222" spans="1:73" ht="15">
      <c r="A222" s="61" t="s">
        <v>377</v>
      </c>
      <c r="B222" s="62"/>
      <c r="C222" s="62"/>
      <c r="D222" s="63">
        <v>100</v>
      </c>
      <c r="E222" s="65"/>
      <c r="F222" s="99" t="str">
        <f>HYPERLINK("https://pbs.twimg.com/profile_images/1496971217269628933/cZngJsP8_normal.jpg")</f>
        <v>https://pbs.twimg.com/profile_images/1496971217269628933/cZngJsP8_normal.jpg</v>
      </c>
      <c r="G222" s="62"/>
      <c r="H222" s="66" t="s">
        <v>377</v>
      </c>
      <c r="I222" s="67"/>
      <c r="J222" s="67"/>
      <c r="K222" s="66" t="s">
        <v>3064</v>
      </c>
      <c r="L222" s="70">
        <v>1</v>
      </c>
      <c r="M222" s="71">
        <v>5972.10546875</v>
      </c>
      <c r="N222" s="71">
        <v>7206.14892578125</v>
      </c>
      <c r="O222" s="72"/>
      <c r="P222" s="73"/>
      <c r="Q222" s="73"/>
      <c r="R222" s="85"/>
      <c r="S222" s="45">
        <v>0</v>
      </c>
      <c r="T222" s="45">
        <v>3</v>
      </c>
      <c r="U222" s="46">
        <v>0</v>
      </c>
      <c r="V222" s="46">
        <v>0.010922</v>
      </c>
      <c r="W222" s="46">
        <v>0</v>
      </c>
      <c r="X222" s="46">
        <v>0.002913</v>
      </c>
      <c r="Y222" s="46">
        <v>0.6666666666666666</v>
      </c>
      <c r="Z222" s="46">
        <v>0</v>
      </c>
      <c r="AA222" s="68">
        <v>222</v>
      </c>
      <c r="AB222" s="68"/>
      <c r="AC222" s="69"/>
      <c r="AD222" s="75" t="s">
        <v>2056</v>
      </c>
      <c r="AE222" s="80" t="s">
        <v>2328</v>
      </c>
      <c r="AF222" s="75">
        <v>11</v>
      </c>
      <c r="AG222" s="75">
        <v>53</v>
      </c>
      <c r="AH222" s="75">
        <v>53577</v>
      </c>
      <c r="AI222" s="75">
        <v>62823</v>
      </c>
      <c r="AJ222" s="75"/>
      <c r="AK222" s="75"/>
      <c r="AL222" s="75" t="s">
        <v>2742</v>
      </c>
      <c r="AM222" s="75"/>
      <c r="AN222" s="75"/>
      <c r="AO222" s="77">
        <v>43089.970983796295</v>
      </c>
      <c r="AP222" s="82" t="str">
        <f>HYPERLINK("https://pbs.twimg.com/profile_banners/943621589790322689/1645740725")</f>
        <v>https://pbs.twimg.com/profile_banners/943621589790322689/1645740725</v>
      </c>
      <c r="AQ222" s="75" t="b">
        <v>0</v>
      </c>
      <c r="AR222" s="75" t="b">
        <v>0</v>
      </c>
      <c r="AS222" s="75" t="b">
        <v>0</v>
      </c>
      <c r="AT222" s="75"/>
      <c r="AU222" s="75">
        <v>0</v>
      </c>
      <c r="AV222" s="82" t="str">
        <f>HYPERLINK("https://abs.twimg.com/images/themes/theme1/bg.png")</f>
        <v>https://abs.twimg.com/images/themes/theme1/bg.png</v>
      </c>
      <c r="AW222" s="75" t="b">
        <v>0</v>
      </c>
      <c r="AX222" s="75" t="s">
        <v>2845</v>
      </c>
      <c r="AY222" s="82" t="str">
        <f>HYPERLINK("https://twitter.com/varangianarmy")</f>
        <v>https://twitter.com/varangianarmy</v>
      </c>
      <c r="AZ222" s="75" t="s">
        <v>66</v>
      </c>
      <c r="BA222" s="75" t="str">
        <f>REPLACE(INDEX(GroupVertices[Group],MATCH(Vertices[[#This Row],[Vertex]],GroupVertices[Vertex],0)),1,1,"")</f>
        <v>13</v>
      </c>
      <c r="BB222" s="45">
        <v>1</v>
      </c>
      <c r="BC222" s="46">
        <v>4.166666666666667</v>
      </c>
      <c r="BD222" s="45">
        <v>0</v>
      </c>
      <c r="BE222" s="46">
        <v>0</v>
      </c>
      <c r="BF222" s="45">
        <v>0</v>
      </c>
      <c r="BG222" s="46">
        <v>0</v>
      </c>
      <c r="BH222" s="45">
        <v>23</v>
      </c>
      <c r="BI222" s="46">
        <v>95.83333333333333</v>
      </c>
      <c r="BJ222" s="45">
        <v>24</v>
      </c>
      <c r="BK222" s="45"/>
      <c r="BL222" s="45"/>
      <c r="BM222" s="45"/>
      <c r="BN222" s="45"/>
      <c r="BO222" s="45" t="s">
        <v>795</v>
      </c>
      <c r="BP222" s="45" t="s">
        <v>795</v>
      </c>
      <c r="BQ222" s="110" t="s">
        <v>4505</v>
      </c>
      <c r="BR222" s="110" t="s">
        <v>4505</v>
      </c>
      <c r="BS222" s="110" t="s">
        <v>4621</v>
      </c>
      <c r="BT222" s="110" t="s">
        <v>4621</v>
      </c>
      <c r="BU222" s="2"/>
    </row>
    <row r="223" spans="1:73" ht="15">
      <c r="A223" s="61" t="s">
        <v>526</v>
      </c>
      <c r="B223" s="62"/>
      <c r="C223" s="62"/>
      <c r="D223" s="63">
        <v>101.01010151515152</v>
      </c>
      <c r="E223" s="65"/>
      <c r="F223" s="99" t="str">
        <f>HYPERLINK("https://pbs.twimg.com/profile_images/1567692296509857792/Zlwq5T_P_normal.jpg")</f>
        <v>https://pbs.twimg.com/profile_images/1567692296509857792/Zlwq5T_P_normal.jpg</v>
      </c>
      <c r="G223" s="62"/>
      <c r="H223" s="66" t="s">
        <v>526</v>
      </c>
      <c r="I223" s="67"/>
      <c r="J223" s="67"/>
      <c r="K223" s="66" t="s">
        <v>3065</v>
      </c>
      <c r="L223" s="70">
        <v>2.4817357620281335</v>
      </c>
      <c r="M223" s="71">
        <v>5882.35302734375</v>
      </c>
      <c r="N223" s="71">
        <v>6382.6708984375</v>
      </c>
      <c r="O223" s="72"/>
      <c r="P223" s="73"/>
      <c r="Q223" s="73"/>
      <c r="R223" s="85"/>
      <c r="S223" s="45">
        <v>4</v>
      </c>
      <c r="T223" s="45">
        <v>0</v>
      </c>
      <c r="U223" s="46">
        <v>0.666667</v>
      </c>
      <c r="V223" s="46">
        <v>0.012742</v>
      </c>
      <c r="W223" s="46">
        <v>0</v>
      </c>
      <c r="X223" s="46">
        <v>0.003089</v>
      </c>
      <c r="Y223" s="46">
        <v>0.5</v>
      </c>
      <c r="Z223" s="46">
        <v>0</v>
      </c>
      <c r="AA223" s="68">
        <v>223</v>
      </c>
      <c r="AB223" s="68"/>
      <c r="AC223" s="69"/>
      <c r="AD223" s="75" t="s">
        <v>2057</v>
      </c>
      <c r="AE223" s="80" t="s">
        <v>2329</v>
      </c>
      <c r="AF223" s="75">
        <v>30</v>
      </c>
      <c r="AG223" s="75">
        <v>11</v>
      </c>
      <c r="AH223" s="75">
        <v>1232</v>
      </c>
      <c r="AI223" s="75">
        <v>558</v>
      </c>
      <c r="AJ223" s="75"/>
      <c r="AK223" s="75" t="s">
        <v>2592</v>
      </c>
      <c r="AL223" s="75" t="s">
        <v>2795</v>
      </c>
      <c r="AM223" s="75"/>
      <c r="AN223" s="75"/>
      <c r="AO223" s="77">
        <v>44616.44766203704</v>
      </c>
      <c r="AP223" s="82" t="str">
        <f>HYPERLINK("https://pbs.twimg.com/profile_banners/1496798058667036672/1659572062")</f>
        <v>https://pbs.twimg.com/profile_banners/1496798058667036672/1659572062</v>
      </c>
      <c r="AQ223" s="75" t="b">
        <v>1</v>
      </c>
      <c r="AR223" s="75" t="b">
        <v>0</v>
      </c>
      <c r="AS223" s="75" t="b">
        <v>0</v>
      </c>
      <c r="AT223" s="75"/>
      <c r="AU223" s="75">
        <v>2</v>
      </c>
      <c r="AV223" s="75"/>
      <c r="AW223" s="75" t="b">
        <v>0</v>
      </c>
      <c r="AX223" s="75" t="s">
        <v>2845</v>
      </c>
      <c r="AY223" s="82" t="str">
        <f>HYPERLINK("https://twitter.com/wannabetsarevna")</f>
        <v>https://twitter.com/wannabetsarevna</v>
      </c>
      <c r="AZ223" s="75" t="s">
        <v>65</v>
      </c>
      <c r="BA223" s="75" t="str">
        <f>REPLACE(INDEX(GroupVertices[Group],MATCH(Vertices[[#This Row],[Vertex]],GroupVertices[Vertex],0)),1,1,"")</f>
        <v>13</v>
      </c>
      <c r="BB223" s="45"/>
      <c r="BC223" s="46"/>
      <c r="BD223" s="45"/>
      <c r="BE223" s="46"/>
      <c r="BF223" s="45"/>
      <c r="BG223" s="46"/>
      <c r="BH223" s="45"/>
      <c r="BI223" s="46"/>
      <c r="BJ223" s="45"/>
      <c r="BK223" s="45"/>
      <c r="BL223" s="45"/>
      <c r="BM223" s="45"/>
      <c r="BN223" s="45"/>
      <c r="BO223" s="45"/>
      <c r="BP223" s="45"/>
      <c r="BQ223" s="45"/>
      <c r="BR223" s="45"/>
      <c r="BS223" s="45"/>
      <c r="BT223" s="45"/>
      <c r="BU223" s="2"/>
    </row>
    <row r="224" spans="1:73" ht="15">
      <c r="A224" s="61" t="s">
        <v>378</v>
      </c>
      <c r="B224" s="62"/>
      <c r="C224" s="62"/>
      <c r="D224" s="63">
        <v>101.01010151515152</v>
      </c>
      <c r="E224" s="65"/>
      <c r="F224" s="99" t="str">
        <f>HYPERLINK("https://pbs.twimg.com/profile_images/1563828211217309696/-cq0Deqc_normal.jpg")</f>
        <v>https://pbs.twimg.com/profile_images/1563828211217309696/-cq0Deqc_normal.jpg</v>
      </c>
      <c r="G224" s="62"/>
      <c r="H224" s="66" t="s">
        <v>378</v>
      </c>
      <c r="I224" s="67"/>
      <c r="J224" s="67"/>
      <c r="K224" s="66" t="s">
        <v>3066</v>
      </c>
      <c r="L224" s="70">
        <v>2.4817357620281335</v>
      </c>
      <c r="M224" s="71">
        <v>5633.5830078125</v>
      </c>
      <c r="N224" s="71">
        <v>7306.96142578125</v>
      </c>
      <c r="O224" s="72"/>
      <c r="P224" s="73"/>
      <c r="Q224" s="73"/>
      <c r="R224" s="85"/>
      <c r="S224" s="45">
        <v>3</v>
      </c>
      <c r="T224" s="45">
        <v>2</v>
      </c>
      <c r="U224" s="46">
        <v>0.666667</v>
      </c>
      <c r="V224" s="46">
        <v>0.012742</v>
      </c>
      <c r="W224" s="46">
        <v>0</v>
      </c>
      <c r="X224" s="46">
        <v>0.003089</v>
      </c>
      <c r="Y224" s="46">
        <v>0.4166666666666667</v>
      </c>
      <c r="Z224" s="46">
        <v>0.25</v>
      </c>
      <c r="AA224" s="68">
        <v>224</v>
      </c>
      <c r="AB224" s="68"/>
      <c r="AC224" s="69"/>
      <c r="AD224" s="75" t="s">
        <v>2058</v>
      </c>
      <c r="AE224" s="80" t="s">
        <v>1727</v>
      </c>
      <c r="AF224" s="75">
        <v>128</v>
      </c>
      <c r="AG224" s="75">
        <v>9812</v>
      </c>
      <c r="AH224" s="75">
        <v>14256</v>
      </c>
      <c r="AI224" s="75">
        <v>21376</v>
      </c>
      <c r="AJ224" s="75"/>
      <c r="AK224" s="75" t="s">
        <v>2593</v>
      </c>
      <c r="AL224" s="75" t="s">
        <v>2764</v>
      </c>
      <c r="AM224" s="75"/>
      <c r="AN224" s="75"/>
      <c r="AO224" s="77">
        <v>40919.85430555556</v>
      </c>
      <c r="AP224" s="82" t="str">
        <f>HYPERLINK("https://pbs.twimg.com/profile_banners/461449783/1662684567")</f>
        <v>https://pbs.twimg.com/profile_banners/461449783/1662684567</v>
      </c>
      <c r="AQ224" s="75" t="b">
        <v>0</v>
      </c>
      <c r="AR224" s="75" t="b">
        <v>0</v>
      </c>
      <c r="AS224" s="75" t="b">
        <v>1</v>
      </c>
      <c r="AT224" s="75"/>
      <c r="AU224" s="75">
        <v>48</v>
      </c>
      <c r="AV224" s="82" t="str">
        <f>HYPERLINK("https://abs.twimg.com/images/themes/theme10/bg.gif")</f>
        <v>https://abs.twimg.com/images/themes/theme10/bg.gif</v>
      </c>
      <c r="AW224" s="75" t="b">
        <v>0</v>
      </c>
      <c r="AX224" s="75" t="s">
        <v>2845</v>
      </c>
      <c r="AY224" s="82" t="str">
        <f>HYPERLINK("https://twitter.com/heyhelloirene")</f>
        <v>https://twitter.com/heyhelloirene</v>
      </c>
      <c r="AZ224" s="75" t="s">
        <v>66</v>
      </c>
      <c r="BA224" s="75" t="str">
        <f>REPLACE(INDEX(GroupVertices[Group],MATCH(Vertices[[#This Row],[Vertex]],GroupVertices[Vertex],0)),1,1,"")</f>
        <v>13</v>
      </c>
      <c r="BB224" s="45">
        <v>1</v>
      </c>
      <c r="BC224" s="46">
        <v>4.166666666666667</v>
      </c>
      <c r="BD224" s="45">
        <v>0</v>
      </c>
      <c r="BE224" s="46">
        <v>0</v>
      </c>
      <c r="BF224" s="45">
        <v>0</v>
      </c>
      <c r="BG224" s="46">
        <v>0</v>
      </c>
      <c r="BH224" s="45">
        <v>23</v>
      </c>
      <c r="BI224" s="46">
        <v>95.83333333333333</v>
      </c>
      <c r="BJ224" s="45">
        <v>24</v>
      </c>
      <c r="BK224" s="45"/>
      <c r="BL224" s="45"/>
      <c r="BM224" s="45"/>
      <c r="BN224" s="45"/>
      <c r="BO224" s="45" t="s">
        <v>795</v>
      </c>
      <c r="BP224" s="45" t="s">
        <v>795</v>
      </c>
      <c r="BQ224" s="110" t="s">
        <v>4505</v>
      </c>
      <c r="BR224" s="110" t="s">
        <v>4505</v>
      </c>
      <c r="BS224" s="110" t="s">
        <v>4621</v>
      </c>
      <c r="BT224" s="110" t="s">
        <v>4621</v>
      </c>
      <c r="BU224" s="2"/>
    </row>
    <row r="225" spans="1:73" ht="15">
      <c r="A225" s="61" t="s">
        <v>380</v>
      </c>
      <c r="B225" s="62"/>
      <c r="C225" s="62"/>
      <c r="D225" s="63">
        <v>100</v>
      </c>
      <c r="E225" s="65"/>
      <c r="F225" s="99" t="str">
        <f>HYPERLINK("https://pbs.twimg.com/profile_images/985194897639661568/XbOJcyqq_normal.jpg")</f>
        <v>https://pbs.twimg.com/profile_images/985194897639661568/XbOJcyqq_normal.jpg</v>
      </c>
      <c r="G225" s="62"/>
      <c r="H225" s="66" t="s">
        <v>380</v>
      </c>
      <c r="I225" s="67"/>
      <c r="J225" s="67"/>
      <c r="K225" s="66" t="s">
        <v>3067</v>
      </c>
      <c r="L225" s="70">
        <v>1</v>
      </c>
      <c r="M225" s="71">
        <v>5682.4267578125</v>
      </c>
      <c r="N225" s="71">
        <v>5832.75</v>
      </c>
      <c r="O225" s="72"/>
      <c r="P225" s="73"/>
      <c r="Q225" s="73"/>
      <c r="R225" s="85"/>
      <c r="S225" s="45">
        <v>0</v>
      </c>
      <c r="T225" s="45">
        <v>3</v>
      </c>
      <c r="U225" s="46">
        <v>0</v>
      </c>
      <c r="V225" s="46">
        <v>0.010922</v>
      </c>
      <c r="W225" s="46">
        <v>0</v>
      </c>
      <c r="X225" s="46">
        <v>0.002913</v>
      </c>
      <c r="Y225" s="46">
        <v>0.6666666666666666</v>
      </c>
      <c r="Z225" s="46">
        <v>0</v>
      </c>
      <c r="AA225" s="68">
        <v>225</v>
      </c>
      <c r="AB225" s="68"/>
      <c r="AC225" s="69"/>
      <c r="AD225" s="75" t="s">
        <v>2059</v>
      </c>
      <c r="AE225" s="80" t="s">
        <v>2330</v>
      </c>
      <c r="AF225" s="75">
        <v>245</v>
      </c>
      <c r="AG225" s="75">
        <v>62</v>
      </c>
      <c r="AH225" s="75">
        <v>14872</v>
      </c>
      <c r="AI225" s="75">
        <v>23759</v>
      </c>
      <c r="AJ225" s="75"/>
      <c r="AK225" s="75"/>
      <c r="AL225" s="75"/>
      <c r="AM225" s="75"/>
      <c r="AN225" s="75"/>
      <c r="AO225" s="77">
        <v>43108.75915509259</v>
      </c>
      <c r="AP225" s="82" t="str">
        <f>HYPERLINK("https://pbs.twimg.com/profile_banners/950430193528770560/1523723741")</f>
        <v>https://pbs.twimg.com/profile_banners/950430193528770560/1523723741</v>
      </c>
      <c r="AQ225" s="75" t="b">
        <v>1</v>
      </c>
      <c r="AR225" s="75" t="b">
        <v>0</v>
      </c>
      <c r="AS225" s="75" t="b">
        <v>0</v>
      </c>
      <c r="AT225" s="75"/>
      <c r="AU225" s="75">
        <v>1</v>
      </c>
      <c r="AV225" s="75"/>
      <c r="AW225" s="75" t="b">
        <v>0</v>
      </c>
      <c r="AX225" s="75" t="s">
        <v>2845</v>
      </c>
      <c r="AY225" s="82" t="str">
        <f>HYPERLINK("https://twitter.com/almsdoc95")</f>
        <v>https://twitter.com/almsdoc95</v>
      </c>
      <c r="AZ225" s="75" t="s">
        <v>66</v>
      </c>
      <c r="BA225" s="75" t="str">
        <f>REPLACE(INDEX(GroupVertices[Group],MATCH(Vertices[[#This Row],[Vertex]],GroupVertices[Vertex],0)),1,1,"")</f>
        <v>13</v>
      </c>
      <c r="BB225" s="45">
        <v>1</v>
      </c>
      <c r="BC225" s="46">
        <v>4.166666666666667</v>
      </c>
      <c r="BD225" s="45">
        <v>0</v>
      </c>
      <c r="BE225" s="46">
        <v>0</v>
      </c>
      <c r="BF225" s="45">
        <v>0</v>
      </c>
      <c r="BG225" s="46">
        <v>0</v>
      </c>
      <c r="BH225" s="45">
        <v>23</v>
      </c>
      <c r="BI225" s="46">
        <v>95.83333333333333</v>
      </c>
      <c r="BJ225" s="45">
        <v>24</v>
      </c>
      <c r="BK225" s="45"/>
      <c r="BL225" s="45"/>
      <c r="BM225" s="45"/>
      <c r="BN225" s="45"/>
      <c r="BO225" s="45" t="s">
        <v>795</v>
      </c>
      <c r="BP225" s="45" t="s">
        <v>795</v>
      </c>
      <c r="BQ225" s="110" t="s">
        <v>4505</v>
      </c>
      <c r="BR225" s="110" t="s">
        <v>4505</v>
      </c>
      <c r="BS225" s="110" t="s">
        <v>4621</v>
      </c>
      <c r="BT225" s="110" t="s">
        <v>4621</v>
      </c>
      <c r="BU225" s="2"/>
    </row>
    <row r="226" spans="1:73" ht="15">
      <c r="A226" s="61" t="s">
        <v>381</v>
      </c>
      <c r="B226" s="62"/>
      <c r="C226" s="62"/>
      <c r="D226" s="63">
        <v>100</v>
      </c>
      <c r="E226" s="65"/>
      <c r="F226" s="99" t="str">
        <f>HYPERLINK("https://pbs.twimg.com/profile_images/1519035947031175171/2o2GXDME_normal.jpg")</f>
        <v>https://pbs.twimg.com/profile_images/1519035947031175171/2o2GXDME_normal.jpg</v>
      </c>
      <c r="G226" s="62"/>
      <c r="H226" s="66" t="s">
        <v>381</v>
      </c>
      <c r="I226" s="67"/>
      <c r="J226" s="67"/>
      <c r="K226" s="66" t="s">
        <v>3068</v>
      </c>
      <c r="L226" s="70">
        <v>1</v>
      </c>
      <c r="M226" s="71">
        <v>1786.40673828125</v>
      </c>
      <c r="N226" s="71">
        <v>3108.66357421875</v>
      </c>
      <c r="O226" s="72"/>
      <c r="P226" s="73"/>
      <c r="Q226" s="73"/>
      <c r="R226" s="85"/>
      <c r="S226" s="45">
        <v>1</v>
      </c>
      <c r="T226" s="45">
        <v>1</v>
      </c>
      <c r="U226" s="46">
        <v>0</v>
      </c>
      <c r="V226" s="46">
        <v>0</v>
      </c>
      <c r="W226" s="46">
        <v>0</v>
      </c>
      <c r="X226" s="46">
        <v>0.003049</v>
      </c>
      <c r="Y226" s="46">
        <v>0</v>
      </c>
      <c r="Z226" s="46">
        <v>0</v>
      </c>
      <c r="AA226" s="68">
        <v>226</v>
      </c>
      <c r="AB226" s="68"/>
      <c r="AC226" s="69"/>
      <c r="AD226" s="75" t="s">
        <v>2060</v>
      </c>
      <c r="AE226" s="80" t="s">
        <v>2331</v>
      </c>
      <c r="AF226" s="75">
        <v>97</v>
      </c>
      <c r="AG226" s="75">
        <v>378</v>
      </c>
      <c r="AH226" s="75">
        <v>7649</v>
      </c>
      <c r="AI226" s="75">
        <v>5809</v>
      </c>
      <c r="AJ226" s="75"/>
      <c r="AK226" s="75" t="s">
        <v>2594</v>
      </c>
      <c r="AL226" s="75" t="s">
        <v>2796</v>
      </c>
      <c r="AM226" s="75"/>
      <c r="AN226" s="75"/>
      <c r="AO226" s="77">
        <v>43378.80599537037</v>
      </c>
      <c r="AP226" s="82" t="str">
        <f>HYPERLINK("https://pbs.twimg.com/profile_banners/1048291894634192896/1648412759")</f>
        <v>https://pbs.twimg.com/profile_banners/1048291894634192896/1648412759</v>
      </c>
      <c r="AQ226" s="75" t="b">
        <v>1</v>
      </c>
      <c r="AR226" s="75" t="b">
        <v>0</v>
      </c>
      <c r="AS226" s="75" t="b">
        <v>0</v>
      </c>
      <c r="AT226" s="75"/>
      <c r="AU226" s="75">
        <v>0</v>
      </c>
      <c r="AV226" s="75"/>
      <c r="AW226" s="75" t="b">
        <v>0</v>
      </c>
      <c r="AX226" s="75" t="s">
        <v>2845</v>
      </c>
      <c r="AY226" s="82" t="str">
        <f>HYPERLINK("https://twitter.com/patriotavenezo")</f>
        <v>https://twitter.com/patriotavenezo</v>
      </c>
      <c r="AZ226" s="75" t="s">
        <v>66</v>
      </c>
      <c r="BA226" s="75" t="str">
        <f>REPLACE(INDEX(GroupVertices[Group],MATCH(Vertices[[#This Row],[Vertex]],GroupVertices[Vertex],0)),1,1,"")</f>
        <v>2</v>
      </c>
      <c r="BB226" s="45">
        <v>0</v>
      </c>
      <c r="BC226" s="46">
        <v>0</v>
      </c>
      <c r="BD226" s="45">
        <v>0</v>
      </c>
      <c r="BE226" s="46">
        <v>0</v>
      </c>
      <c r="BF226" s="45">
        <v>0</v>
      </c>
      <c r="BG226" s="46">
        <v>0</v>
      </c>
      <c r="BH226" s="45">
        <v>1</v>
      </c>
      <c r="BI226" s="46">
        <v>100</v>
      </c>
      <c r="BJ226" s="45">
        <v>1</v>
      </c>
      <c r="BK226" s="45"/>
      <c r="BL226" s="45"/>
      <c r="BM226" s="45"/>
      <c r="BN226" s="45"/>
      <c r="BO226" s="45" t="s">
        <v>795</v>
      </c>
      <c r="BP226" s="45" t="s">
        <v>795</v>
      </c>
      <c r="BQ226" s="110" t="s">
        <v>3260</v>
      </c>
      <c r="BR226" s="110" t="s">
        <v>3260</v>
      </c>
      <c r="BS226" s="110" t="s">
        <v>1674</v>
      </c>
      <c r="BT226" s="110" t="s">
        <v>1674</v>
      </c>
      <c r="BU226" s="2"/>
    </row>
    <row r="227" spans="1:73" ht="15">
      <c r="A227" s="61" t="s">
        <v>382</v>
      </c>
      <c r="B227" s="62"/>
      <c r="C227" s="62"/>
      <c r="D227" s="63">
        <v>1000</v>
      </c>
      <c r="E227" s="65"/>
      <c r="F227" s="99" t="str">
        <f>HYPERLINK("https://pbs.twimg.com/profile_images/1569983204995616768/o89y1TXV_normal.jpg")</f>
        <v>https://pbs.twimg.com/profile_images/1569983204995616768/o89y1TXV_normal.jpg</v>
      </c>
      <c r="G227" s="62"/>
      <c r="H227" s="66" t="s">
        <v>382</v>
      </c>
      <c r="I227" s="67"/>
      <c r="J227" s="67"/>
      <c r="K227" s="66" t="s">
        <v>3069</v>
      </c>
      <c r="L227" s="70">
        <v>4115.926327265166</v>
      </c>
      <c r="M227" s="71">
        <v>1553.3531494140625</v>
      </c>
      <c r="N227" s="71">
        <v>7331.12255859375</v>
      </c>
      <c r="O227" s="72"/>
      <c r="P227" s="73"/>
      <c r="Q227" s="73"/>
      <c r="R227" s="85"/>
      <c r="S227" s="45">
        <v>0</v>
      </c>
      <c r="T227" s="45">
        <v>9</v>
      </c>
      <c r="U227" s="46">
        <v>1851.4</v>
      </c>
      <c r="V227" s="46">
        <v>0.097298</v>
      </c>
      <c r="W227" s="46">
        <v>0.108728</v>
      </c>
      <c r="X227" s="46">
        <v>0.005145</v>
      </c>
      <c r="Y227" s="46">
        <v>0</v>
      </c>
      <c r="Z227" s="46">
        <v>0</v>
      </c>
      <c r="AA227" s="68">
        <v>227</v>
      </c>
      <c r="AB227" s="68"/>
      <c r="AC227" s="69"/>
      <c r="AD227" s="75" t="s">
        <v>2061</v>
      </c>
      <c r="AE227" s="80" t="s">
        <v>2332</v>
      </c>
      <c r="AF227" s="75">
        <v>431</v>
      </c>
      <c r="AG227" s="75">
        <v>3759</v>
      </c>
      <c r="AH227" s="75">
        <v>30492</v>
      </c>
      <c r="AI227" s="75">
        <v>14667</v>
      </c>
      <c r="AJ227" s="75"/>
      <c r="AK227" s="75" t="s">
        <v>2595</v>
      </c>
      <c r="AL227" s="75" t="s">
        <v>2718</v>
      </c>
      <c r="AM227" s="75"/>
      <c r="AN227" s="75"/>
      <c r="AO227" s="77">
        <v>44201.69457175926</v>
      </c>
      <c r="AP227" s="82" t="str">
        <f>HYPERLINK("https://pbs.twimg.com/profile_banners/1346496665298075651/1619599714")</f>
        <v>https://pbs.twimg.com/profile_banners/1346496665298075651/1619599714</v>
      </c>
      <c r="AQ227" s="75" t="b">
        <v>1</v>
      </c>
      <c r="AR227" s="75" t="b">
        <v>0</v>
      </c>
      <c r="AS227" s="75" t="b">
        <v>0</v>
      </c>
      <c r="AT227" s="75"/>
      <c r="AU227" s="75">
        <v>1</v>
      </c>
      <c r="AV227" s="75"/>
      <c r="AW227" s="75" t="b">
        <v>0</v>
      </c>
      <c r="AX227" s="75" t="s">
        <v>2845</v>
      </c>
      <c r="AY227" s="82" t="str">
        <f>HYPERLINK("https://twitter.com/yeshewalul1")</f>
        <v>https://twitter.com/yeshewalul1</v>
      </c>
      <c r="AZ227" s="75" t="s">
        <v>66</v>
      </c>
      <c r="BA227" s="75" t="str">
        <f>REPLACE(INDEX(GroupVertices[Group],MATCH(Vertices[[#This Row],[Vertex]],GroupVertices[Vertex],0)),1,1,"")</f>
        <v>1</v>
      </c>
      <c r="BB227" s="45">
        <v>1</v>
      </c>
      <c r="BC227" s="46">
        <v>5.2631578947368425</v>
      </c>
      <c r="BD227" s="45">
        <v>0</v>
      </c>
      <c r="BE227" s="46">
        <v>0</v>
      </c>
      <c r="BF227" s="45">
        <v>0</v>
      </c>
      <c r="BG227" s="46">
        <v>0</v>
      </c>
      <c r="BH227" s="45">
        <v>18</v>
      </c>
      <c r="BI227" s="46">
        <v>94.73684210526316</v>
      </c>
      <c r="BJ227" s="45">
        <v>19</v>
      </c>
      <c r="BK227" s="45" t="s">
        <v>3970</v>
      </c>
      <c r="BL227" s="45" t="s">
        <v>3970</v>
      </c>
      <c r="BM227" s="45" t="s">
        <v>783</v>
      </c>
      <c r="BN227" s="45" t="s">
        <v>783</v>
      </c>
      <c r="BO227" s="45" t="s">
        <v>846</v>
      </c>
      <c r="BP227" s="45" t="s">
        <v>846</v>
      </c>
      <c r="BQ227" s="110" t="s">
        <v>4506</v>
      </c>
      <c r="BR227" s="110" t="s">
        <v>4506</v>
      </c>
      <c r="BS227" s="110" t="s">
        <v>4622</v>
      </c>
      <c r="BT227" s="110" t="s">
        <v>4622</v>
      </c>
      <c r="BU227" s="2"/>
    </row>
    <row r="228" spans="1:73" ht="15">
      <c r="A228" s="61" t="s">
        <v>527</v>
      </c>
      <c r="B228" s="62"/>
      <c r="C228" s="62"/>
      <c r="D228" s="63">
        <v>100</v>
      </c>
      <c r="E228" s="65"/>
      <c r="F228" s="99" t="str">
        <f>HYPERLINK("https://pbs.twimg.com/profile_images/1550804343414194176/gtmAVPI__normal.jpg")</f>
        <v>https://pbs.twimg.com/profile_images/1550804343414194176/gtmAVPI__normal.jpg</v>
      </c>
      <c r="G228" s="62"/>
      <c r="H228" s="66" t="s">
        <v>527</v>
      </c>
      <c r="I228" s="67"/>
      <c r="J228" s="67"/>
      <c r="K228" s="66" t="s">
        <v>3070</v>
      </c>
      <c r="L228" s="70">
        <v>1</v>
      </c>
      <c r="M228" s="71">
        <v>1926.6365966796875</v>
      </c>
      <c r="N228" s="71">
        <v>7114.9501953125</v>
      </c>
      <c r="O228" s="72"/>
      <c r="P228" s="73"/>
      <c r="Q228" s="73"/>
      <c r="R228" s="85"/>
      <c r="S228" s="45">
        <v>1</v>
      </c>
      <c r="T228" s="45">
        <v>0</v>
      </c>
      <c r="U228" s="46">
        <v>0</v>
      </c>
      <c r="V228" s="46">
        <v>0.074338</v>
      </c>
      <c r="W228" s="46">
        <v>0.019293</v>
      </c>
      <c r="X228" s="46">
        <v>0.002677</v>
      </c>
      <c r="Y228" s="46">
        <v>0</v>
      </c>
      <c r="Z228" s="46">
        <v>0</v>
      </c>
      <c r="AA228" s="68">
        <v>228</v>
      </c>
      <c r="AB228" s="68"/>
      <c r="AC228" s="69"/>
      <c r="AD228" s="75" t="s">
        <v>2062</v>
      </c>
      <c r="AE228" s="80" t="s">
        <v>2333</v>
      </c>
      <c r="AF228" s="75">
        <v>689863</v>
      </c>
      <c r="AG228" s="75">
        <v>1105455</v>
      </c>
      <c r="AH228" s="75">
        <v>24968</v>
      </c>
      <c r="AI228" s="75">
        <v>366150</v>
      </c>
      <c r="AJ228" s="75"/>
      <c r="AK228" s="75" t="s">
        <v>2596</v>
      </c>
      <c r="AL228" s="75" t="s">
        <v>2797</v>
      </c>
      <c r="AM228" s="82" t="str">
        <f>HYPERLINK("https://t.co/tfIcaJNDyv")</f>
        <v>https://t.co/tfIcaJNDyv</v>
      </c>
      <c r="AN228" s="75"/>
      <c r="AO228" s="77">
        <v>40096.314884259256</v>
      </c>
      <c r="AP228" s="82" t="str">
        <f>HYPERLINK("https://pbs.twimg.com/profile_banners/81305054/1547037991")</f>
        <v>https://pbs.twimg.com/profile_banners/81305054/1547037991</v>
      </c>
      <c r="AQ228" s="75" t="b">
        <v>0</v>
      </c>
      <c r="AR228" s="75" t="b">
        <v>0</v>
      </c>
      <c r="AS228" s="75" t="b">
        <v>1</v>
      </c>
      <c r="AT228" s="75"/>
      <c r="AU228" s="75">
        <v>1646</v>
      </c>
      <c r="AV228" s="82" t="str">
        <f>HYPERLINK("https://abs.twimg.com/images/themes/theme9/bg.gif")</f>
        <v>https://abs.twimg.com/images/themes/theme9/bg.gif</v>
      </c>
      <c r="AW228" s="75" t="b">
        <v>1</v>
      </c>
      <c r="AX228" s="75" t="s">
        <v>2845</v>
      </c>
      <c r="AY228" s="82" t="str">
        <f>HYPERLINK("https://twitter.com/ulrichjvv")</f>
        <v>https://twitter.com/ulrichjvv</v>
      </c>
      <c r="AZ228" s="75" t="s">
        <v>65</v>
      </c>
      <c r="BA228" s="75" t="str">
        <f>REPLACE(INDEX(GroupVertices[Group],MATCH(Vertices[[#This Row],[Vertex]],GroupVertices[Vertex],0)),1,1,"")</f>
        <v>1</v>
      </c>
      <c r="BB228" s="45"/>
      <c r="BC228" s="46"/>
      <c r="BD228" s="45"/>
      <c r="BE228" s="46"/>
      <c r="BF228" s="45"/>
      <c r="BG228" s="46"/>
      <c r="BH228" s="45"/>
      <c r="BI228" s="46"/>
      <c r="BJ228" s="45"/>
      <c r="BK228" s="45"/>
      <c r="BL228" s="45"/>
      <c r="BM228" s="45"/>
      <c r="BN228" s="45"/>
      <c r="BO228" s="45"/>
      <c r="BP228" s="45"/>
      <c r="BQ228" s="45"/>
      <c r="BR228" s="45"/>
      <c r="BS228" s="45"/>
      <c r="BT228" s="45"/>
      <c r="BU228" s="2"/>
    </row>
    <row r="229" spans="1:73" ht="15">
      <c r="A229" s="61" t="s">
        <v>528</v>
      </c>
      <c r="B229" s="62"/>
      <c r="C229" s="62"/>
      <c r="D229" s="63">
        <v>100</v>
      </c>
      <c r="E229" s="65"/>
      <c r="F229" s="99" t="str">
        <f>HYPERLINK("https://pbs.twimg.com/profile_images/1559526427682381831/iJ7kuZ1y_normal.jpg")</f>
        <v>https://pbs.twimg.com/profile_images/1559526427682381831/iJ7kuZ1y_normal.jpg</v>
      </c>
      <c r="G229" s="62"/>
      <c r="H229" s="66" t="s">
        <v>528</v>
      </c>
      <c r="I229" s="67"/>
      <c r="J229" s="67"/>
      <c r="K229" s="66" t="s">
        <v>3071</v>
      </c>
      <c r="L229" s="70">
        <v>1</v>
      </c>
      <c r="M229" s="71">
        <v>1817.8001708984375</v>
      </c>
      <c r="N229" s="71">
        <v>7873.97900390625</v>
      </c>
      <c r="O229" s="72"/>
      <c r="P229" s="73"/>
      <c r="Q229" s="73"/>
      <c r="R229" s="85"/>
      <c r="S229" s="45">
        <v>1</v>
      </c>
      <c r="T229" s="45">
        <v>0</v>
      </c>
      <c r="U229" s="46">
        <v>0</v>
      </c>
      <c r="V229" s="46">
        <v>0.074338</v>
      </c>
      <c r="W229" s="46">
        <v>0.019293</v>
      </c>
      <c r="X229" s="46">
        <v>0.002677</v>
      </c>
      <c r="Y229" s="46">
        <v>0</v>
      </c>
      <c r="Z229" s="46">
        <v>0</v>
      </c>
      <c r="AA229" s="68">
        <v>229</v>
      </c>
      <c r="AB229" s="68"/>
      <c r="AC229" s="69"/>
      <c r="AD229" s="75" t="s">
        <v>2063</v>
      </c>
      <c r="AE229" s="80" t="s">
        <v>2334</v>
      </c>
      <c r="AF229" s="75">
        <v>0</v>
      </c>
      <c r="AG229" s="75">
        <v>1328347</v>
      </c>
      <c r="AH229" s="75">
        <v>1564</v>
      </c>
      <c r="AI229" s="75">
        <v>18</v>
      </c>
      <c r="AJ229" s="75"/>
      <c r="AK229" s="75" t="s">
        <v>2597</v>
      </c>
      <c r="AL229" s="75" t="s">
        <v>2720</v>
      </c>
      <c r="AM229" s="82" t="str">
        <f>HYPERLINK("https://t.co/3XLRHdrQl7")</f>
        <v>https://t.co/3XLRHdrQl7</v>
      </c>
      <c r="AN229" s="75"/>
      <c r="AO229" s="77">
        <v>43709.60056712963</v>
      </c>
      <c r="AP229" s="82" t="str">
        <f>HYPERLINK("https://pbs.twimg.com/profile_banners/1168167671151628290/1660711737")</f>
        <v>https://pbs.twimg.com/profile_banners/1168167671151628290/1660711737</v>
      </c>
      <c r="AQ229" s="75" t="b">
        <v>1</v>
      </c>
      <c r="AR229" s="75" t="b">
        <v>0</v>
      </c>
      <c r="AS229" s="75" t="b">
        <v>0</v>
      </c>
      <c r="AT229" s="75"/>
      <c r="AU229" s="75">
        <v>808</v>
      </c>
      <c r="AV229" s="75"/>
      <c r="AW229" s="75" t="b">
        <v>1</v>
      </c>
      <c r="AX229" s="75" t="s">
        <v>2845</v>
      </c>
      <c r="AY229" s="82" t="str">
        <f>HYPERLINK("https://twitter.com/abiyahmedali")</f>
        <v>https://twitter.com/abiyahmedali</v>
      </c>
      <c r="AZ229" s="75" t="s">
        <v>65</v>
      </c>
      <c r="BA229" s="75" t="str">
        <f>REPLACE(INDEX(GroupVertices[Group],MATCH(Vertices[[#This Row],[Vertex]],GroupVertices[Vertex],0)),1,1,"")</f>
        <v>1</v>
      </c>
      <c r="BB229" s="45"/>
      <c r="BC229" s="46"/>
      <c r="BD229" s="45"/>
      <c r="BE229" s="46"/>
      <c r="BF229" s="45"/>
      <c r="BG229" s="46"/>
      <c r="BH229" s="45"/>
      <c r="BI229" s="46"/>
      <c r="BJ229" s="45"/>
      <c r="BK229" s="45"/>
      <c r="BL229" s="45"/>
      <c r="BM229" s="45"/>
      <c r="BN229" s="45"/>
      <c r="BO229" s="45"/>
      <c r="BP229" s="45"/>
      <c r="BQ229" s="45"/>
      <c r="BR229" s="45"/>
      <c r="BS229" s="45"/>
      <c r="BT229" s="45"/>
      <c r="BU229" s="2"/>
    </row>
    <row r="230" spans="1:73" ht="15">
      <c r="A230" s="61" t="s">
        <v>529</v>
      </c>
      <c r="B230" s="62"/>
      <c r="C230" s="62"/>
      <c r="D230" s="63">
        <v>100</v>
      </c>
      <c r="E230" s="65"/>
      <c r="F230" s="99" t="str">
        <f>HYPERLINK("https://pbs.twimg.com/profile_images/1435987487541891072/MsF7dQwl_normal.png")</f>
        <v>https://pbs.twimg.com/profile_images/1435987487541891072/MsF7dQwl_normal.png</v>
      </c>
      <c r="G230" s="62"/>
      <c r="H230" s="66" t="s">
        <v>529</v>
      </c>
      <c r="I230" s="67"/>
      <c r="J230" s="67"/>
      <c r="K230" s="66" t="s">
        <v>3072</v>
      </c>
      <c r="L230" s="70">
        <v>1</v>
      </c>
      <c r="M230" s="71">
        <v>1742.53271484375</v>
      </c>
      <c r="N230" s="71">
        <v>8081.416015625</v>
      </c>
      <c r="O230" s="72"/>
      <c r="P230" s="73"/>
      <c r="Q230" s="73"/>
      <c r="R230" s="85"/>
      <c r="S230" s="45">
        <v>1</v>
      </c>
      <c r="T230" s="45">
        <v>0</v>
      </c>
      <c r="U230" s="46">
        <v>0</v>
      </c>
      <c r="V230" s="46">
        <v>0.074338</v>
      </c>
      <c r="W230" s="46">
        <v>0.019293</v>
      </c>
      <c r="X230" s="46">
        <v>0.002677</v>
      </c>
      <c r="Y230" s="46">
        <v>0</v>
      </c>
      <c r="Z230" s="46">
        <v>0</v>
      </c>
      <c r="AA230" s="68">
        <v>230</v>
      </c>
      <c r="AB230" s="68"/>
      <c r="AC230" s="69"/>
      <c r="AD230" s="75" t="s">
        <v>2064</v>
      </c>
      <c r="AE230" s="80" t="s">
        <v>2335</v>
      </c>
      <c r="AF230" s="75">
        <v>5511</v>
      </c>
      <c r="AG230" s="75">
        <v>95685</v>
      </c>
      <c r="AH230" s="75">
        <v>21347</v>
      </c>
      <c r="AI230" s="75">
        <v>1462</v>
      </c>
      <c r="AJ230" s="75"/>
      <c r="AK230" s="75" t="s">
        <v>2598</v>
      </c>
      <c r="AL230" s="75" t="s">
        <v>2798</v>
      </c>
      <c r="AM230" s="82" t="str">
        <f>HYPERLINK("https://t.co/IAf4P9SSYU")</f>
        <v>https://t.co/IAf4P9SSYU</v>
      </c>
      <c r="AN230" s="75"/>
      <c r="AO230" s="77">
        <v>39932.45903935185</v>
      </c>
      <c r="AP230" s="82" t="str">
        <f>HYPERLINK("https://pbs.twimg.com/profile_banners/36332848/1645715914")</f>
        <v>https://pbs.twimg.com/profile_banners/36332848/1645715914</v>
      </c>
      <c r="AQ230" s="75" t="b">
        <v>0</v>
      </c>
      <c r="AR230" s="75" t="b">
        <v>0</v>
      </c>
      <c r="AS230" s="75" t="b">
        <v>1</v>
      </c>
      <c r="AT230" s="75"/>
      <c r="AU230" s="75">
        <v>950</v>
      </c>
      <c r="AV230" s="82" t="str">
        <f>HYPERLINK("https://abs.twimg.com/images/themes/theme1/bg.png")</f>
        <v>https://abs.twimg.com/images/themes/theme1/bg.png</v>
      </c>
      <c r="AW230" s="75" t="b">
        <v>1</v>
      </c>
      <c r="AX230" s="75" t="s">
        <v>2845</v>
      </c>
      <c r="AY230" s="82" t="str">
        <f>HYPERLINK("https://twitter.com/europarl_de")</f>
        <v>https://twitter.com/europarl_de</v>
      </c>
      <c r="AZ230" s="75" t="s">
        <v>65</v>
      </c>
      <c r="BA230" s="75" t="str">
        <f>REPLACE(INDEX(GroupVertices[Group],MATCH(Vertices[[#This Row],[Vertex]],GroupVertices[Vertex],0)),1,1,"")</f>
        <v>1</v>
      </c>
      <c r="BB230" s="45"/>
      <c r="BC230" s="46"/>
      <c r="BD230" s="45"/>
      <c r="BE230" s="46"/>
      <c r="BF230" s="45"/>
      <c r="BG230" s="46"/>
      <c r="BH230" s="45"/>
      <c r="BI230" s="46"/>
      <c r="BJ230" s="45"/>
      <c r="BK230" s="45"/>
      <c r="BL230" s="45"/>
      <c r="BM230" s="45"/>
      <c r="BN230" s="45"/>
      <c r="BO230" s="45"/>
      <c r="BP230" s="45"/>
      <c r="BQ230" s="45"/>
      <c r="BR230" s="45"/>
      <c r="BS230" s="45"/>
      <c r="BT230" s="45"/>
      <c r="BU230" s="2"/>
    </row>
    <row r="231" spans="1:73" ht="15">
      <c r="A231" s="61" t="s">
        <v>530</v>
      </c>
      <c r="B231" s="62"/>
      <c r="C231" s="62"/>
      <c r="D231" s="63">
        <v>100</v>
      </c>
      <c r="E231" s="65"/>
      <c r="F231" s="99" t="str">
        <f>HYPERLINK("https://pbs.twimg.com/profile_images/815358035505905664/snuVhCJS_normal.jpg")</f>
        <v>https://pbs.twimg.com/profile_images/815358035505905664/snuVhCJS_normal.jpg</v>
      </c>
      <c r="G231" s="62"/>
      <c r="H231" s="66" t="s">
        <v>530</v>
      </c>
      <c r="I231" s="67"/>
      <c r="J231" s="67"/>
      <c r="K231" s="66" t="s">
        <v>3073</v>
      </c>
      <c r="L231" s="70">
        <v>1</v>
      </c>
      <c r="M231" s="71">
        <v>1882.5625</v>
      </c>
      <c r="N231" s="71">
        <v>7642.05517578125</v>
      </c>
      <c r="O231" s="72"/>
      <c r="P231" s="73"/>
      <c r="Q231" s="73"/>
      <c r="R231" s="85"/>
      <c r="S231" s="45">
        <v>1</v>
      </c>
      <c r="T231" s="45">
        <v>0</v>
      </c>
      <c r="U231" s="46">
        <v>0</v>
      </c>
      <c r="V231" s="46">
        <v>0.074338</v>
      </c>
      <c r="W231" s="46">
        <v>0.019293</v>
      </c>
      <c r="X231" s="46">
        <v>0.002677</v>
      </c>
      <c r="Y231" s="46">
        <v>0</v>
      </c>
      <c r="Z231" s="46">
        <v>0</v>
      </c>
      <c r="AA231" s="68">
        <v>231</v>
      </c>
      <c r="AB231" s="68"/>
      <c r="AC231" s="69"/>
      <c r="AD231" s="75" t="s">
        <v>2065</v>
      </c>
      <c r="AE231" s="80" t="s">
        <v>2336</v>
      </c>
      <c r="AF231" s="75">
        <v>222</v>
      </c>
      <c r="AG231" s="75">
        <v>1893718</v>
      </c>
      <c r="AH231" s="75">
        <v>3935</v>
      </c>
      <c r="AI231" s="75">
        <v>42</v>
      </c>
      <c r="AJ231" s="75"/>
      <c r="AK231" s="75" t="s">
        <v>2599</v>
      </c>
      <c r="AL231" s="75"/>
      <c r="AM231" s="82" t="str">
        <f>HYPERLINK("https://t.co/mbKGgi7REm")</f>
        <v>https://t.co/mbKGgi7REm</v>
      </c>
      <c r="AN231" s="75"/>
      <c r="AO231" s="77">
        <v>42724.63890046296</v>
      </c>
      <c r="AP231" s="82" t="str">
        <f>HYPERLINK("https://pbs.twimg.com/profile_banners/811229675758505984/1637192813")</f>
        <v>https://pbs.twimg.com/profile_banners/811229675758505984/1637192813</v>
      </c>
      <c r="AQ231" s="75" t="b">
        <v>1</v>
      </c>
      <c r="AR231" s="75" t="b">
        <v>0</v>
      </c>
      <c r="AS231" s="75" t="b">
        <v>1</v>
      </c>
      <c r="AT231" s="75"/>
      <c r="AU231" s="75">
        <v>5150</v>
      </c>
      <c r="AV231" s="75"/>
      <c r="AW231" s="75" t="b">
        <v>1</v>
      </c>
      <c r="AX231" s="75" t="s">
        <v>2845</v>
      </c>
      <c r="AY231" s="82" t="str">
        <f>HYPERLINK("https://twitter.com/antonioguterres")</f>
        <v>https://twitter.com/antonioguterres</v>
      </c>
      <c r="AZ231" s="75" t="s">
        <v>65</v>
      </c>
      <c r="BA231" s="75" t="str">
        <f>REPLACE(INDEX(GroupVertices[Group],MATCH(Vertices[[#This Row],[Vertex]],GroupVertices[Vertex],0)),1,1,"")</f>
        <v>1</v>
      </c>
      <c r="BB231" s="45"/>
      <c r="BC231" s="46"/>
      <c r="BD231" s="45"/>
      <c r="BE231" s="46"/>
      <c r="BF231" s="45"/>
      <c r="BG231" s="46"/>
      <c r="BH231" s="45"/>
      <c r="BI231" s="46"/>
      <c r="BJ231" s="45"/>
      <c r="BK231" s="45"/>
      <c r="BL231" s="45"/>
      <c r="BM231" s="45"/>
      <c r="BN231" s="45"/>
      <c r="BO231" s="45"/>
      <c r="BP231" s="45"/>
      <c r="BQ231" s="45"/>
      <c r="BR231" s="45"/>
      <c r="BS231" s="45"/>
      <c r="BT231" s="45"/>
      <c r="BU231" s="2"/>
    </row>
    <row r="232" spans="1:73" ht="15">
      <c r="A232" s="61" t="s">
        <v>531</v>
      </c>
      <c r="B232" s="62"/>
      <c r="C232" s="62"/>
      <c r="D232" s="63">
        <v>100</v>
      </c>
      <c r="E232" s="65"/>
      <c r="F232" s="99" t="str">
        <f>HYPERLINK("https://pbs.twimg.com/profile_images/859982100904148992/hv5soju7_normal.jpg")</f>
        <v>https://pbs.twimg.com/profile_images/859982100904148992/hv5soju7_normal.jpg</v>
      </c>
      <c r="G232" s="62"/>
      <c r="H232" s="66" t="s">
        <v>531</v>
      </c>
      <c r="I232" s="67"/>
      <c r="J232" s="67"/>
      <c r="K232" s="66" t="s">
        <v>3074</v>
      </c>
      <c r="L232" s="70">
        <v>1</v>
      </c>
      <c r="M232" s="71">
        <v>1914.6746826171875</v>
      </c>
      <c r="N232" s="71">
        <v>7381.38525390625</v>
      </c>
      <c r="O232" s="72"/>
      <c r="P232" s="73"/>
      <c r="Q232" s="73"/>
      <c r="R232" s="85"/>
      <c r="S232" s="45">
        <v>1</v>
      </c>
      <c r="T232" s="45">
        <v>0</v>
      </c>
      <c r="U232" s="46">
        <v>0</v>
      </c>
      <c r="V232" s="46">
        <v>0.074338</v>
      </c>
      <c r="W232" s="46">
        <v>0.019293</v>
      </c>
      <c r="X232" s="46">
        <v>0.002677</v>
      </c>
      <c r="Y232" s="46">
        <v>0</v>
      </c>
      <c r="Z232" s="46">
        <v>0</v>
      </c>
      <c r="AA232" s="68">
        <v>232</v>
      </c>
      <c r="AB232" s="68"/>
      <c r="AC232" s="69"/>
      <c r="AD232" s="75" t="s">
        <v>2066</v>
      </c>
      <c r="AE232" s="80" t="s">
        <v>2337</v>
      </c>
      <c r="AF232" s="75">
        <v>37</v>
      </c>
      <c r="AG232" s="75">
        <v>32552086</v>
      </c>
      <c r="AH232" s="75">
        <v>11009</v>
      </c>
      <c r="AI232" s="75">
        <v>104</v>
      </c>
      <c r="AJ232" s="75"/>
      <c r="AK232" s="75" t="s">
        <v>2600</v>
      </c>
      <c r="AL232" s="75"/>
      <c r="AM232" s="82" t="str">
        <f>HYPERLINK("https://t.co/y2xqG9dLTS")</f>
        <v>https://t.co/y2xqG9dLTS</v>
      </c>
      <c r="AN232" s="75"/>
      <c r="AO232" s="77">
        <v>42754.95449074074</v>
      </c>
      <c r="AP232" s="82" t="str">
        <f>HYPERLINK("https://pbs.twimg.com/profile_banners/822215679726100480/1581190639")</f>
        <v>https://pbs.twimg.com/profile_banners/822215679726100480/1581190639</v>
      </c>
      <c r="AQ232" s="75" t="b">
        <v>1</v>
      </c>
      <c r="AR232" s="75" t="b">
        <v>0</v>
      </c>
      <c r="AS232" s="75" t="b">
        <v>1</v>
      </c>
      <c r="AT232" s="75"/>
      <c r="AU232" s="75">
        <v>30105</v>
      </c>
      <c r="AV232" s="75"/>
      <c r="AW232" s="75" t="b">
        <v>1</v>
      </c>
      <c r="AX232" s="75" t="s">
        <v>2845</v>
      </c>
      <c r="AY232" s="82" t="str">
        <f>HYPERLINK("https://twitter.com/potus45")</f>
        <v>https://twitter.com/potus45</v>
      </c>
      <c r="AZ232" s="75" t="s">
        <v>65</v>
      </c>
      <c r="BA232" s="75" t="str">
        <f>REPLACE(INDEX(GroupVertices[Group],MATCH(Vertices[[#This Row],[Vertex]],GroupVertices[Vertex],0)),1,1,"")</f>
        <v>1</v>
      </c>
      <c r="BB232" s="45"/>
      <c r="BC232" s="46"/>
      <c r="BD232" s="45"/>
      <c r="BE232" s="46"/>
      <c r="BF232" s="45"/>
      <c r="BG232" s="46"/>
      <c r="BH232" s="45"/>
      <c r="BI232" s="46"/>
      <c r="BJ232" s="45"/>
      <c r="BK232" s="45"/>
      <c r="BL232" s="45"/>
      <c r="BM232" s="45"/>
      <c r="BN232" s="45"/>
      <c r="BO232" s="45"/>
      <c r="BP232" s="45"/>
      <c r="BQ232" s="45"/>
      <c r="BR232" s="45"/>
      <c r="BS232" s="45"/>
      <c r="BT232" s="45"/>
      <c r="BU232" s="2"/>
    </row>
    <row r="233" spans="1:73" ht="15">
      <c r="A233" s="61" t="s">
        <v>532</v>
      </c>
      <c r="B233" s="62"/>
      <c r="C233" s="62"/>
      <c r="D233" s="63">
        <v>1000</v>
      </c>
      <c r="E233" s="65"/>
      <c r="F233" s="99" t="str">
        <f>HYPERLINK("https://pbs.twimg.com/profile_images/1547857269001359360/1445kT1g_normal.jpg")</f>
        <v>https://pbs.twimg.com/profile_images/1547857269001359360/1445kT1g_normal.jpg</v>
      </c>
      <c r="G233" s="62"/>
      <c r="H233" s="66" t="s">
        <v>532</v>
      </c>
      <c r="I233" s="67"/>
      <c r="J233" s="67"/>
      <c r="K233" s="66" t="s">
        <v>3075</v>
      </c>
      <c r="L233" s="70">
        <v>1636.1228191985629</v>
      </c>
      <c r="M233" s="71">
        <v>1128.445068359375</v>
      </c>
      <c r="N233" s="71">
        <v>6969.31396484375</v>
      </c>
      <c r="O233" s="72"/>
      <c r="P233" s="73"/>
      <c r="Q233" s="73"/>
      <c r="R233" s="85"/>
      <c r="S233" s="45">
        <v>4</v>
      </c>
      <c r="T233" s="45">
        <v>0</v>
      </c>
      <c r="U233" s="46">
        <v>735.679365</v>
      </c>
      <c r="V233" s="46">
        <v>0.1033</v>
      </c>
      <c r="W233" s="46">
        <v>0.204255</v>
      </c>
      <c r="X233" s="46">
        <v>0.002949</v>
      </c>
      <c r="Y233" s="46">
        <v>0.08333333333333333</v>
      </c>
      <c r="Z233" s="46">
        <v>0</v>
      </c>
      <c r="AA233" s="68">
        <v>233</v>
      </c>
      <c r="AB233" s="68"/>
      <c r="AC233" s="69"/>
      <c r="AD233" s="75" t="s">
        <v>2067</v>
      </c>
      <c r="AE233" s="80" t="s">
        <v>2338</v>
      </c>
      <c r="AF233" s="75">
        <v>102</v>
      </c>
      <c r="AG233" s="75">
        <v>562000</v>
      </c>
      <c r="AH233" s="75">
        <v>410</v>
      </c>
      <c r="AI233" s="75">
        <v>71</v>
      </c>
      <c r="AJ233" s="75"/>
      <c r="AK233" s="75" t="s">
        <v>2601</v>
      </c>
      <c r="AL233" s="75"/>
      <c r="AM233" s="82" t="str">
        <f>HYPERLINK("https://t.co/ApBPIDFquw")</f>
        <v>https://t.co/ApBPIDFquw</v>
      </c>
      <c r="AN233" s="75"/>
      <c r="AO233" s="77">
        <v>44595.38340277778</v>
      </c>
      <c r="AP233" s="82" t="str">
        <f>HYPERLINK("https://pbs.twimg.com/profile_banners/1489164711652466688/1658137978")</f>
        <v>https://pbs.twimg.com/profile_banners/1489164711652466688/1658137978</v>
      </c>
      <c r="AQ233" s="75" t="b">
        <v>1</v>
      </c>
      <c r="AR233" s="75" t="b">
        <v>0</v>
      </c>
      <c r="AS233" s="75" t="b">
        <v>0</v>
      </c>
      <c r="AT233" s="75"/>
      <c r="AU233" s="75">
        <v>1468</v>
      </c>
      <c r="AV233" s="75"/>
      <c r="AW233" s="75" t="b">
        <v>1</v>
      </c>
      <c r="AX233" s="75" t="s">
        <v>2845</v>
      </c>
      <c r="AY233" s="82" t="str">
        <f>HYPERLINK("https://twitter.com/bundeskanzler")</f>
        <v>https://twitter.com/bundeskanzler</v>
      </c>
      <c r="AZ233" s="75" t="s">
        <v>65</v>
      </c>
      <c r="BA233" s="75" t="str">
        <f>REPLACE(INDEX(GroupVertices[Group],MATCH(Vertices[[#This Row],[Vertex]],GroupVertices[Vertex],0)),1,1,"")</f>
        <v>1</v>
      </c>
      <c r="BB233" s="45"/>
      <c r="BC233" s="46"/>
      <c r="BD233" s="45"/>
      <c r="BE233" s="46"/>
      <c r="BF233" s="45"/>
      <c r="BG233" s="46"/>
      <c r="BH233" s="45"/>
      <c r="BI233" s="46"/>
      <c r="BJ233" s="45"/>
      <c r="BK233" s="45"/>
      <c r="BL233" s="45"/>
      <c r="BM233" s="45"/>
      <c r="BN233" s="45"/>
      <c r="BO233" s="45"/>
      <c r="BP233" s="45"/>
      <c r="BQ233" s="45"/>
      <c r="BR233" s="45"/>
      <c r="BS233" s="45"/>
      <c r="BT233" s="45"/>
      <c r="BU233" s="2"/>
    </row>
    <row r="234" spans="1:73" ht="15">
      <c r="A234" s="61" t="s">
        <v>383</v>
      </c>
      <c r="B234" s="62"/>
      <c r="C234" s="62"/>
      <c r="D234" s="63">
        <v>119.69696969696969</v>
      </c>
      <c r="E234" s="65"/>
      <c r="F234" s="99" t="str">
        <f>HYPERLINK("https://pbs.twimg.com/profile_images/1485107047813488640/cc0vZhhU_normal.jpg")</f>
        <v>https://pbs.twimg.com/profile_images/1485107047813488640/cc0vZhhU_normal.jpg</v>
      </c>
      <c r="G234" s="62"/>
      <c r="H234" s="66" t="s">
        <v>383</v>
      </c>
      <c r="I234" s="67"/>
      <c r="J234" s="67"/>
      <c r="K234" s="66" t="s">
        <v>3076</v>
      </c>
      <c r="L234" s="70">
        <v>29.893832912632146</v>
      </c>
      <c r="M234" s="71">
        <v>1370.29638671875</v>
      </c>
      <c r="N234" s="71">
        <v>6895.6396484375</v>
      </c>
      <c r="O234" s="72"/>
      <c r="P234" s="73"/>
      <c r="Q234" s="73"/>
      <c r="R234" s="85"/>
      <c r="S234" s="45">
        <v>0</v>
      </c>
      <c r="T234" s="45">
        <v>2</v>
      </c>
      <c r="U234" s="46">
        <v>13</v>
      </c>
      <c r="V234" s="46">
        <v>0.085991</v>
      </c>
      <c r="W234" s="46">
        <v>0.066894</v>
      </c>
      <c r="X234" s="46">
        <v>0.002817</v>
      </c>
      <c r="Y234" s="46">
        <v>0</v>
      </c>
      <c r="Z234" s="46">
        <v>0</v>
      </c>
      <c r="AA234" s="68">
        <v>234</v>
      </c>
      <c r="AB234" s="68"/>
      <c r="AC234" s="69"/>
      <c r="AD234" s="75" t="s">
        <v>2068</v>
      </c>
      <c r="AE234" s="80" t="s">
        <v>2339</v>
      </c>
      <c r="AF234" s="75">
        <v>115</v>
      </c>
      <c r="AG234" s="75">
        <v>200</v>
      </c>
      <c r="AH234" s="75">
        <v>2564</v>
      </c>
      <c r="AI234" s="75">
        <v>28524</v>
      </c>
      <c r="AJ234" s="75"/>
      <c r="AK234" s="75" t="s">
        <v>2602</v>
      </c>
      <c r="AL234" s="75"/>
      <c r="AM234" s="75"/>
      <c r="AN234" s="75"/>
      <c r="AO234" s="77">
        <v>42405.129375</v>
      </c>
      <c r="AP234" s="82" t="str">
        <f>HYPERLINK("https://pbs.twimg.com/profile_banners/695443300556214273/1628150708")</f>
        <v>https://pbs.twimg.com/profile_banners/695443300556214273/1628150708</v>
      </c>
      <c r="AQ234" s="75" t="b">
        <v>1</v>
      </c>
      <c r="AR234" s="75" t="b">
        <v>0</v>
      </c>
      <c r="AS234" s="75" t="b">
        <v>1</v>
      </c>
      <c r="AT234" s="75"/>
      <c r="AU234" s="75">
        <v>0</v>
      </c>
      <c r="AV234" s="75"/>
      <c r="AW234" s="75" t="b">
        <v>0</v>
      </c>
      <c r="AX234" s="75" t="s">
        <v>2845</v>
      </c>
      <c r="AY234" s="82" t="str">
        <f>HYPERLINK("https://twitter.com/milospavic_")</f>
        <v>https://twitter.com/milospavic_</v>
      </c>
      <c r="AZ234" s="75" t="s">
        <v>66</v>
      </c>
      <c r="BA234" s="75" t="str">
        <f>REPLACE(INDEX(GroupVertices[Group],MATCH(Vertices[[#This Row],[Vertex]],GroupVertices[Vertex],0)),1,1,"")</f>
        <v>1</v>
      </c>
      <c r="BB234" s="45">
        <v>0</v>
      </c>
      <c r="BC234" s="46">
        <v>0</v>
      </c>
      <c r="BD234" s="45">
        <v>0</v>
      </c>
      <c r="BE234" s="46">
        <v>0</v>
      </c>
      <c r="BF234" s="45">
        <v>0</v>
      </c>
      <c r="BG234" s="46">
        <v>0</v>
      </c>
      <c r="BH234" s="45">
        <v>21</v>
      </c>
      <c r="BI234" s="46">
        <v>100</v>
      </c>
      <c r="BJ234" s="45">
        <v>21</v>
      </c>
      <c r="BK234" s="45"/>
      <c r="BL234" s="45"/>
      <c r="BM234" s="45"/>
      <c r="BN234" s="45"/>
      <c r="BO234" s="45" t="s">
        <v>847</v>
      </c>
      <c r="BP234" s="45" t="s">
        <v>847</v>
      </c>
      <c r="BQ234" s="110" t="s">
        <v>4507</v>
      </c>
      <c r="BR234" s="110" t="s">
        <v>4507</v>
      </c>
      <c r="BS234" s="110" t="s">
        <v>4623</v>
      </c>
      <c r="BT234" s="110" t="s">
        <v>4623</v>
      </c>
      <c r="BU234" s="2"/>
    </row>
    <row r="235" spans="1:73" ht="15">
      <c r="A235" s="61" t="s">
        <v>533</v>
      </c>
      <c r="B235" s="62"/>
      <c r="C235" s="62"/>
      <c r="D235" s="63">
        <v>507.4939878787879</v>
      </c>
      <c r="E235" s="65"/>
      <c r="F235" s="99" t="str">
        <f>HYPERLINK("https://pbs.twimg.com/profile_images/1542483736230563841/hUm1icnK_normal.jpg")</f>
        <v>https://pbs.twimg.com/profile_images/1542483736230563841/hUm1icnK_normal.jpg</v>
      </c>
      <c r="G235" s="62"/>
      <c r="H235" s="66" t="s">
        <v>533</v>
      </c>
      <c r="I235" s="67"/>
      <c r="J235" s="67"/>
      <c r="K235" s="66" t="s">
        <v>3077</v>
      </c>
      <c r="L235" s="70">
        <v>598.7601316248783</v>
      </c>
      <c r="M235" s="71">
        <v>915.9481201171875</v>
      </c>
      <c r="N235" s="71">
        <v>6624.7265625</v>
      </c>
      <c r="O235" s="72"/>
      <c r="P235" s="73"/>
      <c r="Q235" s="73"/>
      <c r="R235" s="85"/>
      <c r="S235" s="45">
        <v>3</v>
      </c>
      <c r="T235" s="45">
        <v>0</v>
      </c>
      <c r="U235" s="46">
        <v>268.946032</v>
      </c>
      <c r="V235" s="46">
        <v>0.097298</v>
      </c>
      <c r="W235" s="46">
        <v>0.166109</v>
      </c>
      <c r="X235" s="46">
        <v>0.002926</v>
      </c>
      <c r="Y235" s="46">
        <v>0</v>
      </c>
      <c r="Z235" s="46">
        <v>0</v>
      </c>
      <c r="AA235" s="68">
        <v>235</v>
      </c>
      <c r="AB235" s="68"/>
      <c r="AC235" s="69"/>
      <c r="AD235" s="75" t="s">
        <v>2069</v>
      </c>
      <c r="AE235" s="80" t="s">
        <v>2340</v>
      </c>
      <c r="AF235" s="75">
        <v>1</v>
      </c>
      <c r="AG235" s="75">
        <v>63352</v>
      </c>
      <c r="AH235" s="75">
        <v>237</v>
      </c>
      <c r="AI235" s="75">
        <v>1</v>
      </c>
      <c r="AJ235" s="75"/>
      <c r="AK235" s="75" t="s">
        <v>2603</v>
      </c>
      <c r="AL235" s="75"/>
      <c r="AM235" s="82" t="str">
        <f>HYPERLINK("https://t.co/uaXyp9wLTb")</f>
        <v>https://t.co/uaXyp9wLTb</v>
      </c>
      <c r="AN235" s="75"/>
      <c r="AO235" s="77">
        <v>44742.51526620371</v>
      </c>
      <c r="AP235" s="82" t="str">
        <f>HYPERLINK("https://pbs.twimg.com/profile_banners/1542483269542940679/1661314047")</f>
        <v>https://pbs.twimg.com/profile_banners/1542483269542940679/1661314047</v>
      </c>
      <c r="AQ235" s="75" t="b">
        <v>1</v>
      </c>
      <c r="AR235" s="75" t="b">
        <v>0</v>
      </c>
      <c r="AS235" s="75" t="b">
        <v>0</v>
      </c>
      <c r="AT235" s="75"/>
      <c r="AU235" s="75">
        <v>266</v>
      </c>
      <c r="AV235" s="75"/>
      <c r="AW235" s="75" t="b">
        <v>1</v>
      </c>
      <c r="AX235" s="75" t="s">
        <v>2845</v>
      </c>
      <c r="AY235" s="82" t="str">
        <f>HYPERLINK("https://twitter.com/zelenskaua")</f>
        <v>https://twitter.com/zelenskaua</v>
      </c>
      <c r="AZ235" s="75" t="s">
        <v>65</v>
      </c>
      <c r="BA235" s="75" t="str">
        <f>REPLACE(INDEX(GroupVertices[Group],MATCH(Vertices[[#This Row],[Vertex]],GroupVertices[Vertex],0)),1,1,"")</f>
        <v>1</v>
      </c>
      <c r="BB235" s="45"/>
      <c r="BC235" s="46"/>
      <c r="BD235" s="45"/>
      <c r="BE235" s="46"/>
      <c r="BF235" s="45"/>
      <c r="BG235" s="46"/>
      <c r="BH235" s="45"/>
      <c r="BI235" s="46"/>
      <c r="BJ235" s="45"/>
      <c r="BK235" s="45"/>
      <c r="BL235" s="45"/>
      <c r="BM235" s="45"/>
      <c r="BN235" s="45"/>
      <c r="BO235" s="45"/>
      <c r="BP235" s="45"/>
      <c r="BQ235" s="45"/>
      <c r="BR235" s="45"/>
      <c r="BS235" s="45"/>
      <c r="BT235" s="45"/>
      <c r="BU235" s="2"/>
    </row>
    <row r="236" spans="1:73" ht="15">
      <c r="A236" s="61" t="s">
        <v>384</v>
      </c>
      <c r="B236" s="62"/>
      <c r="C236" s="62"/>
      <c r="D236" s="63">
        <v>100</v>
      </c>
      <c r="E236" s="65"/>
      <c r="F236" s="99" t="str">
        <f>HYPERLINK("https://pbs.twimg.com/profile_images/1568213967159312384/fJAbJ1Md_normal.png")</f>
        <v>https://pbs.twimg.com/profile_images/1568213967159312384/fJAbJ1Md_normal.png</v>
      </c>
      <c r="G236" s="62"/>
      <c r="H236" s="66" t="s">
        <v>384</v>
      </c>
      <c r="I236" s="67"/>
      <c r="J236" s="67"/>
      <c r="K236" s="66" t="s">
        <v>3078</v>
      </c>
      <c r="L236" s="70">
        <v>1</v>
      </c>
      <c r="M236" s="71">
        <v>384.1079406738281</v>
      </c>
      <c r="N236" s="71">
        <v>3108.66357421875</v>
      </c>
      <c r="O236" s="72"/>
      <c r="P236" s="73"/>
      <c r="Q236" s="73"/>
      <c r="R236" s="85"/>
      <c r="S236" s="45">
        <v>1</v>
      </c>
      <c r="T236" s="45">
        <v>1</v>
      </c>
      <c r="U236" s="46">
        <v>0</v>
      </c>
      <c r="V236" s="46">
        <v>0</v>
      </c>
      <c r="W236" s="46">
        <v>0</v>
      </c>
      <c r="X236" s="46">
        <v>0.003049</v>
      </c>
      <c r="Y236" s="46">
        <v>0</v>
      </c>
      <c r="Z236" s="46">
        <v>0</v>
      </c>
      <c r="AA236" s="68">
        <v>236</v>
      </c>
      <c r="AB236" s="68"/>
      <c r="AC236" s="69"/>
      <c r="AD236" s="75" t="s">
        <v>384</v>
      </c>
      <c r="AE236" s="80" t="s">
        <v>2341</v>
      </c>
      <c r="AF236" s="75">
        <v>2</v>
      </c>
      <c r="AG236" s="75">
        <v>0</v>
      </c>
      <c r="AH236" s="75">
        <v>9</v>
      </c>
      <c r="AI236" s="75">
        <v>0</v>
      </c>
      <c r="AJ236" s="75"/>
      <c r="AK236" s="75"/>
      <c r="AL236" s="75"/>
      <c r="AM236" s="75"/>
      <c r="AN236" s="75"/>
      <c r="AO236" s="77">
        <v>44813.517592592594</v>
      </c>
      <c r="AP236" s="75"/>
      <c r="AQ236" s="75" t="b">
        <v>1</v>
      </c>
      <c r="AR236" s="75" t="b">
        <v>0</v>
      </c>
      <c r="AS236" s="75" t="b">
        <v>0</v>
      </c>
      <c r="AT236" s="75"/>
      <c r="AU236" s="75">
        <v>0</v>
      </c>
      <c r="AV236" s="75"/>
      <c r="AW236" s="75" t="b">
        <v>0</v>
      </c>
      <c r="AX236" s="75" t="s">
        <v>2845</v>
      </c>
      <c r="AY236" s="82" t="str">
        <f>HYPERLINK("https://twitter.com/ukrainewartest")</f>
        <v>https://twitter.com/ukrainewartest</v>
      </c>
      <c r="AZ236" s="75" t="s">
        <v>66</v>
      </c>
      <c r="BA236" s="75" t="str">
        <f>REPLACE(INDEX(GroupVertices[Group],MATCH(Vertices[[#This Row],[Vertex]],GroupVertices[Vertex],0)),1,1,"")</f>
        <v>2</v>
      </c>
      <c r="BB236" s="45">
        <v>0</v>
      </c>
      <c r="BC236" s="46">
        <v>0</v>
      </c>
      <c r="BD236" s="45">
        <v>1</v>
      </c>
      <c r="BE236" s="46">
        <v>16.666666666666668</v>
      </c>
      <c r="BF236" s="45">
        <v>0</v>
      </c>
      <c r="BG236" s="46">
        <v>0</v>
      </c>
      <c r="BH236" s="45">
        <v>5</v>
      </c>
      <c r="BI236" s="46">
        <v>83.33333333333333</v>
      </c>
      <c r="BJ236" s="45">
        <v>6</v>
      </c>
      <c r="BK236" s="45"/>
      <c r="BL236" s="45"/>
      <c r="BM236" s="45"/>
      <c r="BN236" s="45"/>
      <c r="BO236" s="45" t="s">
        <v>795</v>
      </c>
      <c r="BP236" s="45" t="s">
        <v>795</v>
      </c>
      <c r="BQ236" s="110" t="s">
        <v>4508</v>
      </c>
      <c r="BR236" s="110" t="s">
        <v>4508</v>
      </c>
      <c r="BS236" s="110" t="s">
        <v>4624</v>
      </c>
      <c r="BT236" s="110" t="s">
        <v>4624</v>
      </c>
      <c r="BU236" s="2"/>
    </row>
    <row r="237" spans="1:73" ht="15">
      <c r="A237" s="61" t="s">
        <v>385</v>
      </c>
      <c r="B237" s="62"/>
      <c r="C237" s="62"/>
      <c r="D237" s="63">
        <v>109.0909090909091</v>
      </c>
      <c r="E237" s="65"/>
      <c r="F237" s="99" t="str">
        <f>HYPERLINK("https://pbs.twimg.com/profile_images/1187725201892696064/sP8FJ7CB_normal.jpg")</f>
        <v>https://pbs.twimg.com/profile_images/1187725201892696064/sP8FJ7CB_normal.jpg</v>
      </c>
      <c r="G237" s="62"/>
      <c r="H237" s="66" t="s">
        <v>385</v>
      </c>
      <c r="I237" s="67"/>
      <c r="J237" s="67"/>
      <c r="K237" s="66" t="s">
        <v>3079</v>
      </c>
      <c r="L237" s="70">
        <v>14.335615190445607</v>
      </c>
      <c r="M237" s="71">
        <v>7310.24462890625</v>
      </c>
      <c r="N237" s="71">
        <v>4438.65869140625</v>
      </c>
      <c r="O237" s="72"/>
      <c r="P237" s="73"/>
      <c r="Q237" s="73"/>
      <c r="R237" s="85"/>
      <c r="S237" s="45">
        <v>2</v>
      </c>
      <c r="T237" s="45">
        <v>3</v>
      </c>
      <c r="U237" s="46">
        <v>6</v>
      </c>
      <c r="V237" s="46">
        <v>0.009174</v>
      </c>
      <c r="W237" s="46">
        <v>0</v>
      </c>
      <c r="X237" s="46">
        <v>0.003974</v>
      </c>
      <c r="Y237" s="46">
        <v>0</v>
      </c>
      <c r="Z237" s="46">
        <v>0</v>
      </c>
      <c r="AA237" s="68">
        <v>237</v>
      </c>
      <c r="AB237" s="68"/>
      <c r="AC237" s="69"/>
      <c r="AD237" s="75" t="s">
        <v>2070</v>
      </c>
      <c r="AE237" s="80" t="s">
        <v>2342</v>
      </c>
      <c r="AF237" s="75">
        <v>4990</v>
      </c>
      <c r="AG237" s="75">
        <v>2311</v>
      </c>
      <c r="AH237" s="75">
        <v>10178</v>
      </c>
      <c r="AI237" s="75">
        <v>7974</v>
      </c>
      <c r="AJ237" s="75"/>
      <c r="AK237" s="75" t="s">
        <v>2604</v>
      </c>
      <c r="AL237" s="75" t="s">
        <v>2799</v>
      </c>
      <c r="AM237" s="75"/>
      <c r="AN237" s="75"/>
      <c r="AO237" s="77">
        <v>41650.73940972222</v>
      </c>
      <c r="AP237" s="82" t="str">
        <f>HYPERLINK("https://pbs.twimg.com/profile_banners/2275238404/1660859533")</f>
        <v>https://pbs.twimg.com/profile_banners/2275238404/1660859533</v>
      </c>
      <c r="AQ237" s="75" t="b">
        <v>1</v>
      </c>
      <c r="AR237" s="75" t="b">
        <v>0</v>
      </c>
      <c r="AS237" s="75" t="b">
        <v>0</v>
      </c>
      <c r="AT237" s="75"/>
      <c r="AU237" s="75">
        <v>2</v>
      </c>
      <c r="AV237" s="82" t="str">
        <f>HYPERLINK("https://abs.twimg.com/images/themes/theme1/bg.png")</f>
        <v>https://abs.twimg.com/images/themes/theme1/bg.png</v>
      </c>
      <c r="AW237" s="75" t="b">
        <v>0</v>
      </c>
      <c r="AX237" s="75" t="s">
        <v>2845</v>
      </c>
      <c r="AY237" s="82" t="str">
        <f>HYPERLINK("https://twitter.com/arbontemps")</f>
        <v>https://twitter.com/arbontemps</v>
      </c>
      <c r="AZ237" s="75" t="s">
        <v>66</v>
      </c>
      <c r="BA237" s="75" t="str">
        <f>REPLACE(INDEX(GroupVertices[Group],MATCH(Vertices[[#This Row],[Vertex]],GroupVertices[Vertex],0)),1,1,"")</f>
        <v>24</v>
      </c>
      <c r="BB237" s="45">
        <v>1</v>
      </c>
      <c r="BC237" s="46">
        <v>1.8518518518518519</v>
      </c>
      <c r="BD237" s="45">
        <v>1</v>
      </c>
      <c r="BE237" s="46">
        <v>1.8518518518518519</v>
      </c>
      <c r="BF237" s="45">
        <v>0</v>
      </c>
      <c r="BG237" s="46">
        <v>0</v>
      </c>
      <c r="BH237" s="45">
        <v>52</v>
      </c>
      <c r="BI237" s="46">
        <v>96.29629629629629</v>
      </c>
      <c r="BJ237" s="45">
        <v>54</v>
      </c>
      <c r="BK237" s="45" t="s">
        <v>4003</v>
      </c>
      <c r="BL237" s="45" t="s">
        <v>4003</v>
      </c>
      <c r="BM237" s="45" t="s">
        <v>783</v>
      </c>
      <c r="BN237" s="45" t="s">
        <v>783</v>
      </c>
      <c r="BO237" s="45" t="s">
        <v>795</v>
      </c>
      <c r="BP237" s="45" t="s">
        <v>795</v>
      </c>
      <c r="BQ237" s="110" t="s">
        <v>4509</v>
      </c>
      <c r="BR237" s="110" t="s">
        <v>4553</v>
      </c>
      <c r="BS237" s="110" t="s">
        <v>4625</v>
      </c>
      <c r="BT237" s="110" t="s">
        <v>4625</v>
      </c>
      <c r="BU237" s="2"/>
    </row>
    <row r="238" spans="1:73" ht="15">
      <c r="A238" s="61" t="s">
        <v>534</v>
      </c>
      <c r="B238" s="62"/>
      <c r="C238" s="62"/>
      <c r="D238" s="63">
        <v>100</v>
      </c>
      <c r="E238" s="65"/>
      <c r="F238" s="99" t="str">
        <f>HYPERLINK("https://pbs.twimg.com/profile_images/1229009268231286784/VZVBVCwG_normal.jpg")</f>
        <v>https://pbs.twimg.com/profile_images/1229009268231286784/VZVBVCwG_normal.jpg</v>
      </c>
      <c r="G238" s="62"/>
      <c r="H238" s="66" t="s">
        <v>534</v>
      </c>
      <c r="I238" s="67"/>
      <c r="J238" s="67"/>
      <c r="K238" s="66" t="s">
        <v>3080</v>
      </c>
      <c r="L238" s="70">
        <v>1</v>
      </c>
      <c r="M238" s="71">
        <v>7310.24462890625</v>
      </c>
      <c r="N238" s="71">
        <v>5111.66845703125</v>
      </c>
      <c r="O238" s="72"/>
      <c r="P238" s="73"/>
      <c r="Q238" s="73"/>
      <c r="R238" s="85"/>
      <c r="S238" s="45">
        <v>1</v>
      </c>
      <c r="T238" s="45">
        <v>0</v>
      </c>
      <c r="U238" s="46">
        <v>0</v>
      </c>
      <c r="V238" s="46">
        <v>0.005505</v>
      </c>
      <c r="W238" s="46">
        <v>0</v>
      </c>
      <c r="X238" s="46">
        <v>0.00274</v>
      </c>
      <c r="Y238" s="46">
        <v>0</v>
      </c>
      <c r="Z238" s="46">
        <v>0</v>
      </c>
      <c r="AA238" s="68">
        <v>238</v>
      </c>
      <c r="AB238" s="68"/>
      <c r="AC238" s="69"/>
      <c r="AD238" s="75" t="s">
        <v>2071</v>
      </c>
      <c r="AE238" s="80" t="s">
        <v>1729</v>
      </c>
      <c r="AF238" s="75">
        <v>221</v>
      </c>
      <c r="AG238" s="75">
        <v>13438</v>
      </c>
      <c r="AH238" s="75">
        <v>10684</v>
      </c>
      <c r="AI238" s="75">
        <v>91008</v>
      </c>
      <c r="AJ238" s="75"/>
      <c r="AK238" s="75" t="s">
        <v>2605</v>
      </c>
      <c r="AL238" s="75" t="s">
        <v>2800</v>
      </c>
      <c r="AM238" s="82" t="str">
        <f>HYPERLINK("https://t.co/hyBpn1c5bM")</f>
        <v>https://t.co/hyBpn1c5bM</v>
      </c>
      <c r="AN238" s="75"/>
      <c r="AO238" s="77">
        <v>41574.43608796296</v>
      </c>
      <c r="AP238" s="82" t="str">
        <f>HYPERLINK("https://pbs.twimg.com/profile_banners/2158616996/1643030467")</f>
        <v>https://pbs.twimg.com/profile_banners/2158616996/1643030467</v>
      </c>
      <c r="AQ238" s="75" t="b">
        <v>0</v>
      </c>
      <c r="AR238" s="75" t="b">
        <v>0</v>
      </c>
      <c r="AS238" s="75" t="b">
        <v>1</v>
      </c>
      <c r="AT238" s="75"/>
      <c r="AU238" s="75">
        <v>67</v>
      </c>
      <c r="AV238" s="82" t="str">
        <f>HYPERLINK("https://abs.twimg.com/images/themes/theme18/bg.gif")</f>
        <v>https://abs.twimg.com/images/themes/theme18/bg.gif</v>
      </c>
      <c r="AW238" s="75" t="b">
        <v>0</v>
      </c>
      <c r="AX238" s="75" t="s">
        <v>2845</v>
      </c>
      <c r="AY238" s="82" t="str">
        <f>HYPERLINK("https://twitter.com/thatdayin1992")</f>
        <v>https://twitter.com/thatdayin1992</v>
      </c>
      <c r="AZ238" s="75" t="s">
        <v>65</v>
      </c>
      <c r="BA238" s="75" t="str">
        <f>REPLACE(INDEX(GroupVertices[Group],MATCH(Vertices[[#This Row],[Vertex]],GroupVertices[Vertex],0)),1,1,"")</f>
        <v>24</v>
      </c>
      <c r="BB238" s="45"/>
      <c r="BC238" s="46"/>
      <c r="BD238" s="45"/>
      <c r="BE238" s="46"/>
      <c r="BF238" s="45"/>
      <c r="BG238" s="46"/>
      <c r="BH238" s="45"/>
      <c r="BI238" s="46"/>
      <c r="BJ238" s="45"/>
      <c r="BK238" s="45"/>
      <c r="BL238" s="45"/>
      <c r="BM238" s="45"/>
      <c r="BN238" s="45"/>
      <c r="BO238" s="45"/>
      <c r="BP238" s="45"/>
      <c r="BQ238" s="45"/>
      <c r="BR238" s="45"/>
      <c r="BS238" s="45"/>
      <c r="BT238" s="45"/>
      <c r="BU238" s="2"/>
    </row>
    <row r="239" spans="1:73" ht="15">
      <c r="A239" s="61" t="s">
        <v>535</v>
      </c>
      <c r="B239" s="62"/>
      <c r="C239" s="62"/>
      <c r="D239" s="63">
        <v>100</v>
      </c>
      <c r="E239" s="65"/>
      <c r="F239" s="99" t="str">
        <f>HYPERLINK("https://pbs.twimg.com/profile_images/1552777910104346625/eoJXaP25_normal.jpg")</f>
        <v>https://pbs.twimg.com/profile_images/1552777910104346625/eoJXaP25_normal.jpg</v>
      </c>
      <c r="G239" s="62"/>
      <c r="H239" s="66" t="s">
        <v>535</v>
      </c>
      <c r="I239" s="67"/>
      <c r="J239" s="67"/>
      <c r="K239" s="66" t="s">
        <v>3081</v>
      </c>
      <c r="L239" s="70">
        <v>1</v>
      </c>
      <c r="M239" s="71">
        <v>7151.7236328125</v>
      </c>
      <c r="N239" s="71">
        <v>5111.66845703125</v>
      </c>
      <c r="O239" s="72"/>
      <c r="P239" s="73"/>
      <c r="Q239" s="73"/>
      <c r="R239" s="85"/>
      <c r="S239" s="45">
        <v>1</v>
      </c>
      <c r="T239" s="45">
        <v>0</v>
      </c>
      <c r="U239" s="46">
        <v>0</v>
      </c>
      <c r="V239" s="46">
        <v>0.005505</v>
      </c>
      <c r="W239" s="46">
        <v>0</v>
      </c>
      <c r="X239" s="46">
        <v>0.00274</v>
      </c>
      <c r="Y239" s="46">
        <v>0</v>
      </c>
      <c r="Z239" s="46">
        <v>0</v>
      </c>
      <c r="AA239" s="68">
        <v>239</v>
      </c>
      <c r="AB239" s="68"/>
      <c r="AC239" s="69"/>
      <c r="AD239" s="75" t="s">
        <v>2072</v>
      </c>
      <c r="AE239" s="80" t="s">
        <v>1730</v>
      </c>
      <c r="AF239" s="75">
        <v>33</v>
      </c>
      <c r="AG239" s="75">
        <v>4217</v>
      </c>
      <c r="AH239" s="75">
        <v>142</v>
      </c>
      <c r="AI239" s="75">
        <v>110</v>
      </c>
      <c r="AJ239" s="75"/>
      <c r="AK239" s="75" t="s">
        <v>2606</v>
      </c>
      <c r="AL239" s="75"/>
      <c r="AM239" s="75"/>
      <c r="AN239" s="75"/>
      <c r="AO239" s="77">
        <v>44770.91372685185</v>
      </c>
      <c r="AP239" s="82" t="str">
        <f>HYPERLINK("https://pbs.twimg.com/profile_banners/1552774636181798912/1659220093")</f>
        <v>https://pbs.twimg.com/profile_banners/1552774636181798912/1659220093</v>
      </c>
      <c r="AQ239" s="75" t="b">
        <v>1</v>
      </c>
      <c r="AR239" s="75" t="b">
        <v>0</v>
      </c>
      <c r="AS239" s="75" t="b">
        <v>0</v>
      </c>
      <c r="AT239" s="75"/>
      <c r="AU239" s="75">
        <v>72</v>
      </c>
      <c r="AV239" s="75"/>
      <c r="AW239" s="75" t="b">
        <v>0</v>
      </c>
      <c r="AX239" s="75" t="s">
        <v>2845</v>
      </c>
      <c r="AY239" s="82" t="str">
        <f>HYPERLINK("https://twitter.com/pmcorchestra")</f>
        <v>https://twitter.com/pmcorchestra</v>
      </c>
      <c r="AZ239" s="75" t="s">
        <v>65</v>
      </c>
      <c r="BA239" s="75" t="str">
        <f>REPLACE(INDEX(GroupVertices[Group],MATCH(Vertices[[#This Row],[Vertex]],GroupVertices[Vertex],0)),1,1,"")</f>
        <v>24</v>
      </c>
      <c r="BB239" s="45"/>
      <c r="BC239" s="46"/>
      <c r="BD239" s="45"/>
      <c r="BE239" s="46"/>
      <c r="BF239" s="45"/>
      <c r="BG239" s="46"/>
      <c r="BH239" s="45"/>
      <c r="BI239" s="46"/>
      <c r="BJ239" s="45"/>
      <c r="BK239" s="45"/>
      <c r="BL239" s="45"/>
      <c r="BM239" s="45"/>
      <c r="BN239" s="45"/>
      <c r="BO239" s="45"/>
      <c r="BP239" s="45"/>
      <c r="BQ239" s="45"/>
      <c r="BR239" s="45"/>
      <c r="BS239" s="45"/>
      <c r="BT239" s="45"/>
      <c r="BU239" s="2"/>
    </row>
    <row r="240" spans="1:73" ht="15">
      <c r="A240" s="61" t="s">
        <v>386</v>
      </c>
      <c r="B240" s="62"/>
      <c r="C240" s="62"/>
      <c r="D240" s="63">
        <v>100</v>
      </c>
      <c r="E240" s="65"/>
      <c r="F240" s="99" t="str">
        <f>HYPERLINK("https://pbs.twimg.com/profile_images/1447642905594810372/bkCCSFRC_normal.jpg")</f>
        <v>https://pbs.twimg.com/profile_images/1447642905594810372/bkCCSFRC_normal.jpg</v>
      </c>
      <c r="G240" s="62"/>
      <c r="H240" s="66" t="s">
        <v>386</v>
      </c>
      <c r="I240" s="67"/>
      <c r="J240" s="67"/>
      <c r="K240" s="66" t="s">
        <v>3082</v>
      </c>
      <c r="L240" s="70">
        <v>1</v>
      </c>
      <c r="M240" s="71">
        <v>7151.7236328125</v>
      </c>
      <c r="N240" s="71">
        <v>4438.65869140625</v>
      </c>
      <c r="O240" s="72"/>
      <c r="P240" s="73"/>
      <c r="Q240" s="73"/>
      <c r="R240" s="85"/>
      <c r="S240" s="45">
        <v>0</v>
      </c>
      <c r="T240" s="45">
        <v>1</v>
      </c>
      <c r="U240" s="46">
        <v>0</v>
      </c>
      <c r="V240" s="46">
        <v>0.005505</v>
      </c>
      <c r="W240" s="46">
        <v>0</v>
      </c>
      <c r="X240" s="46">
        <v>0.00274</v>
      </c>
      <c r="Y240" s="46">
        <v>0</v>
      </c>
      <c r="Z240" s="46">
        <v>0</v>
      </c>
      <c r="AA240" s="68">
        <v>240</v>
      </c>
      <c r="AB240" s="68"/>
      <c r="AC240" s="69"/>
      <c r="AD240" s="75" t="s">
        <v>2073</v>
      </c>
      <c r="AE240" s="80" t="s">
        <v>2343</v>
      </c>
      <c r="AF240" s="75">
        <v>4643</v>
      </c>
      <c r="AG240" s="75">
        <v>4316</v>
      </c>
      <c r="AH240" s="75">
        <v>7886</v>
      </c>
      <c r="AI240" s="75">
        <v>61606</v>
      </c>
      <c r="AJ240" s="75"/>
      <c r="AK240" s="75" t="s">
        <v>2607</v>
      </c>
      <c r="AL240" s="75" t="s">
        <v>2801</v>
      </c>
      <c r="AM240" s="82" t="str">
        <f>HYPERLINK("https://t.co/TzcyH9u90C")</f>
        <v>https://t.co/TzcyH9u90C</v>
      </c>
      <c r="AN240" s="75"/>
      <c r="AO240" s="77">
        <v>43931.91946759259</v>
      </c>
      <c r="AP240" s="82" t="str">
        <f>HYPERLINK("https://pbs.twimg.com/profile_banners/1248733425458184198/1654373582")</f>
        <v>https://pbs.twimg.com/profile_banners/1248733425458184198/1654373582</v>
      </c>
      <c r="AQ240" s="75" t="b">
        <v>1</v>
      </c>
      <c r="AR240" s="75" t="b">
        <v>0</v>
      </c>
      <c r="AS240" s="75" t="b">
        <v>1</v>
      </c>
      <c r="AT240" s="75"/>
      <c r="AU240" s="75">
        <v>14</v>
      </c>
      <c r="AV240" s="75"/>
      <c r="AW240" s="75" t="b">
        <v>0</v>
      </c>
      <c r="AX240" s="75" t="s">
        <v>2845</v>
      </c>
      <c r="AY240" s="82" t="str">
        <f>HYPERLINK("https://twitter.com/loetitiah")</f>
        <v>https://twitter.com/loetitiah</v>
      </c>
      <c r="AZ240" s="75" t="s">
        <v>66</v>
      </c>
      <c r="BA240" s="75" t="str">
        <f>REPLACE(INDEX(GroupVertices[Group],MATCH(Vertices[[#This Row],[Vertex]],GroupVertices[Vertex],0)),1,1,"")</f>
        <v>24</v>
      </c>
      <c r="BB240" s="45">
        <v>0</v>
      </c>
      <c r="BC240" s="46">
        <v>0</v>
      </c>
      <c r="BD240" s="45">
        <v>0</v>
      </c>
      <c r="BE240" s="46">
        <v>0</v>
      </c>
      <c r="BF240" s="45">
        <v>0</v>
      </c>
      <c r="BG240" s="46">
        <v>0</v>
      </c>
      <c r="BH240" s="45">
        <v>36</v>
      </c>
      <c r="BI240" s="46">
        <v>100</v>
      </c>
      <c r="BJ240" s="45">
        <v>36</v>
      </c>
      <c r="BK240" s="45" t="s">
        <v>4003</v>
      </c>
      <c r="BL240" s="45" t="s">
        <v>4003</v>
      </c>
      <c r="BM240" s="45" t="s">
        <v>783</v>
      </c>
      <c r="BN240" s="45" t="s">
        <v>783</v>
      </c>
      <c r="BO240" s="45" t="s">
        <v>795</v>
      </c>
      <c r="BP240" s="45" t="s">
        <v>795</v>
      </c>
      <c r="BQ240" s="110" t="s">
        <v>4510</v>
      </c>
      <c r="BR240" s="110" t="s">
        <v>4510</v>
      </c>
      <c r="BS240" s="110" t="s">
        <v>4260</v>
      </c>
      <c r="BT240" s="110" t="s">
        <v>4260</v>
      </c>
      <c r="BU240" s="2"/>
    </row>
    <row r="241" spans="1:73" ht="15">
      <c r="A241" s="61" t="s">
        <v>387</v>
      </c>
      <c r="B241" s="62"/>
      <c r="C241" s="62"/>
      <c r="D241" s="63">
        <v>100</v>
      </c>
      <c r="E241" s="65"/>
      <c r="F241" s="99" t="str">
        <f>HYPERLINK("https://pbs.twimg.com/profile_images/861134597458886656/WpOQV9KZ_normal.jpg")</f>
        <v>https://pbs.twimg.com/profile_images/861134597458886656/WpOQV9KZ_normal.jpg</v>
      </c>
      <c r="G241" s="62"/>
      <c r="H241" s="66" t="s">
        <v>387</v>
      </c>
      <c r="I241" s="67"/>
      <c r="J241" s="67"/>
      <c r="K241" s="66" t="s">
        <v>3083</v>
      </c>
      <c r="L241" s="70">
        <v>1</v>
      </c>
      <c r="M241" s="71">
        <v>8718.640625</v>
      </c>
      <c r="N241" s="71">
        <v>3461.1923828125</v>
      </c>
      <c r="O241" s="72"/>
      <c r="P241" s="73"/>
      <c r="Q241" s="73"/>
      <c r="R241" s="85"/>
      <c r="S241" s="45">
        <v>2</v>
      </c>
      <c r="T241" s="45">
        <v>1</v>
      </c>
      <c r="U241" s="46">
        <v>0</v>
      </c>
      <c r="V241" s="46">
        <v>0.003058</v>
      </c>
      <c r="W241" s="46">
        <v>0</v>
      </c>
      <c r="X241" s="46">
        <v>0.003261</v>
      </c>
      <c r="Y241" s="46">
        <v>0</v>
      </c>
      <c r="Z241" s="46">
        <v>0</v>
      </c>
      <c r="AA241" s="68">
        <v>241</v>
      </c>
      <c r="AB241" s="68"/>
      <c r="AC241" s="69"/>
      <c r="AD241" s="75" t="s">
        <v>2074</v>
      </c>
      <c r="AE241" s="80" t="s">
        <v>2344</v>
      </c>
      <c r="AF241" s="75">
        <v>1851</v>
      </c>
      <c r="AG241" s="75">
        <v>1344</v>
      </c>
      <c r="AH241" s="75">
        <v>73132</v>
      </c>
      <c r="AI241" s="75">
        <v>131970</v>
      </c>
      <c r="AJ241" s="75"/>
      <c r="AK241" s="75" t="s">
        <v>2608</v>
      </c>
      <c r="AL241" s="75" t="s">
        <v>2802</v>
      </c>
      <c r="AM241" s="75"/>
      <c r="AN241" s="75"/>
      <c r="AO241" s="77">
        <v>41148.779027777775</v>
      </c>
      <c r="AP241" s="82" t="str">
        <f>HYPERLINK("https://pbs.twimg.com/profile_banners/785246875/1442656837")</f>
        <v>https://pbs.twimg.com/profile_banners/785246875/1442656837</v>
      </c>
      <c r="AQ241" s="75" t="b">
        <v>0</v>
      </c>
      <c r="AR241" s="75" t="b">
        <v>0</v>
      </c>
      <c r="AS241" s="75" t="b">
        <v>1</v>
      </c>
      <c r="AT241" s="75"/>
      <c r="AU241" s="75">
        <v>6</v>
      </c>
      <c r="AV241" s="82" t="str">
        <f>HYPERLINK("https://abs.twimg.com/images/themes/theme19/bg.gif")</f>
        <v>https://abs.twimg.com/images/themes/theme19/bg.gif</v>
      </c>
      <c r="AW241" s="75" t="b">
        <v>0</v>
      </c>
      <c r="AX241" s="75" t="s">
        <v>2845</v>
      </c>
      <c r="AY241" s="82" t="str">
        <f>HYPERLINK("https://twitter.com/finding_isobel")</f>
        <v>https://twitter.com/finding_isobel</v>
      </c>
      <c r="AZ241" s="75" t="s">
        <v>66</v>
      </c>
      <c r="BA241" s="75" t="str">
        <f>REPLACE(INDEX(GroupVertices[Group],MATCH(Vertices[[#This Row],[Vertex]],GroupVertices[Vertex],0)),1,1,"")</f>
        <v>43</v>
      </c>
      <c r="BB241" s="45">
        <v>0</v>
      </c>
      <c r="BC241" s="46">
        <v>0</v>
      </c>
      <c r="BD241" s="45">
        <v>0</v>
      </c>
      <c r="BE241" s="46">
        <v>0</v>
      </c>
      <c r="BF241" s="45">
        <v>0</v>
      </c>
      <c r="BG241" s="46">
        <v>0</v>
      </c>
      <c r="BH241" s="45">
        <v>18</v>
      </c>
      <c r="BI241" s="46">
        <v>100</v>
      </c>
      <c r="BJ241" s="45">
        <v>18</v>
      </c>
      <c r="BK241" s="45" t="s">
        <v>3965</v>
      </c>
      <c r="BL241" s="45" t="s">
        <v>3965</v>
      </c>
      <c r="BM241" s="45" t="s">
        <v>783</v>
      </c>
      <c r="BN241" s="45" t="s">
        <v>783</v>
      </c>
      <c r="BO241" s="45" t="s">
        <v>848</v>
      </c>
      <c r="BP241" s="45" t="s">
        <v>848</v>
      </c>
      <c r="BQ241" s="110" t="s">
        <v>4134</v>
      </c>
      <c r="BR241" s="110" t="s">
        <v>4134</v>
      </c>
      <c r="BS241" s="110" t="s">
        <v>4265</v>
      </c>
      <c r="BT241" s="110" t="s">
        <v>4265</v>
      </c>
      <c r="BU241" s="2"/>
    </row>
    <row r="242" spans="1:73" ht="15">
      <c r="A242" s="61" t="s">
        <v>388</v>
      </c>
      <c r="B242" s="62"/>
      <c r="C242" s="62"/>
      <c r="D242" s="63">
        <v>100</v>
      </c>
      <c r="E242" s="65"/>
      <c r="F242" s="99" t="str">
        <f>HYPERLINK("https://pbs.twimg.com/profile_images/1557478196492337155/f09Paboh_normal.jpg")</f>
        <v>https://pbs.twimg.com/profile_images/1557478196492337155/f09Paboh_normal.jpg</v>
      </c>
      <c r="G242" s="62"/>
      <c r="H242" s="66" t="s">
        <v>388</v>
      </c>
      <c r="I242" s="67"/>
      <c r="J242" s="67"/>
      <c r="K242" s="66" t="s">
        <v>3084</v>
      </c>
      <c r="L242" s="70">
        <v>1</v>
      </c>
      <c r="M242" s="71">
        <v>8718.640625</v>
      </c>
      <c r="N242" s="71">
        <v>3204.8076171875</v>
      </c>
      <c r="O242" s="72"/>
      <c r="P242" s="73"/>
      <c r="Q242" s="73"/>
      <c r="R242" s="85"/>
      <c r="S242" s="45">
        <v>0</v>
      </c>
      <c r="T242" s="45">
        <v>1</v>
      </c>
      <c r="U242" s="46">
        <v>0</v>
      </c>
      <c r="V242" s="46">
        <v>0.003058</v>
      </c>
      <c r="W242" s="46">
        <v>0</v>
      </c>
      <c r="X242" s="46">
        <v>0.002836</v>
      </c>
      <c r="Y242" s="46">
        <v>0</v>
      </c>
      <c r="Z242" s="46">
        <v>0</v>
      </c>
      <c r="AA242" s="68">
        <v>242</v>
      </c>
      <c r="AB242" s="68"/>
      <c r="AC242" s="69"/>
      <c r="AD242" s="75" t="s">
        <v>2075</v>
      </c>
      <c r="AE242" s="80" t="s">
        <v>2345</v>
      </c>
      <c r="AF242" s="75">
        <v>3684</v>
      </c>
      <c r="AG242" s="75">
        <v>3334</v>
      </c>
      <c r="AH242" s="75">
        <v>304555</v>
      </c>
      <c r="AI242" s="75">
        <v>4351</v>
      </c>
      <c r="AJ242" s="75"/>
      <c r="AK242" s="75" t="s">
        <v>2609</v>
      </c>
      <c r="AL242" s="75" t="s">
        <v>2803</v>
      </c>
      <c r="AM242" s="75"/>
      <c r="AN242" s="75"/>
      <c r="AO242" s="77">
        <v>40716.914085648146</v>
      </c>
      <c r="AP242" s="75"/>
      <c r="AQ242" s="75" t="b">
        <v>1</v>
      </c>
      <c r="AR242" s="75" t="b">
        <v>0</v>
      </c>
      <c r="AS242" s="75" t="b">
        <v>1</v>
      </c>
      <c r="AT242" s="75"/>
      <c r="AU242" s="75">
        <v>36</v>
      </c>
      <c r="AV242" s="82" t="str">
        <f>HYPERLINK("https://abs.twimg.com/images/themes/theme1/bg.png")</f>
        <v>https://abs.twimg.com/images/themes/theme1/bg.png</v>
      </c>
      <c r="AW242" s="75" t="b">
        <v>0</v>
      </c>
      <c r="AX242" s="75" t="s">
        <v>2845</v>
      </c>
      <c r="AY242" s="82" t="str">
        <f>HYPERLINK("https://twitter.com/wimwientjes")</f>
        <v>https://twitter.com/wimwientjes</v>
      </c>
      <c r="AZ242" s="75" t="s">
        <v>66</v>
      </c>
      <c r="BA242" s="75" t="str">
        <f>REPLACE(INDEX(GroupVertices[Group],MATCH(Vertices[[#This Row],[Vertex]],GroupVertices[Vertex],0)),1,1,"")</f>
        <v>43</v>
      </c>
      <c r="BB242" s="45">
        <v>0</v>
      </c>
      <c r="BC242" s="46">
        <v>0</v>
      </c>
      <c r="BD242" s="45">
        <v>0</v>
      </c>
      <c r="BE242" s="46">
        <v>0</v>
      </c>
      <c r="BF242" s="45">
        <v>0</v>
      </c>
      <c r="BG242" s="46">
        <v>0</v>
      </c>
      <c r="BH242" s="45">
        <v>18</v>
      </c>
      <c r="BI242" s="46">
        <v>100</v>
      </c>
      <c r="BJ242" s="45">
        <v>18</v>
      </c>
      <c r="BK242" s="45" t="s">
        <v>3965</v>
      </c>
      <c r="BL242" s="45" t="s">
        <v>3965</v>
      </c>
      <c r="BM242" s="45" t="s">
        <v>783</v>
      </c>
      <c r="BN242" s="45" t="s">
        <v>783</v>
      </c>
      <c r="BO242" s="45" t="s">
        <v>848</v>
      </c>
      <c r="BP242" s="45" t="s">
        <v>848</v>
      </c>
      <c r="BQ242" s="110" t="s">
        <v>4134</v>
      </c>
      <c r="BR242" s="110" t="s">
        <v>4134</v>
      </c>
      <c r="BS242" s="110" t="s">
        <v>4265</v>
      </c>
      <c r="BT242" s="110" t="s">
        <v>4265</v>
      </c>
      <c r="BU242" s="2"/>
    </row>
    <row r="243" spans="1:73" ht="15">
      <c r="A243" s="61" t="s">
        <v>389</v>
      </c>
      <c r="B243" s="62"/>
      <c r="C243" s="62"/>
      <c r="D243" s="63">
        <v>100</v>
      </c>
      <c r="E243" s="65"/>
      <c r="F243" s="99" t="str">
        <f>HYPERLINK("https://pbs.twimg.com/profile_images/1529939936199294998/OzmrD8PC_normal.jpg")</f>
        <v>https://pbs.twimg.com/profile_images/1529939936199294998/OzmrD8PC_normal.jpg</v>
      </c>
      <c r="G243" s="62"/>
      <c r="H243" s="66" t="s">
        <v>389</v>
      </c>
      <c r="I243" s="67"/>
      <c r="J243" s="67"/>
      <c r="K243" s="66" t="s">
        <v>3085</v>
      </c>
      <c r="L243" s="70">
        <v>1</v>
      </c>
      <c r="M243" s="71">
        <v>337.8777160644531</v>
      </c>
      <c r="N243" s="71">
        <v>7324.05224609375</v>
      </c>
      <c r="O243" s="72"/>
      <c r="P243" s="73"/>
      <c r="Q243" s="73"/>
      <c r="R243" s="85"/>
      <c r="S243" s="45">
        <v>0</v>
      </c>
      <c r="T243" s="45">
        <v>1</v>
      </c>
      <c r="U243" s="46">
        <v>0</v>
      </c>
      <c r="V243" s="46">
        <v>0.085759</v>
      </c>
      <c r="W243" s="46">
        <v>0.111635</v>
      </c>
      <c r="X243" s="46">
        <v>0.002654</v>
      </c>
      <c r="Y243" s="46">
        <v>0</v>
      </c>
      <c r="Z243" s="46">
        <v>0</v>
      </c>
      <c r="AA243" s="68">
        <v>243</v>
      </c>
      <c r="AB243" s="68"/>
      <c r="AC243" s="69"/>
      <c r="AD243" s="75" t="s">
        <v>2076</v>
      </c>
      <c r="AE243" s="80" t="s">
        <v>2346</v>
      </c>
      <c r="AF243" s="75">
        <v>3619</v>
      </c>
      <c r="AG243" s="75">
        <v>2552</v>
      </c>
      <c r="AH243" s="75">
        <v>94754</v>
      </c>
      <c r="AI243" s="75">
        <v>40421</v>
      </c>
      <c r="AJ243" s="75"/>
      <c r="AK243" s="75" t="s">
        <v>2610</v>
      </c>
      <c r="AL243" s="75" t="s">
        <v>2804</v>
      </c>
      <c r="AM243" s="75"/>
      <c r="AN243" s="75"/>
      <c r="AO243" s="77">
        <v>39924.14399305556</v>
      </c>
      <c r="AP243" s="82" t="str">
        <f>HYPERLINK("https://pbs.twimg.com/profile_banners/33794104/1398554753")</f>
        <v>https://pbs.twimg.com/profile_banners/33794104/1398554753</v>
      </c>
      <c r="AQ243" s="75" t="b">
        <v>0</v>
      </c>
      <c r="AR243" s="75" t="b">
        <v>0</v>
      </c>
      <c r="AS243" s="75" t="b">
        <v>0</v>
      </c>
      <c r="AT243" s="75"/>
      <c r="AU243" s="75">
        <v>45</v>
      </c>
      <c r="AV243" s="82" t="str">
        <f>HYPERLINK("https://abs.twimg.com/images/themes/theme1/bg.png")</f>
        <v>https://abs.twimg.com/images/themes/theme1/bg.png</v>
      </c>
      <c r="AW243" s="75" t="b">
        <v>0</v>
      </c>
      <c r="AX243" s="75" t="s">
        <v>2845</v>
      </c>
      <c r="AY243" s="82" t="str">
        <f>HYPERLINK("https://twitter.com/witch_d0ct0r_")</f>
        <v>https://twitter.com/witch_d0ct0r_</v>
      </c>
      <c r="AZ243" s="75" t="s">
        <v>66</v>
      </c>
      <c r="BA243" s="75" t="str">
        <f>REPLACE(INDEX(GroupVertices[Group],MATCH(Vertices[[#This Row],[Vertex]],GroupVertices[Vertex],0)),1,1,"")</f>
        <v>1</v>
      </c>
      <c r="BB243" s="45">
        <v>0</v>
      </c>
      <c r="BC243" s="46">
        <v>0</v>
      </c>
      <c r="BD243" s="45">
        <v>0</v>
      </c>
      <c r="BE243" s="46">
        <v>0</v>
      </c>
      <c r="BF243" s="45">
        <v>0</v>
      </c>
      <c r="BG243" s="46">
        <v>0</v>
      </c>
      <c r="BH243" s="45">
        <v>18</v>
      </c>
      <c r="BI243" s="46">
        <v>100</v>
      </c>
      <c r="BJ243" s="45">
        <v>18</v>
      </c>
      <c r="BK243" s="45"/>
      <c r="BL243" s="45"/>
      <c r="BM243" s="45"/>
      <c r="BN243" s="45"/>
      <c r="BO243" s="45" t="s">
        <v>849</v>
      </c>
      <c r="BP243" s="45" t="s">
        <v>849</v>
      </c>
      <c r="BQ243" s="110" t="s">
        <v>4511</v>
      </c>
      <c r="BR243" s="110" t="s">
        <v>4511</v>
      </c>
      <c r="BS243" s="110" t="s">
        <v>4626</v>
      </c>
      <c r="BT243" s="110" t="s">
        <v>4626</v>
      </c>
      <c r="BU243" s="2"/>
    </row>
    <row r="244" spans="1:73" ht="15">
      <c r="A244" s="61" t="s">
        <v>428</v>
      </c>
      <c r="B244" s="62"/>
      <c r="C244" s="62"/>
      <c r="D244" s="63">
        <v>1000</v>
      </c>
      <c r="E244" s="65"/>
      <c r="F244" s="99" t="str">
        <f>HYPERLINK("https://pbs.twimg.com/profile_images/1522304931037913088/v16u8wKz_normal.jpg")</f>
        <v>https://pbs.twimg.com/profile_images/1522304931037913088/v16u8wKz_normal.jpg</v>
      </c>
      <c r="G244" s="62"/>
      <c r="H244" s="66" t="s">
        <v>428</v>
      </c>
      <c r="I244" s="67"/>
      <c r="J244" s="67"/>
      <c r="K244" s="66" t="s">
        <v>3086</v>
      </c>
      <c r="L244" s="70">
        <v>9110.20594289353</v>
      </c>
      <c r="M244" s="71">
        <v>795.5134887695312</v>
      </c>
      <c r="N244" s="71">
        <v>7385.365234375</v>
      </c>
      <c r="O244" s="72"/>
      <c r="P244" s="73"/>
      <c r="Q244" s="73"/>
      <c r="R244" s="85"/>
      <c r="S244" s="45">
        <v>3</v>
      </c>
      <c r="T244" s="45">
        <v>21</v>
      </c>
      <c r="U244" s="46">
        <v>4098.44127</v>
      </c>
      <c r="V244" s="46">
        <v>0.117839</v>
      </c>
      <c r="W244" s="46">
        <v>0.629123</v>
      </c>
      <c r="X244" s="46">
        <v>0.009621</v>
      </c>
      <c r="Y244" s="46">
        <v>0.004329004329004329</v>
      </c>
      <c r="Z244" s="46">
        <v>0</v>
      </c>
      <c r="AA244" s="68">
        <v>244</v>
      </c>
      <c r="AB244" s="68"/>
      <c r="AC244" s="69"/>
      <c r="AD244" s="75" t="s">
        <v>2077</v>
      </c>
      <c r="AE244" s="80" t="s">
        <v>2347</v>
      </c>
      <c r="AF244" s="75">
        <v>285</v>
      </c>
      <c r="AG244" s="75">
        <v>238</v>
      </c>
      <c r="AH244" s="75">
        <v>6521</v>
      </c>
      <c r="AI244" s="75">
        <v>11509</v>
      </c>
      <c r="AJ244" s="75"/>
      <c r="AK244" s="75" t="s">
        <v>2611</v>
      </c>
      <c r="AL244" s="75" t="s">
        <v>2805</v>
      </c>
      <c r="AM244" s="75"/>
      <c r="AN244" s="75"/>
      <c r="AO244" s="77">
        <v>44330.65851851852</v>
      </c>
      <c r="AP244" s="82" t="str">
        <f>HYPERLINK("https://pbs.twimg.com/profile_banners/1393231666861285376/1644662876")</f>
        <v>https://pbs.twimg.com/profile_banners/1393231666861285376/1644662876</v>
      </c>
      <c r="AQ244" s="75" t="b">
        <v>1</v>
      </c>
      <c r="AR244" s="75" t="b">
        <v>0</v>
      </c>
      <c r="AS244" s="75" t="b">
        <v>0</v>
      </c>
      <c r="AT244" s="75"/>
      <c r="AU244" s="75">
        <v>16</v>
      </c>
      <c r="AV244" s="75"/>
      <c r="AW244" s="75" t="b">
        <v>0</v>
      </c>
      <c r="AX244" s="75" t="s">
        <v>2845</v>
      </c>
      <c r="AY244" s="82" t="str">
        <f>HYPERLINK("https://twitter.com/saresistentzia")</f>
        <v>https://twitter.com/saresistentzia</v>
      </c>
      <c r="AZ244" s="75" t="s">
        <v>66</v>
      </c>
      <c r="BA244" s="75" t="str">
        <f>REPLACE(INDEX(GroupVertices[Group],MATCH(Vertices[[#This Row],[Vertex]],GroupVertices[Vertex],0)),1,1,"")</f>
        <v>1</v>
      </c>
      <c r="BB244" s="45">
        <v>3</v>
      </c>
      <c r="BC244" s="46">
        <v>0.684931506849315</v>
      </c>
      <c r="BD244" s="45">
        <v>19</v>
      </c>
      <c r="BE244" s="46">
        <v>4.337899543378995</v>
      </c>
      <c r="BF244" s="45">
        <v>0</v>
      </c>
      <c r="BG244" s="46">
        <v>0</v>
      </c>
      <c r="BH244" s="45">
        <v>416</v>
      </c>
      <c r="BI244" s="46">
        <v>94.9771689497717</v>
      </c>
      <c r="BJ244" s="45">
        <v>438</v>
      </c>
      <c r="BK244" s="45"/>
      <c r="BL244" s="45"/>
      <c r="BM244" s="45"/>
      <c r="BN244" s="45"/>
      <c r="BO244" s="45" t="s">
        <v>4416</v>
      </c>
      <c r="BP244" s="45" t="s">
        <v>4435</v>
      </c>
      <c r="BQ244" s="110" t="s">
        <v>4512</v>
      </c>
      <c r="BR244" s="110" t="s">
        <v>4554</v>
      </c>
      <c r="BS244" s="110" t="s">
        <v>4627</v>
      </c>
      <c r="BT244" s="110" t="s">
        <v>4659</v>
      </c>
      <c r="BU244" s="2"/>
    </row>
    <row r="245" spans="1:73" ht="15">
      <c r="A245" s="61" t="s">
        <v>390</v>
      </c>
      <c r="B245" s="62"/>
      <c r="C245" s="62"/>
      <c r="D245" s="63">
        <v>100</v>
      </c>
      <c r="E245" s="65"/>
      <c r="F245" s="99" t="str">
        <f>HYPERLINK("https://pbs.twimg.com/profile_images/1570054599981031427/WIkI4FNT_normal.jpg")</f>
        <v>https://pbs.twimg.com/profile_images/1570054599981031427/WIkI4FNT_normal.jpg</v>
      </c>
      <c r="G245" s="62"/>
      <c r="H245" s="66" t="s">
        <v>390</v>
      </c>
      <c r="I245" s="67"/>
      <c r="J245" s="67"/>
      <c r="K245" s="66" t="s">
        <v>3087</v>
      </c>
      <c r="L245" s="70">
        <v>1</v>
      </c>
      <c r="M245" s="71">
        <v>9645.376953125</v>
      </c>
      <c r="N245" s="71">
        <v>4374.5625</v>
      </c>
      <c r="O245" s="72"/>
      <c r="P245" s="73"/>
      <c r="Q245" s="73"/>
      <c r="R245" s="85"/>
      <c r="S245" s="45">
        <v>0</v>
      </c>
      <c r="T245" s="45">
        <v>1</v>
      </c>
      <c r="U245" s="46">
        <v>0</v>
      </c>
      <c r="V245" s="46">
        <v>0.003058</v>
      </c>
      <c r="W245" s="46">
        <v>0</v>
      </c>
      <c r="X245" s="46">
        <v>0.003049</v>
      </c>
      <c r="Y245" s="46">
        <v>0</v>
      </c>
      <c r="Z245" s="46">
        <v>0</v>
      </c>
      <c r="AA245" s="68">
        <v>245</v>
      </c>
      <c r="AB245" s="68"/>
      <c r="AC245" s="69"/>
      <c r="AD245" s="75" t="s">
        <v>2078</v>
      </c>
      <c r="AE245" s="80" t="s">
        <v>2348</v>
      </c>
      <c r="AF245" s="75">
        <v>308</v>
      </c>
      <c r="AG245" s="75">
        <v>72</v>
      </c>
      <c r="AH245" s="75">
        <v>235</v>
      </c>
      <c r="AI245" s="75">
        <v>423</v>
      </c>
      <c r="AJ245" s="75"/>
      <c r="AK245" s="75" t="s">
        <v>2612</v>
      </c>
      <c r="AL245" s="75" t="s">
        <v>2806</v>
      </c>
      <c r="AM245" s="75"/>
      <c r="AN245" s="75"/>
      <c r="AO245" s="77">
        <v>44530.81219907408</v>
      </c>
      <c r="AP245" s="82" t="str">
        <f>HYPERLINK("https://pbs.twimg.com/profile_banners/1465764818388934662/1646915920")</f>
        <v>https://pbs.twimg.com/profile_banners/1465764818388934662/1646915920</v>
      </c>
      <c r="AQ245" s="75" t="b">
        <v>1</v>
      </c>
      <c r="AR245" s="75" t="b">
        <v>0</v>
      </c>
      <c r="AS245" s="75" t="b">
        <v>0</v>
      </c>
      <c r="AT245" s="75"/>
      <c r="AU245" s="75">
        <v>0</v>
      </c>
      <c r="AV245" s="75"/>
      <c r="AW245" s="75" t="b">
        <v>0</v>
      </c>
      <c r="AX245" s="75" t="s">
        <v>2845</v>
      </c>
      <c r="AY245" s="82" t="str">
        <f>HYPERLINK("https://twitter.com/lux_edwards")</f>
        <v>https://twitter.com/lux_edwards</v>
      </c>
      <c r="AZ245" s="75" t="s">
        <v>66</v>
      </c>
      <c r="BA245" s="75" t="str">
        <f>REPLACE(INDEX(GroupVertices[Group],MATCH(Vertices[[#This Row],[Vertex]],GroupVertices[Vertex],0)),1,1,"")</f>
        <v>42</v>
      </c>
      <c r="BB245" s="45">
        <v>0</v>
      </c>
      <c r="BC245" s="46">
        <v>0</v>
      </c>
      <c r="BD245" s="45">
        <v>0</v>
      </c>
      <c r="BE245" s="46">
        <v>0</v>
      </c>
      <c r="BF245" s="45">
        <v>0</v>
      </c>
      <c r="BG245" s="46">
        <v>0</v>
      </c>
      <c r="BH245" s="45">
        <v>2</v>
      </c>
      <c r="BI245" s="46">
        <v>100</v>
      </c>
      <c r="BJ245" s="45">
        <v>2</v>
      </c>
      <c r="BK245" s="45"/>
      <c r="BL245" s="45"/>
      <c r="BM245" s="45"/>
      <c r="BN245" s="45"/>
      <c r="BO245" s="45" t="s">
        <v>795</v>
      </c>
      <c r="BP245" s="45" t="s">
        <v>795</v>
      </c>
      <c r="BQ245" s="110" t="s">
        <v>4513</v>
      </c>
      <c r="BR245" s="110" t="s">
        <v>4513</v>
      </c>
      <c r="BS245" s="110" t="s">
        <v>4628</v>
      </c>
      <c r="BT245" s="110" t="s">
        <v>4628</v>
      </c>
      <c r="BU245" s="2"/>
    </row>
    <row r="246" spans="1:73" ht="15">
      <c r="A246" s="61" t="s">
        <v>536</v>
      </c>
      <c r="B246" s="62"/>
      <c r="C246" s="62"/>
      <c r="D246" s="63">
        <v>100</v>
      </c>
      <c r="E246" s="65"/>
      <c r="F246" s="99" t="str">
        <f>HYPERLINK("https://pbs.twimg.com/profile_images/1548235294712836096/LoWR2-pX_normal.jpg")</f>
        <v>https://pbs.twimg.com/profile_images/1548235294712836096/LoWR2-pX_normal.jpg</v>
      </c>
      <c r="G246" s="62"/>
      <c r="H246" s="66" t="s">
        <v>536</v>
      </c>
      <c r="I246" s="67"/>
      <c r="J246" s="67"/>
      <c r="K246" s="66" t="s">
        <v>3088</v>
      </c>
      <c r="L246" s="70">
        <v>1</v>
      </c>
      <c r="M246" s="71">
        <v>9645.376953125</v>
      </c>
      <c r="N246" s="71">
        <v>4662.9951171875</v>
      </c>
      <c r="O246" s="72"/>
      <c r="P246" s="73"/>
      <c r="Q246" s="73"/>
      <c r="R246" s="85"/>
      <c r="S246" s="45">
        <v>1</v>
      </c>
      <c r="T246" s="45">
        <v>0</v>
      </c>
      <c r="U246" s="46">
        <v>0</v>
      </c>
      <c r="V246" s="46">
        <v>0.003058</v>
      </c>
      <c r="W246" s="46">
        <v>0</v>
      </c>
      <c r="X246" s="46">
        <v>0.003049</v>
      </c>
      <c r="Y246" s="46">
        <v>0</v>
      </c>
      <c r="Z246" s="46">
        <v>0</v>
      </c>
      <c r="AA246" s="68">
        <v>246</v>
      </c>
      <c r="AB246" s="68"/>
      <c r="AC246" s="69"/>
      <c r="AD246" s="75" t="s">
        <v>2079</v>
      </c>
      <c r="AE246" s="80" t="s">
        <v>1731</v>
      </c>
      <c r="AF246" s="75">
        <v>303</v>
      </c>
      <c r="AG246" s="75">
        <v>1771438</v>
      </c>
      <c r="AH246" s="75">
        <v>8371</v>
      </c>
      <c r="AI246" s="75">
        <v>6098</v>
      </c>
      <c r="AJ246" s="75"/>
      <c r="AK246" s="75" t="s">
        <v>2613</v>
      </c>
      <c r="AL246" s="75" t="s">
        <v>2807</v>
      </c>
      <c r="AM246" s="82" t="str">
        <f>HYPERLINK("https://t.co/0VO1S7BuU8")</f>
        <v>https://t.co/0VO1S7BuU8</v>
      </c>
      <c r="AN246" s="75"/>
      <c r="AO246" s="77">
        <v>41461.80113425926</v>
      </c>
      <c r="AP246" s="82" t="str">
        <f>HYPERLINK("https://pbs.twimg.com/profile_banners/1573440108/1594825455")</f>
        <v>https://pbs.twimg.com/profile_banners/1573440108/1594825455</v>
      </c>
      <c r="AQ246" s="75" t="b">
        <v>1</v>
      </c>
      <c r="AR246" s="75" t="b">
        <v>0</v>
      </c>
      <c r="AS246" s="75" t="b">
        <v>1</v>
      </c>
      <c r="AT246" s="75"/>
      <c r="AU246" s="75">
        <v>483</v>
      </c>
      <c r="AV246" s="82" t="str">
        <f>HYPERLINK("https://abs.twimg.com/images/themes/theme1/bg.png")</f>
        <v>https://abs.twimg.com/images/themes/theme1/bg.png</v>
      </c>
      <c r="AW246" s="75" t="b">
        <v>1</v>
      </c>
      <c r="AX246" s="75" t="s">
        <v>2845</v>
      </c>
      <c r="AY246" s="82" t="str">
        <f>HYPERLINK("https://twitter.com/hebobiwine")</f>
        <v>https://twitter.com/hebobiwine</v>
      </c>
      <c r="AZ246" s="75" t="s">
        <v>65</v>
      </c>
      <c r="BA246" s="75" t="str">
        <f>REPLACE(INDEX(GroupVertices[Group],MATCH(Vertices[[#This Row],[Vertex]],GroupVertices[Vertex],0)),1,1,"")</f>
        <v>42</v>
      </c>
      <c r="BB246" s="45"/>
      <c r="BC246" s="46"/>
      <c r="BD246" s="45"/>
      <c r="BE246" s="46"/>
      <c r="BF246" s="45"/>
      <c r="BG246" s="46"/>
      <c r="BH246" s="45"/>
      <c r="BI246" s="46"/>
      <c r="BJ246" s="45"/>
      <c r="BK246" s="45"/>
      <c r="BL246" s="45"/>
      <c r="BM246" s="45"/>
      <c r="BN246" s="45"/>
      <c r="BO246" s="45"/>
      <c r="BP246" s="45"/>
      <c r="BQ246" s="45"/>
      <c r="BR246" s="45"/>
      <c r="BS246" s="45"/>
      <c r="BT246" s="45"/>
      <c r="BU246" s="2"/>
    </row>
    <row r="247" spans="1:73" ht="15">
      <c r="A247" s="61" t="s">
        <v>391</v>
      </c>
      <c r="B247" s="62"/>
      <c r="C247" s="62"/>
      <c r="D247" s="63">
        <v>100</v>
      </c>
      <c r="E247" s="65"/>
      <c r="F247" s="99" t="str">
        <f>HYPERLINK("https://pbs.twimg.com/profile_images/1002842182892519424/IKvzwEKx_normal.jpg")</f>
        <v>https://pbs.twimg.com/profile_images/1002842182892519424/IKvzwEKx_normal.jpg</v>
      </c>
      <c r="G247" s="62"/>
      <c r="H247" s="66" t="s">
        <v>391</v>
      </c>
      <c r="I247" s="67"/>
      <c r="J247" s="67"/>
      <c r="K247" s="66" t="s">
        <v>3089</v>
      </c>
      <c r="L247" s="70">
        <v>1</v>
      </c>
      <c r="M247" s="71">
        <v>2945.54443359375</v>
      </c>
      <c r="N247" s="71">
        <v>6730.09619140625</v>
      </c>
      <c r="O247" s="72"/>
      <c r="P247" s="73"/>
      <c r="Q247" s="73"/>
      <c r="R247" s="85"/>
      <c r="S247" s="45">
        <v>0</v>
      </c>
      <c r="T247" s="45">
        <v>1</v>
      </c>
      <c r="U247" s="46">
        <v>0</v>
      </c>
      <c r="V247" s="46">
        <v>0.071498</v>
      </c>
      <c r="W247" s="46">
        <v>0.030733</v>
      </c>
      <c r="X247" s="46">
        <v>0.002664</v>
      </c>
      <c r="Y247" s="46">
        <v>0</v>
      </c>
      <c r="Z247" s="46">
        <v>0</v>
      </c>
      <c r="AA247" s="68">
        <v>247</v>
      </c>
      <c r="AB247" s="68"/>
      <c r="AC247" s="69"/>
      <c r="AD247" s="75" t="s">
        <v>2080</v>
      </c>
      <c r="AE247" s="80" t="s">
        <v>2349</v>
      </c>
      <c r="AF247" s="75">
        <v>2117</v>
      </c>
      <c r="AG247" s="75">
        <v>1486</v>
      </c>
      <c r="AH247" s="75">
        <v>96789</v>
      </c>
      <c r="AI247" s="75">
        <v>147806</v>
      </c>
      <c r="AJ247" s="75"/>
      <c r="AK247" s="75"/>
      <c r="AL247" s="75" t="s">
        <v>2808</v>
      </c>
      <c r="AM247" s="75"/>
      <c r="AN247" s="75"/>
      <c r="AO247" s="77">
        <v>40339.634050925924</v>
      </c>
      <c r="AP247" s="82" t="str">
        <f>HYPERLINK("https://pbs.twimg.com/profile_banners/154168156/1577923991")</f>
        <v>https://pbs.twimg.com/profile_banners/154168156/1577923991</v>
      </c>
      <c r="AQ247" s="75" t="b">
        <v>1</v>
      </c>
      <c r="AR247" s="75" t="b">
        <v>0</v>
      </c>
      <c r="AS247" s="75" t="b">
        <v>1</v>
      </c>
      <c r="AT247" s="75"/>
      <c r="AU247" s="75">
        <v>4</v>
      </c>
      <c r="AV247" s="82" t="str">
        <f>HYPERLINK("https://abs.twimg.com/images/themes/theme1/bg.png")</f>
        <v>https://abs.twimg.com/images/themes/theme1/bg.png</v>
      </c>
      <c r="AW247" s="75" t="b">
        <v>0</v>
      </c>
      <c r="AX247" s="75" t="s">
        <v>2845</v>
      </c>
      <c r="AY247" s="82" t="str">
        <f>HYPERLINK("https://twitter.com/ozdenozhan2")</f>
        <v>https://twitter.com/ozdenozhan2</v>
      </c>
      <c r="AZ247" s="75" t="s">
        <v>66</v>
      </c>
      <c r="BA247" s="75" t="str">
        <f>REPLACE(INDEX(GroupVertices[Group],MATCH(Vertices[[#This Row],[Vertex]],GroupVertices[Vertex],0)),1,1,"")</f>
        <v>3</v>
      </c>
      <c r="BB247" s="45">
        <v>0</v>
      </c>
      <c r="BC247" s="46">
        <v>0</v>
      </c>
      <c r="BD247" s="45">
        <v>0</v>
      </c>
      <c r="BE247" s="46">
        <v>0</v>
      </c>
      <c r="BF247" s="45">
        <v>0</v>
      </c>
      <c r="BG247" s="46">
        <v>0</v>
      </c>
      <c r="BH247" s="45">
        <v>24</v>
      </c>
      <c r="BI247" s="46">
        <v>100</v>
      </c>
      <c r="BJ247" s="45">
        <v>24</v>
      </c>
      <c r="BK247" s="45"/>
      <c r="BL247" s="45"/>
      <c r="BM247" s="45"/>
      <c r="BN247" s="45"/>
      <c r="BO247" s="45" t="s">
        <v>4417</v>
      </c>
      <c r="BP247" s="45" t="s">
        <v>4436</v>
      </c>
      <c r="BQ247" s="110" t="s">
        <v>4514</v>
      </c>
      <c r="BR247" s="110" t="s">
        <v>4555</v>
      </c>
      <c r="BS247" s="110" t="s">
        <v>4629</v>
      </c>
      <c r="BT247" s="110" t="s">
        <v>4629</v>
      </c>
      <c r="BU247" s="2"/>
    </row>
    <row r="248" spans="1:73" ht="15">
      <c r="A248" s="61" t="s">
        <v>392</v>
      </c>
      <c r="B248" s="62"/>
      <c r="C248" s="62"/>
      <c r="D248" s="63">
        <v>100</v>
      </c>
      <c r="E248" s="65"/>
      <c r="F248" s="99" t="str">
        <f>HYPERLINK("https://pbs.twimg.com/profile_images/1496168945933557765/Xjy7a5g0_normal.jpg")</f>
        <v>https://pbs.twimg.com/profile_images/1496168945933557765/Xjy7a5g0_normal.jpg</v>
      </c>
      <c r="G248" s="62"/>
      <c r="H248" s="66" t="s">
        <v>392</v>
      </c>
      <c r="I248" s="67"/>
      <c r="J248" s="67"/>
      <c r="K248" s="66" t="s">
        <v>3090</v>
      </c>
      <c r="L248" s="70">
        <v>1</v>
      </c>
      <c r="M248" s="71">
        <v>2643.450927734375</v>
      </c>
      <c r="N248" s="71">
        <v>8660.78515625</v>
      </c>
      <c r="O248" s="72"/>
      <c r="P248" s="73"/>
      <c r="Q248" s="73"/>
      <c r="R248" s="85"/>
      <c r="S248" s="45">
        <v>0</v>
      </c>
      <c r="T248" s="45">
        <v>1</v>
      </c>
      <c r="U248" s="46">
        <v>0</v>
      </c>
      <c r="V248" s="46">
        <v>0.071498</v>
      </c>
      <c r="W248" s="46">
        <v>0.030733</v>
      </c>
      <c r="X248" s="46">
        <v>0.002664</v>
      </c>
      <c r="Y248" s="46">
        <v>0</v>
      </c>
      <c r="Z248" s="46">
        <v>0</v>
      </c>
      <c r="AA248" s="68">
        <v>248</v>
      </c>
      <c r="AB248" s="68"/>
      <c r="AC248" s="69"/>
      <c r="AD248" s="75" t="s">
        <v>2081</v>
      </c>
      <c r="AE248" s="80" t="s">
        <v>2350</v>
      </c>
      <c r="AF248" s="75">
        <v>65</v>
      </c>
      <c r="AG248" s="75">
        <v>56</v>
      </c>
      <c r="AH248" s="75">
        <v>2981</v>
      </c>
      <c r="AI248" s="75">
        <v>3865</v>
      </c>
      <c r="AJ248" s="75"/>
      <c r="AK248" s="75" t="s">
        <v>2614</v>
      </c>
      <c r="AL248" s="75"/>
      <c r="AM248" s="75"/>
      <c r="AN248" s="75"/>
      <c r="AO248" s="77">
        <v>41711.82923611111</v>
      </c>
      <c r="AP248" s="82" t="str">
        <f>HYPERLINK("https://pbs.twimg.com/profile_banners/2387776356/1645549833")</f>
        <v>https://pbs.twimg.com/profile_banners/2387776356/1645549833</v>
      </c>
      <c r="AQ248" s="75" t="b">
        <v>0</v>
      </c>
      <c r="AR248" s="75" t="b">
        <v>0</v>
      </c>
      <c r="AS248" s="75" t="b">
        <v>0</v>
      </c>
      <c r="AT248" s="75"/>
      <c r="AU248" s="75">
        <v>0</v>
      </c>
      <c r="AV248" s="82" t="str">
        <f>HYPERLINK("https://abs.twimg.com/images/themes/theme6/bg.gif")</f>
        <v>https://abs.twimg.com/images/themes/theme6/bg.gif</v>
      </c>
      <c r="AW248" s="75" t="b">
        <v>0</v>
      </c>
      <c r="AX248" s="75" t="s">
        <v>2845</v>
      </c>
      <c r="AY248" s="82" t="str">
        <f>HYPERLINK("https://twitter.com/worldofnorth")</f>
        <v>https://twitter.com/worldofnorth</v>
      </c>
      <c r="AZ248" s="75" t="s">
        <v>66</v>
      </c>
      <c r="BA248" s="75" t="str">
        <f>REPLACE(INDEX(GroupVertices[Group],MATCH(Vertices[[#This Row],[Vertex]],GroupVertices[Vertex],0)),1,1,"")</f>
        <v>3</v>
      </c>
      <c r="BB248" s="45">
        <v>0</v>
      </c>
      <c r="BC248" s="46">
        <v>0</v>
      </c>
      <c r="BD248" s="45">
        <v>0</v>
      </c>
      <c r="BE248" s="46">
        <v>0</v>
      </c>
      <c r="BF248" s="45">
        <v>0</v>
      </c>
      <c r="BG248" s="46">
        <v>0</v>
      </c>
      <c r="BH248" s="45">
        <v>7</v>
      </c>
      <c r="BI248" s="46">
        <v>100</v>
      </c>
      <c r="BJ248" s="45">
        <v>7</v>
      </c>
      <c r="BK248" s="45"/>
      <c r="BL248" s="45"/>
      <c r="BM248" s="45"/>
      <c r="BN248" s="45"/>
      <c r="BO248" s="45" t="s">
        <v>842</v>
      </c>
      <c r="BP248" s="45" t="s">
        <v>842</v>
      </c>
      <c r="BQ248" s="110" t="s">
        <v>4515</v>
      </c>
      <c r="BR248" s="110" t="s">
        <v>4515</v>
      </c>
      <c r="BS248" s="110" t="s">
        <v>4630</v>
      </c>
      <c r="BT248" s="110" t="s">
        <v>4630</v>
      </c>
      <c r="BU248" s="2"/>
    </row>
    <row r="249" spans="1:73" ht="15">
      <c r="A249" s="61" t="s">
        <v>393</v>
      </c>
      <c r="B249" s="62"/>
      <c r="C249" s="62"/>
      <c r="D249" s="63">
        <v>100</v>
      </c>
      <c r="E249" s="65"/>
      <c r="F249" s="99" t="str">
        <f>HYPERLINK("https://pbs.twimg.com/profile_images/1510773283532247050/3R4VImeK_normal.jpg")</f>
        <v>https://pbs.twimg.com/profile_images/1510773283532247050/3R4VImeK_normal.jpg</v>
      </c>
      <c r="G249" s="62"/>
      <c r="H249" s="66" t="s">
        <v>393</v>
      </c>
      <c r="I249" s="67"/>
      <c r="J249" s="67"/>
      <c r="K249" s="66" t="s">
        <v>3091</v>
      </c>
      <c r="L249" s="70">
        <v>1</v>
      </c>
      <c r="M249" s="71">
        <v>2593.5439453125</v>
      </c>
      <c r="N249" s="71">
        <v>9324.1103515625</v>
      </c>
      <c r="O249" s="72"/>
      <c r="P249" s="73"/>
      <c r="Q249" s="73"/>
      <c r="R249" s="85"/>
      <c r="S249" s="45">
        <v>0</v>
      </c>
      <c r="T249" s="45">
        <v>1</v>
      </c>
      <c r="U249" s="46">
        <v>0</v>
      </c>
      <c r="V249" s="46">
        <v>0.071498</v>
      </c>
      <c r="W249" s="46">
        <v>0.030733</v>
      </c>
      <c r="X249" s="46">
        <v>0.002664</v>
      </c>
      <c r="Y249" s="46">
        <v>0</v>
      </c>
      <c r="Z249" s="46">
        <v>0</v>
      </c>
      <c r="AA249" s="68">
        <v>249</v>
      </c>
      <c r="AB249" s="68"/>
      <c r="AC249" s="69"/>
      <c r="AD249" s="75" t="s">
        <v>2082</v>
      </c>
      <c r="AE249" s="80" t="s">
        <v>2351</v>
      </c>
      <c r="AF249" s="75">
        <v>4647</v>
      </c>
      <c r="AG249" s="75">
        <v>4187</v>
      </c>
      <c r="AH249" s="75">
        <v>85024</v>
      </c>
      <c r="AI249" s="75">
        <v>293526</v>
      </c>
      <c r="AJ249" s="75"/>
      <c r="AK249" s="75" t="s">
        <v>2615</v>
      </c>
      <c r="AL249" s="75"/>
      <c r="AM249" s="75"/>
      <c r="AN249" s="75"/>
      <c r="AO249" s="77">
        <v>43413.88859953704</v>
      </c>
      <c r="AP249" s="82" t="str">
        <f>HYPERLINK("https://pbs.twimg.com/profile_banners/1061005403109105669/1541809724")</f>
        <v>https://pbs.twimg.com/profile_banners/1061005403109105669/1541809724</v>
      </c>
      <c r="AQ249" s="75" t="b">
        <v>1</v>
      </c>
      <c r="AR249" s="75" t="b">
        <v>0</v>
      </c>
      <c r="AS249" s="75" t="b">
        <v>0</v>
      </c>
      <c r="AT249" s="75"/>
      <c r="AU249" s="75">
        <v>2</v>
      </c>
      <c r="AV249" s="75"/>
      <c r="AW249" s="75" t="b">
        <v>0</v>
      </c>
      <c r="AX249" s="75" t="s">
        <v>2845</v>
      </c>
      <c r="AY249" s="82" t="str">
        <f>HYPERLINK("https://twitter.com/1881mka1905")</f>
        <v>https://twitter.com/1881mka1905</v>
      </c>
      <c r="AZ249" s="75" t="s">
        <v>66</v>
      </c>
      <c r="BA249" s="75" t="str">
        <f>REPLACE(INDEX(GroupVertices[Group],MATCH(Vertices[[#This Row],[Vertex]],GroupVertices[Vertex],0)),1,1,"")</f>
        <v>3</v>
      </c>
      <c r="BB249" s="45">
        <v>0</v>
      </c>
      <c r="BC249" s="46">
        <v>0</v>
      </c>
      <c r="BD249" s="45">
        <v>0</v>
      </c>
      <c r="BE249" s="46">
        <v>0</v>
      </c>
      <c r="BF249" s="45">
        <v>0</v>
      </c>
      <c r="BG249" s="46">
        <v>0</v>
      </c>
      <c r="BH249" s="45">
        <v>7</v>
      </c>
      <c r="BI249" s="46">
        <v>100</v>
      </c>
      <c r="BJ249" s="45">
        <v>7</v>
      </c>
      <c r="BK249" s="45"/>
      <c r="BL249" s="45"/>
      <c r="BM249" s="45"/>
      <c r="BN249" s="45"/>
      <c r="BO249" s="45" t="s">
        <v>842</v>
      </c>
      <c r="BP249" s="45" t="s">
        <v>842</v>
      </c>
      <c r="BQ249" s="110" t="s">
        <v>4515</v>
      </c>
      <c r="BR249" s="110" t="s">
        <v>4515</v>
      </c>
      <c r="BS249" s="110" t="s">
        <v>4630</v>
      </c>
      <c r="BT249" s="110" t="s">
        <v>4630</v>
      </c>
      <c r="BU249" s="2"/>
    </row>
    <row r="250" spans="1:73" ht="15">
      <c r="A250" s="61" t="s">
        <v>394</v>
      </c>
      <c r="B250" s="62"/>
      <c r="C250" s="62"/>
      <c r="D250" s="63">
        <v>100</v>
      </c>
      <c r="E250" s="65"/>
      <c r="F250" s="99" t="str">
        <f>HYPERLINK("https://pbs.twimg.com/profile_images/1501442151917699073/vwkFRxbY_normal.jpg")</f>
        <v>https://pbs.twimg.com/profile_images/1501442151917699073/vwkFRxbY_normal.jpg</v>
      </c>
      <c r="G250" s="62"/>
      <c r="H250" s="66" t="s">
        <v>394</v>
      </c>
      <c r="I250" s="67"/>
      <c r="J250" s="67"/>
      <c r="K250" s="66" t="s">
        <v>3092</v>
      </c>
      <c r="L250" s="70">
        <v>1</v>
      </c>
      <c r="M250" s="71">
        <v>8718.640625</v>
      </c>
      <c r="N250" s="71">
        <v>2291.4375</v>
      </c>
      <c r="O250" s="72"/>
      <c r="P250" s="73"/>
      <c r="Q250" s="73"/>
      <c r="R250" s="85"/>
      <c r="S250" s="45">
        <v>2</v>
      </c>
      <c r="T250" s="45">
        <v>1</v>
      </c>
      <c r="U250" s="46">
        <v>0</v>
      </c>
      <c r="V250" s="46">
        <v>0.003058</v>
      </c>
      <c r="W250" s="46">
        <v>0</v>
      </c>
      <c r="X250" s="46">
        <v>0.003261</v>
      </c>
      <c r="Y250" s="46">
        <v>0</v>
      </c>
      <c r="Z250" s="46">
        <v>0</v>
      </c>
      <c r="AA250" s="68">
        <v>250</v>
      </c>
      <c r="AB250" s="68"/>
      <c r="AC250" s="69"/>
      <c r="AD250" s="75" t="s">
        <v>2083</v>
      </c>
      <c r="AE250" s="80" t="s">
        <v>2352</v>
      </c>
      <c r="AF250" s="75">
        <v>239</v>
      </c>
      <c r="AG250" s="75">
        <v>211</v>
      </c>
      <c r="AH250" s="75">
        <v>4552</v>
      </c>
      <c r="AI250" s="75">
        <v>1471</v>
      </c>
      <c r="AJ250" s="75"/>
      <c r="AK250" s="75" t="s">
        <v>2616</v>
      </c>
      <c r="AL250" s="75"/>
      <c r="AM250" s="82" t="str">
        <f>HYPERLINK("https://t.co/E6xA2TdOg7")</f>
        <v>https://t.co/E6xA2TdOg7</v>
      </c>
      <c r="AN250" s="75"/>
      <c r="AO250" s="77">
        <v>41330.739120370374</v>
      </c>
      <c r="AP250" s="82" t="str">
        <f>HYPERLINK("https://pbs.twimg.com/profile_banners/1219421486/1658089458")</f>
        <v>https://pbs.twimg.com/profile_banners/1219421486/1658089458</v>
      </c>
      <c r="AQ250" s="75" t="b">
        <v>0</v>
      </c>
      <c r="AR250" s="75" t="b">
        <v>0</v>
      </c>
      <c r="AS250" s="75" t="b">
        <v>1</v>
      </c>
      <c r="AT250" s="75"/>
      <c r="AU250" s="75">
        <v>4</v>
      </c>
      <c r="AV250" s="82" t="str">
        <f>HYPERLINK("https://abs.twimg.com/images/themes/theme1/bg.png")</f>
        <v>https://abs.twimg.com/images/themes/theme1/bg.png</v>
      </c>
      <c r="AW250" s="75" t="b">
        <v>0</v>
      </c>
      <c r="AX250" s="75" t="s">
        <v>2845</v>
      </c>
      <c r="AY250" s="82" t="str">
        <f>HYPERLINK("https://twitter.com/alfandioaditya1")</f>
        <v>https://twitter.com/alfandioaditya1</v>
      </c>
      <c r="AZ250" s="75" t="s">
        <v>66</v>
      </c>
      <c r="BA250" s="75" t="str">
        <f>REPLACE(INDEX(GroupVertices[Group],MATCH(Vertices[[#This Row],[Vertex]],GroupVertices[Vertex],0)),1,1,"")</f>
        <v>41</v>
      </c>
      <c r="BB250" s="45">
        <v>2</v>
      </c>
      <c r="BC250" s="46">
        <v>28.571428571428573</v>
      </c>
      <c r="BD250" s="45">
        <v>0</v>
      </c>
      <c r="BE250" s="46">
        <v>0</v>
      </c>
      <c r="BF250" s="45">
        <v>0</v>
      </c>
      <c r="BG250" s="46">
        <v>0</v>
      </c>
      <c r="BH250" s="45">
        <v>5</v>
      </c>
      <c r="BI250" s="46">
        <v>71.42857142857143</v>
      </c>
      <c r="BJ250" s="45">
        <v>7</v>
      </c>
      <c r="BK250" s="45"/>
      <c r="BL250" s="45"/>
      <c r="BM250" s="45"/>
      <c r="BN250" s="45"/>
      <c r="BO250" s="45" t="s">
        <v>851</v>
      </c>
      <c r="BP250" s="45" t="s">
        <v>851</v>
      </c>
      <c r="BQ250" s="110" t="s">
        <v>4133</v>
      </c>
      <c r="BR250" s="110" t="s">
        <v>4133</v>
      </c>
      <c r="BS250" s="110" t="s">
        <v>4264</v>
      </c>
      <c r="BT250" s="110" t="s">
        <v>4264</v>
      </c>
      <c r="BU250" s="2"/>
    </row>
    <row r="251" spans="1:73" ht="15">
      <c r="A251" s="61" t="s">
        <v>395</v>
      </c>
      <c r="B251" s="62"/>
      <c r="C251" s="62"/>
      <c r="D251" s="63">
        <v>100</v>
      </c>
      <c r="E251" s="65"/>
      <c r="F251" s="99" t="str">
        <f>HYPERLINK("https://pbs.twimg.com/profile_images/1570114087534690304/Fb5Etofh_normal.jpg")</f>
        <v>https://pbs.twimg.com/profile_images/1570114087534690304/Fb5Etofh_normal.jpg</v>
      </c>
      <c r="G251" s="62"/>
      <c r="H251" s="66" t="s">
        <v>395</v>
      </c>
      <c r="I251" s="67"/>
      <c r="J251" s="67"/>
      <c r="K251" s="66" t="s">
        <v>3093</v>
      </c>
      <c r="L251" s="70">
        <v>1</v>
      </c>
      <c r="M251" s="71">
        <v>8718.640625</v>
      </c>
      <c r="N251" s="71">
        <v>2003.0047607421875</v>
      </c>
      <c r="O251" s="72"/>
      <c r="P251" s="73"/>
      <c r="Q251" s="73"/>
      <c r="R251" s="85"/>
      <c r="S251" s="45">
        <v>0</v>
      </c>
      <c r="T251" s="45">
        <v>1</v>
      </c>
      <c r="U251" s="46">
        <v>0</v>
      </c>
      <c r="V251" s="46">
        <v>0.003058</v>
      </c>
      <c r="W251" s="46">
        <v>0</v>
      </c>
      <c r="X251" s="46">
        <v>0.002836</v>
      </c>
      <c r="Y251" s="46">
        <v>0</v>
      </c>
      <c r="Z251" s="46">
        <v>0</v>
      </c>
      <c r="AA251" s="68">
        <v>251</v>
      </c>
      <c r="AB251" s="68"/>
      <c r="AC251" s="69"/>
      <c r="AD251" s="75" t="s">
        <v>2084</v>
      </c>
      <c r="AE251" s="80" t="s">
        <v>2353</v>
      </c>
      <c r="AF251" s="75">
        <v>94</v>
      </c>
      <c r="AG251" s="75">
        <v>0</v>
      </c>
      <c r="AH251" s="75">
        <v>44</v>
      </c>
      <c r="AI251" s="75">
        <v>379</v>
      </c>
      <c r="AJ251" s="75"/>
      <c r="AK251" s="75" t="s">
        <v>2617</v>
      </c>
      <c r="AL251" s="75"/>
      <c r="AM251" s="75"/>
      <c r="AN251" s="75"/>
      <c r="AO251" s="77">
        <v>44157.843726851854</v>
      </c>
      <c r="AP251" s="82" t="str">
        <f>HYPERLINK("https://pbs.twimg.com/profile_banners/1330605593225203718/1663179928")</f>
        <v>https://pbs.twimg.com/profile_banners/1330605593225203718/1663179928</v>
      </c>
      <c r="AQ251" s="75" t="b">
        <v>1</v>
      </c>
      <c r="AR251" s="75" t="b">
        <v>0</v>
      </c>
      <c r="AS251" s="75" t="b">
        <v>0</v>
      </c>
      <c r="AT251" s="75"/>
      <c r="AU251" s="75">
        <v>0</v>
      </c>
      <c r="AV251" s="75"/>
      <c r="AW251" s="75" t="b">
        <v>0</v>
      </c>
      <c r="AX251" s="75" t="s">
        <v>2845</v>
      </c>
      <c r="AY251" s="82" t="str">
        <f>HYPERLINK("https://twitter.com/rilawolf")</f>
        <v>https://twitter.com/rilawolf</v>
      </c>
      <c r="AZ251" s="75" t="s">
        <v>66</v>
      </c>
      <c r="BA251" s="75" t="str">
        <f>REPLACE(INDEX(GroupVertices[Group],MATCH(Vertices[[#This Row],[Vertex]],GroupVertices[Vertex],0)),1,1,"")</f>
        <v>41</v>
      </c>
      <c r="BB251" s="45">
        <v>2</v>
      </c>
      <c r="BC251" s="46">
        <v>28.571428571428573</v>
      </c>
      <c r="BD251" s="45">
        <v>0</v>
      </c>
      <c r="BE251" s="46">
        <v>0</v>
      </c>
      <c r="BF251" s="45">
        <v>0</v>
      </c>
      <c r="BG251" s="46">
        <v>0</v>
      </c>
      <c r="BH251" s="45">
        <v>5</v>
      </c>
      <c r="BI251" s="46">
        <v>71.42857142857143</v>
      </c>
      <c r="BJ251" s="45">
        <v>7</v>
      </c>
      <c r="BK251" s="45"/>
      <c r="BL251" s="45"/>
      <c r="BM251" s="45"/>
      <c r="BN251" s="45"/>
      <c r="BO251" s="45" t="s">
        <v>851</v>
      </c>
      <c r="BP251" s="45" t="s">
        <v>851</v>
      </c>
      <c r="BQ251" s="110" t="s">
        <v>4133</v>
      </c>
      <c r="BR251" s="110" t="s">
        <v>4133</v>
      </c>
      <c r="BS251" s="110" t="s">
        <v>4264</v>
      </c>
      <c r="BT251" s="110" t="s">
        <v>4264</v>
      </c>
      <c r="BU251" s="2"/>
    </row>
    <row r="252" spans="1:73" ht="15">
      <c r="A252" s="61" t="s">
        <v>396</v>
      </c>
      <c r="B252" s="62"/>
      <c r="C252" s="62"/>
      <c r="D252" s="63">
        <v>1000</v>
      </c>
      <c r="E252" s="65"/>
      <c r="F252" s="99" t="str">
        <f>HYPERLINK("https://pbs.twimg.com/profile_images/1864138126/GANDALF_MSN_normal.jpg")</f>
        <v>https://pbs.twimg.com/profile_images/1864138126/GANDALF_MSN_normal.jpg</v>
      </c>
      <c r="G252" s="62"/>
      <c r="H252" s="66" t="s">
        <v>396</v>
      </c>
      <c r="I252" s="67"/>
      <c r="J252" s="67"/>
      <c r="K252" s="66" t="s">
        <v>3094</v>
      </c>
      <c r="L252" s="70">
        <v>9999</v>
      </c>
      <c r="M252" s="71">
        <v>1226.9747314453125</v>
      </c>
      <c r="N252" s="71">
        <v>6255.94091796875</v>
      </c>
      <c r="O252" s="72"/>
      <c r="P252" s="73"/>
      <c r="Q252" s="73"/>
      <c r="R252" s="85"/>
      <c r="S252" s="45">
        <v>0</v>
      </c>
      <c r="T252" s="45">
        <v>15</v>
      </c>
      <c r="U252" s="46">
        <v>4498.330159</v>
      </c>
      <c r="V252" s="46">
        <v>0.118277</v>
      </c>
      <c r="W252" s="46">
        <v>0.240097</v>
      </c>
      <c r="X252" s="46">
        <v>0.006061</v>
      </c>
      <c r="Y252" s="46">
        <v>0</v>
      </c>
      <c r="Z252" s="46">
        <v>0</v>
      </c>
      <c r="AA252" s="68">
        <v>252</v>
      </c>
      <c r="AB252" s="68"/>
      <c r="AC252" s="69"/>
      <c r="AD252" s="75" t="s">
        <v>2085</v>
      </c>
      <c r="AE252" s="80" t="s">
        <v>2354</v>
      </c>
      <c r="AF252" s="75">
        <v>86</v>
      </c>
      <c r="AG252" s="75">
        <v>13</v>
      </c>
      <c r="AH252" s="75">
        <v>740</v>
      </c>
      <c r="AI252" s="75">
        <v>72</v>
      </c>
      <c r="AJ252" s="75"/>
      <c r="AK252" s="75" t="s">
        <v>2618</v>
      </c>
      <c r="AL252" s="75"/>
      <c r="AM252" s="75"/>
      <c r="AN252" s="75"/>
      <c r="AO252" s="77">
        <v>40870.261087962965</v>
      </c>
      <c r="AP252" s="82" t="str">
        <f>HYPERLINK("https://pbs.twimg.com/profile_banners/419307884/1398583485")</f>
        <v>https://pbs.twimg.com/profile_banners/419307884/1398583485</v>
      </c>
      <c r="AQ252" s="75" t="b">
        <v>0</v>
      </c>
      <c r="AR252" s="75" t="b">
        <v>0</v>
      </c>
      <c r="AS252" s="75" t="b">
        <v>1</v>
      </c>
      <c r="AT252" s="75"/>
      <c r="AU252" s="75">
        <v>0</v>
      </c>
      <c r="AV252" s="82" t="str">
        <f>HYPERLINK("https://abs.twimg.com/images/themes/theme1/bg.png")</f>
        <v>https://abs.twimg.com/images/themes/theme1/bg.png</v>
      </c>
      <c r="AW252" s="75" t="b">
        <v>0</v>
      </c>
      <c r="AX252" s="75" t="s">
        <v>2845</v>
      </c>
      <c r="AY252" s="82" t="str">
        <f>HYPERLINK("https://twitter.com/lucadaini1")</f>
        <v>https://twitter.com/lucadaini1</v>
      </c>
      <c r="AZ252" s="75" t="s">
        <v>66</v>
      </c>
      <c r="BA252" s="75" t="str">
        <f>REPLACE(INDEX(GroupVertices[Group],MATCH(Vertices[[#This Row],[Vertex]],GroupVertices[Vertex],0)),1,1,"")</f>
        <v>1</v>
      </c>
      <c r="BB252" s="45">
        <v>5</v>
      </c>
      <c r="BC252" s="46">
        <v>2.4752475247524752</v>
      </c>
      <c r="BD252" s="45">
        <v>7</v>
      </c>
      <c r="BE252" s="46">
        <v>3.4653465346534653</v>
      </c>
      <c r="BF252" s="45">
        <v>0</v>
      </c>
      <c r="BG252" s="46">
        <v>0</v>
      </c>
      <c r="BH252" s="45">
        <v>190</v>
      </c>
      <c r="BI252" s="46">
        <v>94.05940594059406</v>
      </c>
      <c r="BJ252" s="45">
        <v>202</v>
      </c>
      <c r="BK252" s="45" t="s">
        <v>4397</v>
      </c>
      <c r="BL252" s="45" t="s">
        <v>4397</v>
      </c>
      <c r="BM252" s="45" t="s">
        <v>4404</v>
      </c>
      <c r="BN252" s="45" t="s">
        <v>4404</v>
      </c>
      <c r="BO252" s="45" t="s">
        <v>4418</v>
      </c>
      <c r="BP252" s="45" t="s">
        <v>4437</v>
      </c>
      <c r="BQ252" s="110" t="s">
        <v>4516</v>
      </c>
      <c r="BR252" s="110" t="s">
        <v>4556</v>
      </c>
      <c r="BS252" s="110" t="s">
        <v>4631</v>
      </c>
      <c r="BT252" s="110" t="s">
        <v>4660</v>
      </c>
      <c r="BU252" s="2"/>
    </row>
    <row r="253" spans="1:73" ht="15">
      <c r="A253" s="61" t="s">
        <v>537</v>
      </c>
      <c r="B253" s="62"/>
      <c r="C253" s="62"/>
      <c r="D253" s="63">
        <v>100</v>
      </c>
      <c r="E253" s="65"/>
      <c r="F253" s="99" t="str">
        <f>HYPERLINK("https://pbs.twimg.com/profile_images/1533695387344805890/26AV8vGl_normal.jpg")</f>
        <v>https://pbs.twimg.com/profile_images/1533695387344805890/26AV8vGl_normal.jpg</v>
      </c>
      <c r="G253" s="62"/>
      <c r="H253" s="66" t="s">
        <v>537</v>
      </c>
      <c r="I253" s="67"/>
      <c r="J253" s="67"/>
      <c r="K253" s="66" t="s">
        <v>3095</v>
      </c>
      <c r="L253" s="70">
        <v>1</v>
      </c>
      <c r="M253" s="71">
        <v>1227.3099365234375</v>
      </c>
      <c r="N253" s="71">
        <v>5695.470703125</v>
      </c>
      <c r="O253" s="72"/>
      <c r="P253" s="73"/>
      <c r="Q253" s="73"/>
      <c r="R253" s="85"/>
      <c r="S253" s="45">
        <v>1</v>
      </c>
      <c r="T253" s="45">
        <v>0</v>
      </c>
      <c r="U253" s="46">
        <v>0</v>
      </c>
      <c r="V253" s="46">
        <v>0.085991</v>
      </c>
      <c r="W253" s="46">
        <v>0.042604</v>
      </c>
      <c r="X253" s="46">
        <v>0.002652</v>
      </c>
      <c r="Y253" s="46">
        <v>0</v>
      </c>
      <c r="Z253" s="46">
        <v>0</v>
      </c>
      <c r="AA253" s="68">
        <v>253</v>
      </c>
      <c r="AB253" s="68"/>
      <c r="AC253" s="69"/>
      <c r="AD253" s="75" t="s">
        <v>2086</v>
      </c>
      <c r="AE253" s="80" t="s">
        <v>2355</v>
      </c>
      <c r="AF253" s="75">
        <v>242</v>
      </c>
      <c r="AG253" s="75">
        <v>2663415</v>
      </c>
      <c r="AH253" s="75">
        <v>524802</v>
      </c>
      <c r="AI253" s="75">
        <v>8254</v>
      </c>
      <c r="AJ253" s="75"/>
      <c r="AK253" s="75" t="s">
        <v>2619</v>
      </c>
      <c r="AL253" s="75" t="s">
        <v>2809</v>
      </c>
      <c r="AM253" s="82" t="str">
        <f>HYPERLINK("https://t.co/GxFUHyqdoq")</f>
        <v>https://t.co/GxFUHyqdoq</v>
      </c>
      <c r="AN253" s="75"/>
      <c r="AO253" s="77">
        <v>40837.41721064815</v>
      </c>
      <c r="AP253" s="82" t="str">
        <f>HYPERLINK("https://pbs.twimg.com/profile_banners/395218906/1609946770")</f>
        <v>https://pbs.twimg.com/profile_banners/395218906/1609946770</v>
      </c>
      <c r="AQ253" s="75" t="b">
        <v>0</v>
      </c>
      <c r="AR253" s="75" t="b">
        <v>0</v>
      </c>
      <c r="AS253" s="75" t="b">
        <v>1</v>
      </c>
      <c r="AT253" s="75"/>
      <c r="AU253" s="75">
        <v>8930</v>
      </c>
      <c r="AV253" s="82" t="str">
        <f>HYPERLINK("https://abs.twimg.com/images/themes/theme1/bg.png")</f>
        <v>https://abs.twimg.com/images/themes/theme1/bg.png</v>
      </c>
      <c r="AW253" s="75" t="b">
        <v>1</v>
      </c>
      <c r="AX253" s="75" t="s">
        <v>2845</v>
      </c>
      <c r="AY253" s="82" t="str">
        <f>HYPERLINK("https://twitter.com/corriere")</f>
        <v>https://twitter.com/corriere</v>
      </c>
      <c r="AZ253" s="75" t="s">
        <v>65</v>
      </c>
      <c r="BA253" s="75" t="str">
        <f>REPLACE(INDEX(GroupVertices[Group],MATCH(Vertices[[#This Row],[Vertex]],GroupVertices[Vertex],0)),1,1,"")</f>
        <v>1</v>
      </c>
      <c r="BB253" s="45"/>
      <c r="BC253" s="46"/>
      <c r="BD253" s="45"/>
      <c r="BE253" s="46"/>
      <c r="BF253" s="45"/>
      <c r="BG253" s="46"/>
      <c r="BH253" s="45"/>
      <c r="BI253" s="46"/>
      <c r="BJ253" s="45"/>
      <c r="BK253" s="45"/>
      <c r="BL253" s="45"/>
      <c r="BM253" s="45"/>
      <c r="BN253" s="45"/>
      <c r="BO253" s="45"/>
      <c r="BP253" s="45"/>
      <c r="BQ253" s="45"/>
      <c r="BR253" s="45"/>
      <c r="BS253" s="45"/>
      <c r="BT253" s="45"/>
      <c r="BU253" s="2"/>
    </row>
    <row r="254" spans="1:73" ht="15">
      <c r="A254" s="61" t="s">
        <v>538</v>
      </c>
      <c r="B254" s="62"/>
      <c r="C254" s="62"/>
      <c r="D254" s="63">
        <v>100</v>
      </c>
      <c r="E254" s="65"/>
      <c r="F254" s="99" t="str">
        <f>HYPERLINK("https://pbs.twimg.com/profile_images/1394507765956190209/KzTZ_r8t_normal.jpg")</f>
        <v>https://pbs.twimg.com/profile_images/1394507765956190209/KzTZ_r8t_normal.jpg</v>
      </c>
      <c r="G254" s="62"/>
      <c r="H254" s="66" t="s">
        <v>538</v>
      </c>
      <c r="I254" s="67"/>
      <c r="J254" s="67"/>
      <c r="K254" s="66" t="s">
        <v>3096</v>
      </c>
      <c r="L254" s="70">
        <v>1</v>
      </c>
      <c r="M254" s="71">
        <v>1596.4000244140625</v>
      </c>
      <c r="N254" s="71">
        <v>5965.24267578125</v>
      </c>
      <c r="O254" s="72"/>
      <c r="P254" s="73"/>
      <c r="Q254" s="73"/>
      <c r="R254" s="85"/>
      <c r="S254" s="45">
        <v>1</v>
      </c>
      <c r="T254" s="45">
        <v>0</v>
      </c>
      <c r="U254" s="46">
        <v>0</v>
      </c>
      <c r="V254" s="46">
        <v>0.085991</v>
      </c>
      <c r="W254" s="46">
        <v>0.042604</v>
      </c>
      <c r="X254" s="46">
        <v>0.002652</v>
      </c>
      <c r="Y254" s="46">
        <v>0</v>
      </c>
      <c r="Z254" s="46">
        <v>0</v>
      </c>
      <c r="AA254" s="68">
        <v>254</v>
      </c>
      <c r="AB254" s="68"/>
      <c r="AC254" s="69"/>
      <c r="AD254" s="75" t="s">
        <v>2087</v>
      </c>
      <c r="AE254" s="80" t="s">
        <v>2356</v>
      </c>
      <c r="AF254" s="75">
        <v>403</v>
      </c>
      <c r="AG254" s="75">
        <v>1327220</v>
      </c>
      <c r="AH254" s="75">
        <v>552538</v>
      </c>
      <c r="AI254" s="75">
        <v>2287</v>
      </c>
      <c r="AJ254" s="75"/>
      <c r="AK254" s="75" t="s">
        <v>2620</v>
      </c>
      <c r="AL254" s="75" t="s">
        <v>2810</v>
      </c>
      <c r="AM254" s="82" t="str">
        <f>HYPERLINK("https://t.co/sZ2XjjYUhy")</f>
        <v>https://t.co/sZ2XjjYUhy</v>
      </c>
      <c r="AN254" s="75"/>
      <c r="AO254" s="77">
        <v>39910.39679398148</v>
      </c>
      <c r="AP254" s="82" t="str">
        <f>HYPERLINK("https://pbs.twimg.com/profile_banners/29416653/1516478172")</f>
        <v>https://pbs.twimg.com/profile_banners/29416653/1516478172</v>
      </c>
      <c r="AQ254" s="75" t="b">
        <v>0</v>
      </c>
      <c r="AR254" s="75" t="b">
        <v>0</v>
      </c>
      <c r="AS254" s="75" t="b">
        <v>1</v>
      </c>
      <c r="AT254" s="75"/>
      <c r="AU254" s="75">
        <v>7090</v>
      </c>
      <c r="AV254" s="82" t="str">
        <f>HYPERLINK("https://abs.twimg.com/images/themes/theme1/bg.png")</f>
        <v>https://abs.twimg.com/images/themes/theme1/bg.png</v>
      </c>
      <c r="AW254" s="75" t="b">
        <v>1</v>
      </c>
      <c r="AX254" s="75" t="s">
        <v>2845</v>
      </c>
      <c r="AY254" s="82" t="str">
        <f>HYPERLINK("https://twitter.com/lastampa")</f>
        <v>https://twitter.com/lastampa</v>
      </c>
      <c r="AZ254" s="75" t="s">
        <v>65</v>
      </c>
      <c r="BA254" s="75" t="str">
        <f>REPLACE(INDEX(GroupVertices[Group],MATCH(Vertices[[#This Row],[Vertex]],GroupVertices[Vertex],0)),1,1,"")</f>
        <v>1</v>
      </c>
      <c r="BB254" s="45"/>
      <c r="BC254" s="46"/>
      <c r="BD254" s="45"/>
      <c r="BE254" s="46"/>
      <c r="BF254" s="45"/>
      <c r="BG254" s="46"/>
      <c r="BH254" s="45"/>
      <c r="BI254" s="46"/>
      <c r="BJ254" s="45"/>
      <c r="BK254" s="45"/>
      <c r="BL254" s="45"/>
      <c r="BM254" s="45"/>
      <c r="BN254" s="45"/>
      <c r="BO254" s="45"/>
      <c r="BP254" s="45"/>
      <c r="BQ254" s="45"/>
      <c r="BR254" s="45"/>
      <c r="BS254" s="45"/>
      <c r="BT254" s="45"/>
      <c r="BU254" s="2"/>
    </row>
    <row r="255" spans="1:73" ht="15">
      <c r="A255" s="61" t="s">
        <v>539</v>
      </c>
      <c r="B255" s="62"/>
      <c r="C255" s="62"/>
      <c r="D255" s="63">
        <v>100</v>
      </c>
      <c r="E255" s="65"/>
      <c r="F255" s="99" t="str">
        <f>HYPERLINK("https://pbs.twimg.com/profile_images/1394416762377154561/QPLFhoVe_normal.jpg")</f>
        <v>https://pbs.twimg.com/profile_images/1394416762377154561/QPLFhoVe_normal.jpg</v>
      </c>
      <c r="G255" s="62"/>
      <c r="H255" s="66" t="s">
        <v>539</v>
      </c>
      <c r="I255" s="67"/>
      <c r="J255" s="67"/>
      <c r="K255" s="66" t="s">
        <v>3097</v>
      </c>
      <c r="L255" s="70">
        <v>1</v>
      </c>
      <c r="M255" s="71">
        <v>1383.0709228515625</v>
      </c>
      <c r="N255" s="71">
        <v>5703.3525390625</v>
      </c>
      <c r="O255" s="72"/>
      <c r="P255" s="73"/>
      <c r="Q255" s="73"/>
      <c r="R255" s="85"/>
      <c r="S255" s="45">
        <v>1</v>
      </c>
      <c r="T255" s="45">
        <v>0</v>
      </c>
      <c r="U255" s="46">
        <v>0</v>
      </c>
      <c r="V255" s="46">
        <v>0.085991</v>
      </c>
      <c r="W255" s="46">
        <v>0.042604</v>
      </c>
      <c r="X255" s="46">
        <v>0.002652</v>
      </c>
      <c r="Y255" s="46">
        <v>0</v>
      </c>
      <c r="Z255" s="46">
        <v>0</v>
      </c>
      <c r="AA255" s="68">
        <v>255</v>
      </c>
      <c r="AB255" s="68"/>
      <c r="AC255" s="69"/>
      <c r="AD255" s="75" t="s">
        <v>2088</v>
      </c>
      <c r="AE255" s="80" t="s">
        <v>1732</v>
      </c>
      <c r="AF255" s="75">
        <v>404</v>
      </c>
      <c r="AG255" s="75">
        <v>3465615</v>
      </c>
      <c r="AH255" s="75">
        <v>960753</v>
      </c>
      <c r="AI255" s="75">
        <v>459</v>
      </c>
      <c r="AJ255" s="75"/>
      <c r="AK255" s="75" t="s">
        <v>2621</v>
      </c>
      <c r="AL255" s="75" t="s">
        <v>2811</v>
      </c>
      <c r="AM255" s="82" t="str">
        <f>HYPERLINK("https://t.co/kCxoOAdZbi")</f>
        <v>https://t.co/kCxoOAdZbi</v>
      </c>
      <c r="AN255" s="75"/>
      <c r="AO255" s="77">
        <v>39826.49061342593</v>
      </c>
      <c r="AP255" s="82" t="str">
        <f>HYPERLINK("https://pbs.twimg.com/profile_banners/18935802/1625772119")</f>
        <v>https://pbs.twimg.com/profile_banners/18935802/1625772119</v>
      </c>
      <c r="AQ255" s="75" t="b">
        <v>0</v>
      </c>
      <c r="AR255" s="75" t="b">
        <v>0</v>
      </c>
      <c r="AS255" s="75" t="b">
        <v>1</v>
      </c>
      <c r="AT255" s="75"/>
      <c r="AU255" s="75">
        <v>12846</v>
      </c>
      <c r="AV255" s="82" t="str">
        <f>HYPERLINK("https://abs.twimg.com/images/themes/theme1/bg.png")</f>
        <v>https://abs.twimg.com/images/themes/theme1/bg.png</v>
      </c>
      <c r="AW255" s="75" t="b">
        <v>1</v>
      </c>
      <c r="AX255" s="75" t="s">
        <v>2845</v>
      </c>
      <c r="AY255" s="82" t="str">
        <f>HYPERLINK("https://twitter.com/repubblica")</f>
        <v>https://twitter.com/repubblica</v>
      </c>
      <c r="AZ255" s="75" t="s">
        <v>65</v>
      </c>
      <c r="BA255" s="75" t="str">
        <f>REPLACE(INDEX(GroupVertices[Group],MATCH(Vertices[[#This Row],[Vertex]],GroupVertices[Vertex],0)),1,1,"")</f>
        <v>1</v>
      </c>
      <c r="BB255" s="45"/>
      <c r="BC255" s="46"/>
      <c r="BD255" s="45"/>
      <c r="BE255" s="46"/>
      <c r="BF255" s="45"/>
      <c r="BG255" s="46"/>
      <c r="BH255" s="45"/>
      <c r="BI255" s="46"/>
      <c r="BJ255" s="45"/>
      <c r="BK255" s="45"/>
      <c r="BL255" s="45"/>
      <c r="BM255" s="45"/>
      <c r="BN255" s="45"/>
      <c r="BO255" s="45"/>
      <c r="BP255" s="45"/>
      <c r="BQ255" s="45"/>
      <c r="BR255" s="45"/>
      <c r="BS255" s="45"/>
      <c r="BT255" s="45"/>
      <c r="BU255" s="2"/>
    </row>
    <row r="256" spans="1:73" ht="15">
      <c r="A256" s="61" t="s">
        <v>540</v>
      </c>
      <c r="B256" s="62"/>
      <c r="C256" s="62"/>
      <c r="D256" s="63">
        <v>100</v>
      </c>
      <c r="E256" s="65"/>
      <c r="F256" s="99" t="str">
        <f>HYPERLINK("https://pbs.twimg.com/profile_images/1500170386520129536/Rr2G6A-N_normal.jpg")</f>
        <v>https://pbs.twimg.com/profile_images/1500170386520129536/Rr2G6A-N_normal.jpg</v>
      </c>
      <c r="G256" s="62"/>
      <c r="H256" s="66" t="s">
        <v>540</v>
      </c>
      <c r="I256" s="67"/>
      <c r="J256" s="67"/>
      <c r="K256" s="66" t="s">
        <v>3098</v>
      </c>
      <c r="L256" s="70">
        <v>1</v>
      </c>
      <c r="M256" s="71">
        <v>970.15283203125</v>
      </c>
      <c r="N256" s="71">
        <v>5639.65478515625</v>
      </c>
      <c r="O256" s="72"/>
      <c r="P256" s="73"/>
      <c r="Q256" s="73"/>
      <c r="R256" s="85"/>
      <c r="S256" s="45">
        <v>1</v>
      </c>
      <c r="T256" s="45">
        <v>0</v>
      </c>
      <c r="U256" s="46">
        <v>0</v>
      </c>
      <c r="V256" s="46">
        <v>0.085991</v>
      </c>
      <c r="W256" s="46">
        <v>0.042604</v>
      </c>
      <c r="X256" s="46">
        <v>0.002652</v>
      </c>
      <c r="Y256" s="46">
        <v>0</v>
      </c>
      <c r="Z256" s="46">
        <v>0</v>
      </c>
      <c r="AA256" s="68">
        <v>256</v>
      </c>
      <c r="AB256" s="68"/>
      <c r="AC256" s="69"/>
      <c r="AD256" s="75" t="s">
        <v>2089</v>
      </c>
      <c r="AE256" s="80" t="s">
        <v>2357</v>
      </c>
      <c r="AF256" s="75">
        <v>463</v>
      </c>
      <c r="AG256" s="75">
        <v>4670381</v>
      </c>
      <c r="AH256" s="75">
        <v>5991</v>
      </c>
      <c r="AI256" s="75">
        <v>567</v>
      </c>
      <c r="AJ256" s="75"/>
      <c r="AK256" s="75" t="s">
        <v>2622</v>
      </c>
      <c r="AL256" s="75" t="s">
        <v>2812</v>
      </c>
      <c r="AM256" s="82" t="str">
        <f>HYPERLINK("https://t.co/3uTkWVKX4e")</f>
        <v>https://t.co/3uTkWVKX4e</v>
      </c>
      <c r="AN256" s="75"/>
      <c r="AO256" s="77">
        <v>42095.84431712963</v>
      </c>
      <c r="AP256" s="82" t="str">
        <f>HYPERLINK("https://pbs.twimg.com/profile_banners/3131144855/1654603283")</f>
        <v>https://pbs.twimg.com/profile_banners/3131144855/1654603283</v>
      </c>
      <c r="AQ256" s="75" t="b">
        <v>0</v>
      </c>
      <c r="AR256" s="75" t="b">
        <v>0</v>
      </c>
      <c r="AS256" s="75" t="b">
        <v>1</v>
      </c>
      <c r="AT256" s="75"/>
      <c r="AU256" s="75">
        <v>10610</v>
      </c>
      <c r="AV256" s="82" t="str">
        <f>HYPERLINK("https://abs.twimg.com/images/themes/theme1/bg.png")</f>
        <v>https://abs.twimg.com/images/themes/theme1/bg.png</v>
      </c>
      <c r="AW256" s="75" t="b">
        <v>1</v>
      </c>
      <c r="AX256" s="75" t="s">
        <v>2845</v>
      </c>
      <c r="AY256" s="82" t="str">
        <f>HYPERLINK("https://twitter.com/borisjohnson")</f>
        <v>https://twitter.com/borisjohnson</v>
      </c>
      <c r="AZ256" s="75" t="s">
        <v>65</v>
      </c>
      <c r="BA256" s="75" t="str">
        <f>REPLACE(INDEX(GroupVertices[Group],MATCH(Vertices[[#This Row],[Vertex]],GroupVertices[Vertex],0)),1,1,"")</f>
        <v>1</v>
      </c>
      <c r="BB256" s="45"/>
      <c r="BC256" s="46"/>
      <c r="BD256" s="45"/>
      <c r="BE256" s="46"/>
      <c r="BF256" s="45"/>
      <c r="BG256" s="46"/>
      <c r="BH256" s="45"/>
      <c r="BI256" s="46"/>
      <c r="BJ256" s="45"/>
      <c r="BK256" s="45"/>
      <c r="BL256" s="45"/>
      <c r="BM256" s="45"/>
      <c r="BN256" s="45"/>
      <c r="BO256" s="45"/>
      <c r="BP256" s="45"/>
      <c r="BQ256" s="45"/>
      <c r="BR256" s="45"/>
      <c r="BS256" s="45"/>
      <c r="BT256" s="45"/>
      <c r="BU256" s="2"/>
    </row>
    <row r="257" spans="1:73" ht="15">
      <c r="A257" s="61" t="s">
        <v>541</v>
      </c>
      <c r="B257" s="62"/>
      <c r="C257" s="62"/>
      <c r="D257" s="63">
        <v>100</v>
      </c>
      <c r="E257" s="65"/>
      <c r="F257" s="99" t="str">
        <f>HYPERLINK("https://pbs.twimg.com/profile_images/840208934975725568/uj3UaIMK_normal.jpg")</f>
        <v>https://pbs.twimg.com/profile_images/840208934975725568/uj3UaIMK_normal.jpg</v>
      </c>
      <c r="G257" s="62"/>
      <c r="H257" s="66" t="s">
        <v>541</v>
      </c>
      <c r="I257" s="67"/>
      <c r="J257" s="67"/>
      <c r="K257" s="66" t="s">
        <v>3099</v>
      </c>
      <c r="L257" s="70">
        <v>1</v>
      </c>
      <c r="M257" s="71">
        <v>1501.7254638671875</v>
      </c>
      <c r="N257" s="71">
        <v>5815.2177734375</v>
      </c>
      <c r="O257" s="72"/>
      <c r="P257" s="73"/>
      <c r="Q257" s="73"/>
      <c r="R257" s="85"/>
      <c r="S257" s="45">
        <v>1</v>
      </c>
      <c r="T257" s="45">
        <v>0</v>
      </c>
      <c r="U257" s="46">
        <v>0</v>
      </c>
      <c r="V257" s="46">
        <v>0.085991</v>
      </c>
      <c r="W257" s="46">
        <v>0.042604</v>
      </c>
      <c r="X257" s="46">
        <v>0.002652</v>
      </c>
      <c r="Y257" s="46">
        <v>0</v>
      </c>
      <c r="Z257" s="46">
        <v>0</v>
      </c>
      <c r="AA257" s="68">
        <v>257</v>
      </c>
      <c r="AB257" s="68"/>
      <c r="AC257" s="69"/>
      <c r="AD257" s="75" t="s">
        <v>2090</v>
      </c>
      <c r="AE257" s="80" t="s">
        <v>2358</v>
      </c>
      <c r="AF257" s="75">
        <v>1816</v>
      </c>
      <c r="AG257" s="75">
        <v>921514</v>
      </c>
      <c r="AH257" s="75">
        <v>8777</v>
      </c>
      <c r="AI257" s="75">
        <v>12</v>
      </c>
      <c r="AJ257" s="75"/>
      <c r="AK257" s="75" t="s">
        <v>2623</v>
      </c>
      <c r="AL257" s="75"/>
      <c r="AM257" s="82" t="str">
        <f>HYPERLINK("https://t.co/NaVu0ZwP8F")</f>
        <v>https://t.co/NaVu0ZwP8F</v>
      </c>
      <c r="AN257" s="75"/>
      <c r="AO257" s="77">
        <v>41235.39840277778</v>
      </c>
      <c r="AP257" s="82" t="str">
        <f>HYPERLINK("https://pbs.twimg.com/profile_banners/963938472/1648802385")</f>
        <v>https://pbs.twimg.com/profile_banners/963938472/1648802385</v>
      </c>
      <c r="AQ257" s="75" t="b">
        <v>0</v>
      </c>
      <c r="AR257" s="75" t="b">
        <v>0</v>
      </c>
      <c r="AS257" s="75" t="b">
        <v>0</v>
      </c>
      <c r="AT257" s="75"/>
      <c r="AU257" s="75">
        <v>2798</v>
      </c>
      <c r="AV257" s="82" t="str">
        <f>HYPERLINK("https://abs.twimg.com/images/themes/theme1/bg.png")</f>
        <v>https://abs.twimg.com/images/themes/theme1/bg.png</v>
      </c>
      <c r="AW257" s="75" t="b">
        <v>1</v>
      </c>
      <c r="AX257" s="75" t="s">
        <v>2845</v>
      </c>
      <c r="AY257" s="82" t="str">
        <f>HYPERLINK("https://twitter.com/palazzo_chigi")</f>
        <v>https://twitter.com/palazzo_chigi</v>
      </c>
      <c r="AZ257" s="75" t="s">
        <v>65</v>
      </c>
      <c r="BA257" s="75" t="str">
        <f>REPLACE(INDEX(GroupVertices[Group],MATCH(Vertices[[#This Row],[Vertex]],GroupVertices[Vertex],0)),1,1,"")</f>
        <v>1</v>
      </c>
      <c r="BB257" s="45"/>
      <c r="BC257" s="46"/>
      <c r="BD257" s="45"/>
      <c r="BE257" s="46"/>
      <c r="BF257" s="45"/>
      <c r="BG257" s="46"/>
      <c r="BH257" s="45"/>
      <c r="BI257" s="46"/>
      <c r="BJ257" s="45"/>
      <c r="BK257" s="45"/>
      <c r="BL257" s="45"/>
      <c r="BM257" s="45"/>
      <c r="BN257" s="45"/>
      <c r="BO257" s="45"/>
      <c r="BP257" s="45"/>
      <c r="BQ257" s="45"/>
      <c r="BR257" s="45"/>
      <c r="BS257" s="45"/>
      <c r="BT257" s="45"/>
      <c r="BU257" s="2"/>
    </row>
    <row r="258" spans="1:73" ht="15">
      <c r="A258" s="61" t="s">
        <v>542</v>
      </c>
      <c r="B258" s="62"/>
      <c r="C258" s="62"/>
      <c r="D258" s="63">
        <v>706.060606060606</v>
      </c>
      <c r="E258" s="65"/>
      <c r="F258" s="99" t="str">
        <f>HYPERLINK("https://pbs.twimg.com/profile_images/875661200784330754/cXTSJeMm_normal.jpg")</f>
        <v>https://pbs.twimg.com/profile_images/875661200784330754/cXTSJeMm_normal.jpg</v>
      </c>
      <c r="G258" s="62"/>
      <c r="H258" s="66" t="s">
        <v>542</v>
      </c>
      <c r="I258" s="67"/>
      <c r="J258" s="67"/>
      <c r="K258" s="66" t="s">
        <v>3100</v>
      </c>
      <c r="L258" s="70">
        <v>890.0410126963737</v>
      </c>
      <c r="M258" s="71">
        <v>1117.976318359375</v>
      </c>
      <c r="N258" s="71">
        <v>5450.15966796875</v>
      </c>
      <c r="O258" s="72"/>
      <c r="P258" s="73"/>
      <c r="Q258" s="73"/>
      <c r="R258" s="85"/>
      <c r="S258" s="45">
        <v>2</v>
      </c>
      <c r="T258" s="45">
        <v>0</v>
      </c>
      <c r="U258" s="46">
        <v>400</v>
      </c>
      <c r="V258" s="46">
        <v>0.08693</v>
      </c>
      <c r="W258" s="46">
        <v>0.044035</v>
      </c>
      <c r="X258" s="46">
        <v>0.002895</v>
      </c>
      <c r="Y258" s="46">
        <v>0</v>
      </c>
      <c r="Z258" s="46">
        <v>0</v>
      </c>
      <c r="AA258" s="68">
        <v>258</v>
      </c>
      <c r="AB258" s="68"/>
      <c r="AC258" s="69"/>
      <c r="AD258" s="75" t="s">
        <v>2091</v>
      </c>
      <c r="AE258" s="80" t="s">
        <v>1739</v>
      </c>
      <c r="AF258" s="75">
        <v>941</v>
      </c>
      <c r="AG258" s="75">
        <v>1540158</v>
      </c>
      <c r="AH258" s="75">
        <v>15267</v>
      </c>
      <c r="AI258" s="75">
        <v>6748</v>
      </c>
      <c r="AJ258" s="75"/>
      <c r="AK258" s="75" t="s">
        <v>2624</v>
      </c>
      <c r="AL258" s="75" t="s">
        <v>2695</v>
      </c>
      <c r="AM258" s="82" t="str">
        <f>HYPERLINK("https://t.co/NVv64gf7tX")</f>
        <v>https://t.co/NVv64gf7tX</v>
      </c>
      <c r="AN258" s="75"/>
      <c r="AO258" s="77">
        <v>40106.33101851852</v>
      </c>
      <c r="AP258" s="82" t="str">
        <f>HYPERLINK("https://pbs.twimg.com/profile_banners/83795099/1657099416")</f>
        <v>https://pbs.twimg.com/profile_banners/83795099/1657099416</v>
      </c>
      <c r="AQ258" s="75" t="b">
        <v>0</v>
      </c>
      <c r="AR258" s="75" t="b">
        <v>0</v>
      </c>
      <c r="AS258" s="75" t="b">
        <v>1</v>
      </c>
      <c r="AT258" s="75"/>
      <c r="AU258" s="75">
        <v>9294</v>
      </c>
      <c r="AV258" s="82" t="str">
        <f>HYPERLINK("https://abs.twimg.com/images/themes/theme1/bg.png")</f>
        <v>https://abs.twimg.com/images/themes/theme1/bg.png</v>
      </c>
      <c r="AW258" s="75" t="b">
        <v>1</v>
      </c>
      <c r="AX258" s="75" t="s">
        <v>2845</v>
      </c>
      <c r="AY258" s="82" t="str">
        <f>HYPERLINK("https://twitter.com/nato")</f>
        <v>https://twitter.com/nato</v>
      </c>
      <c r="AZ258" s="75" t="s">
        <v>65</v>
      </c>
      <c r="BA258" s="75" t="str">
        <f>REPLACE(INDEX(GroupVertices[Group],MATCH(Vertices[[#This Row],[Vertex]],GroupVertices[Vertex],0)),1,1,"")</f>
        <v>1</v>
      </c>
      <c r="BB258" s="45"/>
      <c r="BC258" s="46"/>
      <c r="BD258" s="45"/>
      <c r="BE258" s="46"/>
      <c r="BF258" s="45"/>
      <c r="BG258" s="46"/>
      <c r="BH258" s="45"/>
      <c r="BI258" s="46"/>
      <c r="BJ258" s="45"/>
      <c r="BK258" s="45"/>
      <c r="BL258" s="45"/>
      <c r="BM258" s="45"/>
      <c r="BN258" s="45"/>
      <c r="BO258" s="45"/>
      <c r="BP258" s="45"/>
      <c r="BQ258" s="45"/>
      <c r="BR258" s="45"/>
      <c r="BS258" s="45"/>
      <c r="BT258" s="45"/>
      <c r="BU258" s="2"/>
    </row>
    <row r="259" spans="1:73" ht="15">
      <c r="A259" s="61" t="s">
        <v>397</v>
      </c>
      <c r="B259" s="62"/>
      <c r="C259" s="62"/>
      <c r="D259" s="63">
        <v>100</v>
      </c>
      <c r="E259" s="65"/>
      <c r="F259" s="99" t="str">
        <f>HYPERLINK("https://pbs.twimg.com/profile_images/1506759203079303176/g1V43aHr_normal.jpg")</f>
        <v>https://pbs.twimg.com/profile_images/1506759203079303176/g1V43aHr_normal.jpg</v>
      </c>
      <c r="G259" s="62"/>
      <c r="H259" s="66" t="s">
        <v>397</v>
      </c>
      <c r="I259" s="67"/>
      <c r="J259" s="67"/>
      <c r="K259" s="66" t="s">
        <v>3101</v>
      </c>
      <c r="L259" s="70">
        <v>1</v>
      </c>
      <c r="M259" s="71">
        <v>3384.257080078125</v>
      </c>
      <c r="N259" s="71">
        <v>8813.244140625</v>
      </c>
      <c r="O259" s="72"/>
      <c r="P259" s="73"/>
      <c r="Q259" s="73"/>
      <c r="R259" s="85"/>
      <c r="S259" s="45">
        <v>0</v>
      </c>
      <c r="T259" s="45">
        <v>1</v>
      </c>
      <c r="U259" s="46">
        <v>0</v>
      </c>
      <c r="V259" s="46">
        <v>0.071498</v>
      </c>
      <c r="W259" s="46">
        <v>0.030733</v>
      </c>
      <c r="X259" s="46">
        <v>0.002664</v>
      </c>
      <c r="Y259" s="46">
        <v>0</v>
      </c>
      <c r="Z259" s="46">
        <v>0</v>
      </c>
      <c r="AA259" s="68">
        <v>259</v>
      </c>
      <c r="AB259" s="68"/>
      <c r="AC259" s="69"/>
      <c r="AD259" s="75" t="s">
        <v>2092</v>
      </c>
      <c r="AE259" s="80" t="s">
        <v>2359</v>
      </c>
      <c r="AF259" s="75">
        <v>632</v>
      </c>
      <c r="AG259" s="75">
        <v>296</v>
      </c>
      <c r="AH259" s="75">
        <v>9930</v>
      </c>
      <c r="AI259" s="75">
        <v>29129</v>
      </c>
      <c r="AJ259" s="75"/>
      <c r="AK259" s="75" t="s">
        <v>2625</v>
      </c>
      <c r="AL259" s="75"/>
      <c r="AM259" s="75"/>
      <c r="AN259" s="75"/>
      <c r="AO259" s="77">
        <v>44463.225127314814</v>
      </c>
      <c r="AP259" s="75"/>
      <c r="AQ259" s="75" t="b">
        <v>1</v>
      </c>
      <c r="AR259" s="75" t="b">
        <v>0</v>
      </c>
      <c r="AS259" s="75" t="b">
        <v>0</v>
      </c>
      <c r="AT259" s="75"/>
      <c r="AU259" s="75">
        <v>3</v>
      </c>
      <c r="AV259" s="75"/>
      <c r="AW259" s="75" t="b">
        <v>0</v>
      </c>
      <c r="AX259" s="75" t="s">
        <v>2845</v>
      </c>
      <c r="AY259" s="82" t="str">
        <f>HYPERLINK("https://twitter.com/bnryklmz")</f>
        <v>https://twitter.com/bnryklmz</v>
      </c>
      <c r="AZ259" s="75" t="s">
        <v>66</v>
      </c>
      <c r="BA259" s="75" t="str">
        <f>REPLACE(INDEX(GroupVertices[Group],MATCH(Vertices[[#This Row],[Vertex]],GroupVertices[Vertex],0)),1,1,"")</f>
        <v>3</v>
      </c>
      <c r="BB259" s="45">
        <v>0</v>
      </c>
      <c r="BC259" s="46">
        <v>0</v>
      </c>
      <c r="BD259" s="45">
        <v>0</v>
      </c>
      <c r="BE259" s="46">
        <v>0</v>
      </c>
      <c r="BF259" s="45">
        <v>0</v>
      </c>
      <c r="BG259" s="46">
        <v>0</v>
      </c>
      <c r="BH259" s="45">
        <v>36</v>
      </c>
      <c r="BI259" s="46">
        <v>100</v>
      </c>
      <c r="BJ259" s="45">
        <v>36</v>
      </c>
      <c r="BK259" s="45"/>
      <c r="BL259" s="45"/>
      <c r="BM259" s="45"/>
      <c r="BN259" s="45"/>
      <c r="BO259" s="45" t="s">
        <v>795</v>
      </c>
      <c r="BP259" s="45" t="s">
        <v>795</v>
      </c>
      <c r="BQ259" s="110" t="s">
        <v>4517</v>
      </c>
      <c r="BR259" s="110" t="s">
        <v>4517</v>
      </c>
      <c r="BS259" s="110" t="s">
        <v>4632</v>
      </c>
      <c r="BT259" s="110" t="s">
        <v>4632</v>
      </c>
      <c r="BU259" s="2"/>
    </row>
    <row r="260" spans="1:73" ht="15">
      <c r="A260" s="61" t="s">
        <v>398</v>
      </c>
      <c r="B260" s="62"/>
      <c r="C260" s="62"/>
      <c r="D260" s="63">
        <v>100</v>
      </c>
      <c r="E260" s="65"/>
      <c r="F260" s="99" t="str">
        <f>HYPERLINK("https://pbs.twimg.com/profile_images/1566174687704403968/v1BRKIY1_normal.jpg")</f>
        <v>https://pbs.twimg.com/profile_images/1566174687704403968/v1BRKIY1_normal.jpg</v>
      </c>
      <c r="G260" s="62"/>
      <c r="H260" s="66" t="s">
        <v>398</v>
      </c>
      <c r="I260" s="67"/>
      <c r="J260" s="67"/>
      <c r="K260" s="66" t="s">
        <v>3102</v>
      </c>
      <c r="L260" s="70">
        <v>1</v>
      </c>
      <c r="M260" s="71">
        <v>664.5676879882812</v>
      </c>
      <c r="N260" s="71">
        <v>3108.66357421875</v>
      </c>
      <c r="O260" s="72"/>
      <c r="P260" s="73"/>
      <c r="Q260" s="73"/>
      <c r="R260" s="85"/>
      <c r="S260" s="45">
        <v>1</v>
      </c>
      <c r="T260" s="45">
        <v>1</v>
      </c>
      <c r="U260" s="46">
        <v>0</v>
      </c>
      <c r="V260" s="46">
        <v>0</v>
      </c>
      <c r="W260" s="46">
        <v>0</v>
      </c>
      <c r="X260" s="46">
        <v>0.003049</v>
      </c>
      <c r="Y260" s="46">
        <v>0</v>
      </c>
      <c r="Z260" s="46">
        <v>0</v>
      </c>
      <c r="AA260" s="68">
        <v>260</v>
      </c>
      <c r="AB260" s="68"/>
      <c r="AC260" s="69"/>
      <c r="AD260" s="75" t="s">
        <v>2093</v>
      </c>
      <c r="AE260" s="80" t="s">
        <v>1733</v>
      </c>
      <c r="AF260" s="75">
        <v>23</v>
      </c>
      <c r="AG260" s="75">
        <v>535</v>
      </c>
      <c r="AH260" s="75">
        <v>33101</v>
      </c>
      <c r="AI260" s="75">
        <v>7498</v>
      </c>
      <c r="AJ260" s="75"/>
      <c r="AK260" s="75" t="s">
        <v>2626</v>
      </c>
      <c r="AL260" s="75" t="s">
        <v>2813</v>
      </c>
      <c r="AM260" s="75"/>
      <c r="AN260" s="75"/>
      <c r="AO260" s="77">
        <v>43063.12792824074</v>
      </c>
      <c r="AP260" s="82" t="str">
        <f>HYPERLINK("https://pbs.twimg.com/profile_banners/933893990633447424/1662140722")</f>
        <v>https://pbs.twimg.com/profile_banners/933893990633447424/1662140722</v>
      </c>
      <c r="AQ260" s="75" t="b">
        <v>0</v>
      </c>
      <c r="AR260" s="75" t="b">
        <v>0</v>
      </c>
      <c r="AS260" s="75" t="b">
        <v>1</v>
      </c>
      <c r="AT260" s="75"/>
      <c r="AU260" s="75">
        <v>15</v>
      </c>
      <c r="AV260" s="82" t="str">
        <f>HYPERLINK("https://abs.twimg.com/images/themes/theme1/bg.png")</f>
        <v>https://abs.twimg.com/images/themes/theme1/bg.png</v>
      </c>
      <c r="AW260" s="75" t="b">
        <v>0</v>
      </c>
      <c r="AX260" s="75" t="s">
        <v>2845</v>
      </c>
      <c r="AY260" s="82" t="str">
        <f>HYPERLINK("https://twitter.com/jbl375537500")</f>
        <v>https://twitter.com/jbl375537500</v>
      </c>
      <c r="AZ260" s="75" t="s">
        <v>66</v>
      </c>
      <c r="BA260" s="75" t="str">
        <f>REPLACE(INDEX(GroupVertices[Group],MATCH(Vertices[[#This Row],[Vertex]],GroupVertices[Vertex],0)),1,1,"")</f>
        <v>2</v>
      </c>
      <c r="BB260" s="45">
        <v>0</v>
      </c>
      <c r="BC260" s="46">
        <v>0</v>
      </c>
      <c r="BD260" s="45">
        <v>0</v>
      </c>
      <c r="BE260" s="46">
        <v>0</v>
      </c>
      <c r="BF260" s="45">
        <v>0</v>
      </c>
      <c r="BG260" s="46">
        <v>0</v>
      </c>
      <c r="BH260" s="45">
        <v>14</v>
      </c>
      <c r="BI260" s="46">
        <v>100</v>
      </c>
      <c r="BJ260" s="45">
        <v>14</v>
      </c>
      <c r="BK260" s="45"/>
      <c r="BL260" s="45"/>
      <c r="BM260" s="45"/>
      <c r="BN260" s="45"/>
      <c r="BO260" s="45"/>
      <c r="BP260" s="45"/>
      <c r="BQ260" s="110" t="s">
        <v>4518</v>
      </c>
      <c r="BR260" s="110" t="s">
        <v>4518</v>
      </c>
      <c r="BS260" s="110" t="s">
        <v>4633</v>
      </c>
      <c r="BT260" s="110" t="s">
        <v>4633</v>
      </c>
      <c r="BU260" s="2"/>
    </row>
    <row r="261" spans="1:73" ht="15">
      <c r="A261" s="61" t="s">
        <v>399</v>
      </c>
      <c r="B261" s="62"/>
      <c r="C261" s="62"/>
      <c r="D261" s="63">
        <v>100</v>
      </c>
      <c r="E261" s="65"/>
      <c r="F261" s="99" t="str">
        <f>HYPERLINK("https://pbs.twimg.com/profile_images/1151784625666084864/-81WPgb3_normal.png")</f>
        <v>https://pbs.twimg.com/profile_images/1151784625666084864/-81WPgb3_normal.png</v>
      </c>
      <c r="G261" s="62"/>
      <c r="H261" s="66" t="s">
        <v>399</v>
      </c>
      <c r="I261" s="67"/>
      <c r="J261" s="67"/>
      <c r="K261" s="66" t="s">
        <v>3103</v>
      </c>
      <c r="L261" s="70">
        <v>1</v>
      </c>
      <c r="M261" s="71">
        <v>3487.4560546875</v>
      </c>
      <c r="N261" s="71">
        <v>8143.017578125</v>
      </c>
      <c r="O261" s="72"/>
      <c r="P261" s="73"/>
      <c r="Q261" s="73"/>
      <c r="R261" s="85"/>
      <c r="S261" s="45">
        <v>0</v>
      </c>
      <c r="T261" s="45">
        <v>1</v>
      </c>
      <c r="U261" s="46">
        <v>0</v>
      </c>
      <c r="V261" s="46">
        <v>0.071498</v>
      </c>
      <c r="W261" s="46">
        <v>0.030733</v>
      </c>
      <c r="X261" s="46">
        <v>0.002664</v>
      </c>
      <c r="Y261" s="46">
        <v>0</v>
      </c>
      <c r="Z261" s="46">
        <v>0</v>
      </c>
      <c r="AA261" s="68">
        <v>261</v>
      </c>
      <c r="AB261" s="68"/>
      <c r="AC261" s="69"/>
      <c r="AD261" s="75" t="s">
        <v>2094</v>
      </c>
      <c r="AE261" s="80" t="s">
        <v>2360</v>
      </c>
      <c r="AF261" s="75">
        <v>69</v>
      </c>
      <c r="AG261" s="75">
        <v>33</v>
      </c>
      <c r="AH261" s="75">
        <v>4643</v>
      </c>
      <c r="AI261" s="75">
        <v>8078</v>
      </c>
      <c r="AJ261" s="75"/>
      <c r="AK261" s="75"/>
      <c r="AL261" s="75"/>
      <c r="AM261" s="75"/>
      <c r="AN261" s="75"/>
      <c r="AO261" s="77">
        <v>43664.38854166667</v>
      </c>
      <c r="AP261" s="82" t="str">
        <f>HYPERLINK("https://pbs.twimg.com/profile_banners/1151783544521256960/1567114035")</f>
        <v>https://pbs.twimg.com/profile_banners/1151783544521256960/1567114035</v>
      </c>
      <c r="AQ261" s="75" t="b">
        <v>1</v>
      </c>
      <c r="AR261" s="75" t="b">
        <v>0</v>
      </c>
      <c r="AS261" s="75" t="b">
        <v>0</v>
      </c>
      <c r="AT261" s="75"/>
      <c r="AU261" s="75">
        <v>0</v>
      </c>
      <c r="AV261" s="75"/>
      <c r="AW261" s="75" t="b">
        <v>0</v>
      </c>
      <c r="AX261" s="75" t="s">
        <v>2845</v>
      </c>
      <c r="AY261" s="82" t="str">
        <f>HYPERLINK("https://twitter.com/ekormfs1qvxzxvp")</f>
        <v>https://twitter.com/ekormfs1qvxzxvp</v>
      </c>
      <c r="AZ261" s="75" t="s">
        <v>66</v>
      </c>
      <c r="BA261" s="75" t="str">
        <f>REPLACE(INDEX(GroupVertices[Group],MATCH(Vertices[[#This Row],[Vertex]],GroupVertices[Vertex],0)),1,1,"")</f>
        <v>3</v>
      </c>
      <c r="BB261" s="45">
        <v>0</v>
      </c>
      <c r="BC261" s="46">
        <v>0</v>
      </c>
      <c r="BD261" s="45">
        <v>0</v>
      </c>
      <c r="BE261" s="46">
        <v>0</v>
      </c>
      <c r="BF261" s="45">
        <v>0</v>
      </c>
      <c r="BG261" s="46">
        <v>0</v>
      </c>
      <c r="BH261" s="45">
        <v>36</v>
      </c>
      <c r="BI261" s="46">
        <v>100</v>
      </c>
      <c r="BJ261" s="45">
        <v>36</v>
      </c>
      <c r="BK261" s="45"/>
      <c r="BL261" s="45"/>
      <c r="BM261" s="45"/>
      <c r="BN261" s="45"/>
      <c r="BO261" s="45" t="s">
        <v>4419</v>
      </c>
      <c r="BP261" s="45" t="s">
        <v>4438</v>
      </c>
      <c r="BQ261" s="110" t="s">
        <v>4519</v>
      </c>
      <c r="BR261" s="110" t="s">
        <v>4557</v>
      </c>
      <c r="BS261" s="110" t="s">
        <v>4634</v>
      </c>
      <c r="BT261" s="110" t="s">
        <v>4661</v>
      </c>
      <c r="BU261" s="2"/>
    </row>
    <row r="262" spans="1:73" ht="15">
      <c r="A262" s="61" t="s">
        <v>400</v>
      </c>
      <c r="B262" s="62"/>
      <c r="C262" s="62"/>
      <c r="D262" s="63">
        <v>100</v>
      </c>
      <c r="E262" s="65"/>
      <c r="F262" s="99" t="str">
        <f>HYPERLINK("https://pbs.twimg.com/profile_images/1497551584468865028/215WBY7i_normal.jpg")</f>
        <v>https://pbs.twimg.com/profile_images/1497551584468865028/215WBY7i_normal.jpg</v>
      </c>
      <c r="G262" s="62"/>
      <c r="H262" s="66" t="s">
        <v>400</v>
      </c>
      <c r="I262" s="67"/>
      <c r="J262" s="67"/>
      <c r="K262" s="66" t="s">
        <v>3104</v>
      </c>
      <c r="L262" s="70">
        <v>1</v>
      </c>
      <c r="M262" s="71">
        <v>9182.0087890625</v>
      </c>
      <c r="N262" s="71">
        <v>3204.8076171875</v>
      </c>
      <c r="O262" s="72"/>
      <c r="P262" s="73"/>
      <c r="Q262" s="73"/>
      <c r="R262" s="85"/>
      <c r="S262" s="45">
        <v>0</v>
      </c>
      <c r="T262" s="45">
        <v>1</v>
      </c>
      <c r="U262" s="46">
        <v>0</v>
      </c>
      <c r="V262" s="46">
        <v>0.003058</v>
      </c>
      <c r="W262" s="46">
        <v>0</v>
      </c>
      <c r="X262" s="46">
        <v>0.003049</v>
      </c>
      <c r="Y262" s="46">
        <v>0</v>
      </c>
      <c r="Z262" s="46">
        <v>0</v>
      </c>
      <c r="AA262" s="68">
        <v>262</v>
      </c>
      <c r="AB262" s="68"/>
      <c r="AC262" s="69"/>
      <c r="AD262" s="75" t="s">
        <v>2095</v>
      </c>
      <c r="AE262" s="80" t="s">
        <v>2361</v>
      </c>
      <c r="AF262" s="75">
        <v>212</v>
      </c>
      <c r="AG262" s="75">
        <v>46</v>
      </c>
      <c r="AH262" s="75">
        <v>10744</v>
      </c>
      <c r="AI262" s="75">
        <v>7433</v>
      </c>
      <c r="AJ262" s="75"/>
      <c r="AK262" s="75"/>
      <c r="AL262" s="75"/>
      <c r="AM262" s="75"/>
      <c r="AN262" s="75"/>
      <c r="AO262" s="77">
        <v>43730.531435185185</v>
      </c>
      <c r="AP262" s="75"/>
      <c r="AQ262" s="75" t="b">
        <v>1</v>
      </c>
      <c r="AR262" s="75" t="b">
        <v>0</v>
      </c>
      <c r="AS262" s="75" t="b">
        <v>0</v>
      </c>
      <c r="AT262" s="75"/>
      <c r="AU262" s="75">
        <v>2</v>
      </c>
      <c r="AV262" s="75"/>
      <c r="AW262" s="75" t="b">
        <v>0</v>
      </c>
      <c r="AX262" s="75" t="s">
        <v>2845</v>
      </c>
      <c r="AY262" s="82" t="str">
        <f>HYPERLINK("https://twitter.com/3ct3r")</f>
        <v>https://twitter.com/3ct3r</v>
      </c>
      <c r="AZ262" s="75" t="s">
        <v>66</v>
      </c>
      <c r="BA262" s="75" t="str">
        <f>REPLACE(INDEX(GroupVertices[Group],MATCH(Vertices[[#This Row],[Vertex]],GroupVertices[Vertex],0)),1,1,"")</f>
        <v>40</v>
      </c>
      <c r="BB262" s="45">
        <v>0</v>
      </c>
      <c r="BC262" s="46">
        <v>0</v>
      </c>
      <c r="BD262" s="45">
        <v>0</v>
      </c>
      <c r="BE262" s="46">
        <v>0</v>
      </c>
      <c r="BF262" s="45">
        <v>0</v>
      </c>
      <c r="BG262" s="46">
        <v>0</v>
      </c>
      <c r="BH262" s="45">
        <v>32</v>
      </c>
      <c r="BI262" s="46">
        <v>100</v>
      </c>
      <c r="BJ262" s="45">
        <v>32</v>
      </c>
      <c r="BK262" s="45"/>
      <c r="BL262" s="45"/>
      <c r="BM262" s="45"/>
      <c r="BN262" s="45"/>
      <c r="BO262" s="45" t="s">
        <v>858</v>
      </c>
      <c r="BP262" s="45" t="s">
        <v>858</v>
      </c>
      <c r="BQ262" s="110" t="s">
        <v>4520</v>
      </c>
      <c r="BR262" s="110" t="s">
        <v>4520</v>
      </c>
      <c r="BS262" s="110" t="s">
        <v>4635</v>
      </c>
      <c r="BT262" s="110" t="s">
        <v>4635</v>
      </c>
      <c r="BU262" s="2"/>
    </row>
    <row r="263" spans="1:73" ht="15">
      <c r="A263" s="61" t="s">
        <v>543</v>
      </c>
      <c r="B263" s="62"/>
      <c r="C263" s="62"/>
      <c r="D263" s="63">
        <v>100</v>
      </c>
      <c r="E263" s="65"/>
      <c r="F263" s="99" t="str">
        <f>HYPERLINK("https://pbs.twimg.com/profile_images/1405531226694320138/z5HOdkOj_normal.jpg")</f>
        <v>https://pbs.twimg.com/profile_images/1405531226694320138/z5HOdkOj_normal.jpg</v>
      </c>
      <c r="G263" s="62"/>
      <c r="H263" s="66" t="s">
        <v>543</v>
      </c>
      <c r="I263" s="67"/>
      <c r="J263" s="67"/>
      <c r="K263" s="66" t="s">
        <v>3105</v>
      </c>
      <c r="L263" s="70">
        <v>1</v>
      </c>
      <c r="M263" s="71">
        <v>9182.0087890625</v>
      </c>
      <c r="N263" s="71">
        <v>3461.1923828125</v>
      </c>
      <c r="O263" s="72"/>
      <c r="P263" s="73"/>
      <c r="Q263" s="73"/>
      <c r="R263" s="85"/>
      <c r="S263" s="45">
        <v>1</v>
      </c>
      <c r="T263" s="45">
        <v>0</v>
      </c>
      <c r="U263" s="46">
        <v>0</v>
      </c>
      <c r="V263" s="46">
        <v>0.003058</v>
      </c>
      <c r="W263" s="46">
        <v>0</v>
      </c>
      <c r="X263" s="46">
        <v>0.003049</v>
      </c>
      <c r="Y263" s="46">
        <v>0</v>
      </c>
      <c r="Z263" s="46">
        <v>0</v>
      </c>
      <c r="AA263" s="68">
        <v>263</v>
      </c>
      <c r="AB263" s="68"/>
      <c r="AC263" s="69"/>
      <c r="AD263" s="75" t="s">
        <v>2096</v>
      </c>
      <c r="AE263" s="80" t="s">
        <v>1734</v>
      </c>
      <c r="AF263" s="75">
        <v>3006</v>
      </c>
      <c r="AG263" s="75">
        <v>42517</v>
      </c>
      <c r="AH263" s="75">
        <v>2080</v>
      </c>
      <c r="AI263" s="75">
        <v>3344</v>
      </c>
      <c r="AJ263" s="75"/>
      <c r="AK263" s="75" t="s">
        <v>2627</v>
      </c>
      <c r="AL263" s="75" t="s">
        <v>2689</v>
      </c>
      <c r="AM263" s="82" t="str">
        <f>HYPERLINK("https://t.co/UaLOSMVxD2")</f>
        <v>https://t.co/UaLOSMVxD2</v>
      </c>
      <c r="AN263" s="75"/>
      <c r="AO263" s="77">
        <v>39884.6453587963</v>
      </c>
      <c r="AP263" s="82" t="str">
        <f>HYPERLINK("https://pbs.twimg.com/profile_banners/23967604/1634715469")</f>
        <v>https://pbs.twimg.com/profile_banners/23967604/1634715469</v>
      </c>
      <c r="AQ263" s="75" t="b">
        <v>0</v>
      </c>
      <c r="AR263" s="75" t="b">
        <v>0</v>
      </c>
      <c r="AS263" s="75" t="b">
        <v>1</v>
      </c>
      <c r="AT263" s="75"/>
      <c r="AU263" s="75">
        <v>385</v>
      </c>
      <c r="AV263" s="82" t="str">
        <f>HYPERLINK("https://abs.twimg.com/images/themes/theme16/bg.gif")</f>
        <v>https://abs.twimg.com/images/themes/theme16/bg.gif</v>
      </c>
      <c r="AW263" s="75" t="b">
        <v>1</v>
      </c>
      <c r="AX263" s="75" t="s">
        <v>2845</v>
      </c>
      <c r="AY263" s="82" t="str">
        <f>HYPERLINK("https://twitter.com/steph_sejourne")</f>
        <v>https://twitter.com/steph_sejourne</v>
      </c>
      <c r="AZ263" s="75" t="s">
        <v>65</v>
      </c>
      <c r="BA263" s="75" t="str">
        <f>REPLACE(INDEX(GroupVertices[Group],MATCH(Vertices[[#This Row],[Vertex]],GroupVertices[Vertex],0)),1,1,"")</f>
        <v>40</v>
      </c>
      <c r="BB263" s="45"/>
      <c r="BC263" s="46"/>
      <c r="BD263" s="45"/>
      <c r="BE263" s="46"/>
      <c r="BF263" s="45"/>
      <c r="BG263" s="46"/>
      <c r="BH263" s="45"/>
      <c r="BI263" s="46"/>
      <c r="BJ263" s="45"/>
      <c r="BK263" s="45"/>
      <c r="BL263" s="45"/>
      <c r="BM263" s="45"/>
      <c r="BN263" s="45"/>
      <c r="BO263" s="45"/>
      <c r="BP263" s="45"/>
      <c r="BQ263" s="45"/>
      <c r="BR263" s="45"/>
      <c r="BS263" s="45"/>
      <c r="BT263" s="45"/>
      <c r="BU263" s="2"/>
    </row>
    <row r="264" spans="1:73" ht="15">
      <c r="A264" s="61" t="s">
        <v>401</v>
      </c>
      <c r="B264" s="62"/>
      <c r="C264" s="62"/>
      <c r="D264" s="63">
        <v>100</v>
      </c>
      <c r="E264" s="65"/>
      <c r="F264" s="99" t="str">
        <f>HYPERLINK("https://pbs.twimg.com/profile_images/1200446567884476416/bDnYIBQK_normal.jpg")</f>
        <v>https://pbs.twimg.com/profile_images/1200446567884476416/bDnYIBQK_normal.jpg</v>
      </c>
      <c r="G264" s="62"/>
      <c r="H264" s="66" t="s">
        <v>401</v>
      </c>
      <c r="I264" s="67"/>
      <c r="J264" s="67"/>
      <c r="K264" s="66" t="s">
        <v>3106</v>
      </c>
      <c r="L264" s="70">
        <v>1</v>
      </c>
      <c r="M264" s="71">
        <v>2170.5146484375</v>
      </c>
      <c r="N264" s="71">
        <v>7813.45361328125</v>
      </c>
      <c r="O264" s="72"/>
      <c r="P264" s="73"/>
      <c r="Q264" s="73"/>
      <c r="R264" s="85"/>
      <c r="S264" s="45">
        <v>0</v>
      </c>
      <c r="T264" s="45">
        <v>1</v>
      </c>
      <c r="U264" s="46">
        <v>0</v>
      </c>
      <c r="V264" s="46">
        <v>0.071498</v>
      </c>
      <c r="W264" s="46">
        <v>0.030733</v>
      </c>
      <c r="X264" s="46">
        <v>0.002664</v>
      </c>
      <c r="Y264" s="46">
        <v>0</v>
      </c>
      <c r="Z264" s="46">
        <v>0</v>
      </c>
      <c r="AA264" s="68">
        <v>264</v>
      </c>
      <c r="AB264" s="68"/>
      <c r="AC264" s="69"/>
      <c r="AD264" s="75" t="s">
        <v>2097</v>
      </c>
      <c r="AE264" s="80" t="s">
        <v>2362</v>
      </c>
      <c r="AF264" s="75">
        <v>4997</v>
      </c>
      <c r="AG264" s="75">
        <v>1678</v>
      </c>
      <c r="AH264" s="75">
        <v>10155</v>
      </c>
      <c r="AI264" s="75">
        <v>18301</v>
      </c>
      <c r="AJ264" s="75"/>
      <c r="AK264" s="75" t="s">
        <v>2628</v>
      </c>
      <c r="AL264" s="75" t="s">
        <v>2814</v>
      </c>
      <c r="AM264" s="75"/>
      <c r="AN264" s="75"/>
      <c r="AO264" s="77">
        <v>43556.8465625</v>
      </c>
      <c r="AP264" s="75"/>
      <c r="AQ264" s="75" t="b">
        <v>1</v>
      </c>
      <c r="AR264" s="75" t="b">
        <v>0</v>
      </c>
      <c r="AS264" s="75" t="b">
        <v>0</v>
      </c>
      <c r="AT264" s="75"/>
      <c r="AU264" s="75">
        <v>1</v>
      </c>
      <c r="AV264" s="75"/>
      <c r="AW264" s="75" t="b">
        <v>0</v>
      </c>
      <c r="AX264" s="75" t="s">
        <v>2845</v>
      </c>
      <c r="AY264" s="82" t="str">
        <f>HYPERLINK("https://twitter.com/alim_gokce45")</f>
        <v>https://twitter.com/alim_gokce45</v>
      </c>
      <c r="AZ264" s="75" t="s">
        <v>66</v>
      </c>
      <c r="BA264" s="75" t="str">
        <f>REPLACE(INDEX(GroupVertices[Group],MATCH(Vertices[[#This Row],[Vertex]],GroupVertices[Vertex],0)),1,1,"")</f>
        <v>3</v>
      </c>
      <c r="BB264" s="45">
        <v>0</v>
      </c>
      <c r="BC264" s="46">
        <v>0</v>
      </c>
      <c r="BD264" s="45">
        <v>0</v>
      </c>
      <c r="BE264" s="46">
        <v>0</v>
      </c>
      <c r="BF264" s="45">
        <v>0</v>
      </c>
      <c r="BG264" s="46">
        <v>0</v>
      </c>
      <c r="BH264" s="45">
        <v>7</v>
      </c>
      <c r="BI264" s="46">
        <v>100</v>
      </c>
      <c r="BJ264" s="45">
        <v>7</v>
      </c>
      <c r="BK264" s="45"/>
      <c r="BL264" s="45"/>
      <c r="BM264" s="45"/>
      <c r="BN264" s="45"/>
      <c r="BO264" s="45" t="s">
        <v>842</v>
      </c>
      <c r="BP264" s="45" t="s">
        <v>842</v>
      </c>
      <c r="BQ264" s="110" t="s">
        <v>4515</v>
      </c>
      <c r="BR264" s="110" t="s">
        <v>4515</v>
      </c>
      <c r="BS264" s="110" t="s">
        <v>4630</v>
      </c>
      <c r="BT264" s="110" t="s">
        <v>4630</v>
      </c>
      <c r="BU264" s="2"/>
    </row>
    <row r="265" spans="1:73" ht="15">
      <c r="A265" s="61" t="s">
        <v>402</v>
      </c>
      <c r="B265" s="62"/>
      <c r="C265" s="62"/>
      <c r="D265" s="63">
        <v>100</v>
      </c>
      <c r="E265" s="65"/>
      <c r="F265" s="99" t="str">
        <f>HYPERLINK("https://pbs.twimg.com/profile_images/1556224191355035649/a9rjKw23_normal.jpg")</f>
        <v>https://pbs.twimg.com/profile_images/1556224191355035649/a9rjKw23_normal.jpg</v>
      </c>
      <c r="G265" s="62"/>
      <c r="H265" s="66" t="s">
        <v>402</v>
      </c>
      <c r="I265" s="67"/>
      <c r="J265" s="67"/>
      <c r="K265" s="66" t="s">
        <v>3107</v>
      </c>
      <c r="L265" s="70">
        <v>1</v>
      </c>
      <c r="M265" s="71">
        <v>3415.027099609375</v>
      </c>
      <c r="N265" s="71">
        <v>7564.982421875</v>
      </c>
      <c r="O265" s="72"/>
      <c r="P265" s="73"/>
      <c r="Q265" s="73"/>
      <c r="R265" s="85"/>
      <c r="S265" s="45">
        <v>0</v>
      </c>
      <c r="T265" s="45">
        <v>1</v>
      </c>
      <c r="U265" s="46">
        <v>0</v>
      </c>
      <c r="V265" s="46">
        <v>0.071498</v>
      </c>
      <c r="W265" s="46">
        <v>0.030733</v>
      </c>
      <c r="X265" s="46">
        <v>0.002664</v>
      </c>
      <c r="Y265" s="46">
        <v>0</v>
      </c>
      <c r="Z265" s="46">
        <v>0</v>
      </c>
      <c r="AA265" s="68">
        <v>265</v>
      </c>
      <c r="AB265" s="68"/>
      <c r="AC265" s="69"/>
      <c r="AD265" s="75" t="s">
        <v>2098</v>
      </c>
      <c r="AE265" s="80" t="s">
        <v>2363</v>
      </c>
      <c r="AF265" s="75">
        <v>1190</v>
      </c>
      <c r="AG265" s="75">
        <v>770</v>
      </c>
      <c r="AH265" s="75">
        <v>53653</v>
      </c>
      <c r="AI265" s="75">
        <v>66162</v>
      </c>
      <c r="AJ265" s="75"/>
      <c r="AK265" s="75" t="s">
        <v>2629</v>
      </c>
      <c r="AL265" s="75"/>
      <c r="AM265" s="75"/>
      <c r="AN265" s="75"/>
      <c r="AO265" s="77">
        <v>42367.62641203704</v>
      </c>
      <c r="AP265" s="75"/>
      <c r="AQ265" s="75" t="b">
        <v>1</v>
      </c>
      <c r="AR265" s="75" t="b">
        <v>0</v>
      </c>
      <c r="AS265" s="75" t="b">
        <v>0</v>
      </c>
      <c r="AT265" s="75"/>
      <c r="AU265" s="75">
        <v>0</v>
      </c>
      <c r="AV265" s="75"/>
      <c r="AW265" s="75" t="b">
        <v>0</v>
      </c>
      <c r="AX265" s="75" t="s">
        <v>2845</v>
      </c>
      <c r="AY265" s="82" t="str">
        <f>HYPERLINK("https://twitter.com/tekinyamur6")</f>
        <v>https://twitter.com/tekinyamur6</v>
      </c>
      <c r="AZ265" s="75" t="s">
        <v>66</v>
      </c>
      <c r="BA265" s="75" t="str">
        <f>REPLACE(INDEX(GroupVertices[Group],MATCH(Vertices[[#This Row],[Vertex]],GroupVertices[Vertex],0)),1,1,"")</f>
        <v>3</v>
      </c>
      <c r="BB265" s="45">
        <v>0</v>
      </c>
      <c r="BC265" s="46">
        <v>0</v>
      </c>
      <c r="BD265" s="45">
        <v>0</v>
      </c>
      <c r="BE265" s="46">
        <v>0</v>
      </c>
      <c r="BF265" s="45">
        <v>0</v>
      </c>
      <c r="BG265" s="46">
        <v>0</v>
      </c>
      <c r="BH265" s="45">
        <v>10</v>
      </c>
      <c r="BI265" s="46">
        <v>100</v>
      </c>
      <c r="BJ265" s="45">
        <v>10</v>
      </c>
      <c r="BK265" s="45"/>
      <c r="BL265" s="45"/>
      <c r="BM265" s="45"/>
      <c r="BN265" s="45"/>
      <c r="BO265" s="45" t="s">
        <v>819</v>
      </c>
      <c r="BP265" s="45" t="s">
        <v>819</v>
      </c>
      <c r="BQ265" s="110" t="s">
        <v>4521</v>
      </c>
      <c r="BR265" s="110" t="s">
        <v>4521</v>
      </c>
      <c r="BS265" s="110" t="s">
        <v>4636</v>
      </c>
      <c r="BT265" s="110" t="s">
        <v>4636</v>
      </c>
      <c r="BU265" s="2"/>
    </row>
    <row r="266" spans="1:73" ht="15">
      <c r="A266" s="61" t="s">
        <v>403</v>
      </c>
      <c r="B266" s="62"/>
      <c r="C266" s="62"/>
      <c r="D266" s="63">
        <v>100</v>
      </c>
      <c r="E266" s="65"/>
      <c r="F266" s="99" t="str">
        <f>HYPERLINK("https://pbs.twimg.com/profile_images/1515746353204408330/g2iiRyHU_normal.jpg")</f>
        <v>https://pbs.twimg.com/profile_images/1515746353204408330/g2iiRyHU_normal.jpg</v>
      </c>
      <c r="G266" s="62"/>
      <c r="H266" s="66" t="s">
        <v>403</v>
      </c>
      <c r="I266" s="67"/>
      <c r="J266" s="67"/>
      <c r="K266" s="66" t="s">
        <v>3108</v>
      </c>
      <c r="L266" s="70">
        <v>1</v>
      </c>
      <c r="M266" s="71">
        <v>945.0274658203125</v>
      </c>
      <c r="N266" s="71">
        <v>3108.66357421875</v>
      </c>
      <c r="O266" s="72"/>
      <c r="P266" s="73"/>
      <c r="Q266" s="73"/>
      <c r="R266" s="85"/>
      <c r="S266" s="45">
        <v>1</v>
      </c>
      <c r="T266" s="45">
        <v>1</v>
      </c>
      <c r="U266" s="46">
        <v>0</v>
      </c>
      <c r="V266" s="46">
        <v>0</v>
      </c>
      <c r="W266" s="46">
        <v>0</v>
      </c>
      <c r="X266" s="46">
        <v>0.003049</v>
      </c>
      <c r="Y266" s="46">
        <v>0</v>
      </c>
      <c r="Z266" s="46">
        <v>0</v>
      </c>
      <c r="AA266" s="68">
        <v>266</v>
      </c>
      <c r="AB266" s="68"/>
      <c r="AC266" s="69"/>
      <c r="AD266" s="75" t="s">
        <v>2099</v>
      </c>
      <c r="AE266" s="80" t="s">
        <v>2364</v>
      </c>
      <c r="AF266" s="75">
        <v>850</v>
      </c>
      <c r="AG266" s="75">
        <v>205</v>
      </c>
      <c r="AH266" s="75">
        <v>679</v>
      </c>
      <c r="AI266" s="75">
        <v>15790</v>
      </c>
      <c r="AJ266" s="75"/>
      <c r="AK266" s="75" t="s">
        <v>2630</v>
      </c>
      <c r="AL266" s="75" t="s">
        <v>2815</v>
      </c>
      <c r="AM266" s="75"/>
      <c r="AN266" s="75"/>
      <c r="AO266" s="77">
        <v>42417.84086805556</v>
      </c>
      <c r="AP266" s="82" t="str">
        <f>HYPERLINK("https://pbs.twimg.com/profile_banners/4922362298/1625685793")</f>
        <v>https://pbs.twimg.com/profile_banners/4922362298/1625685793</v>
      </c>
      <c r="AQ266" s="75" t="b">
        <v>0</v>
      </c>
      <c r="AR266" s="75" t="b">
        <v>0</v>
      </c>
      <c r="AS266" s="75" t="b">
        <v>1</v>
      </c>
      <c r="AT266" s="75"/>
      <c r="AU266" s="75">
        <v>0</v>
      </c>
      <c r="AV266" s="82" t="str">
        <f>HYPERLINK("https://abs.twimg.com/images/themes/theme1/bg.png")</f>
        <v>https://abs.twimg.com/images/themes/theme1/bg.png</v>
      </c>
      <c r="AW266" s="75" t="b">
        <v>0</v>
      </c>
      <c r="AX266" s="75" t="s">
        <v>2845</v>
      </c>
      <c r="AY266" s="82" t="str">
        <f>HYPERLINK("https://twitter.com/24_yuvi")</f>
        <v>https://twitter.com/24_yuvi</v>
      </c>
      <c r="AZ266" s="75" t="s">
        <v>66</v>
      </c>
      <c r="BA266" s="75" t="str">
        <f>REPLACE(INDEX(GroupVertices[Group],MATCH(Vertices[[#This Row],[Vertex]],GroupVertices[Vertex],0)),1,1,"")</f>
        <v>2</v>
      </c>
      <c r="BB266" s="45">
        <v>0</v>
      </c>
      <c r="BC266" s="46">
        <v>0</v>
      </c>
      <c r="BD266" s="45">
        <v>0</v>
      </c>
      <c r="BE266" s="46">
        <v>0</v>
      </c>
      <c r="BF266" s="45">
        <v>0</v>
      </c>
      <c r="BG266" s="46">
        <v>0</v>
      </c>
      <c r="BH266" s="45">
        <v>16</v>
      </c>
      <c r="BI266" s="46">
        <v>100</v>
      </c>
      <c r="BJ266" s="45">
        <v>16</v>
      </c>
      <c r="BK266" s="45" t="s">
        <v>4398</v>
      </c>
      <c r="BL266" s="45" t="s">
        <v>4398</v>
      </c>
      <c r="BM266" s="45" t="s">
        <v>783</v>
      </c>
      <c r="BN266" s="45" t="s">
        <v>783</v>
      </c>
      <c r="BO266" s="45" t="s">
        <v>795</v>
      </c>
      <c r="BP266" s="45" t="s">
        <v>795</v>
      </c>
      <c r="BQ266" s="110" t="s">
        <v>4522</v>
      </c>
      <c r="BR266" s="110" t="s">
        <v>4522</v>
      </c>
      <c r="BS266" s="110" t="s">
        <v>4637</v>
      </c>
      <c r="BT266" s="110" t="s">
        <v>4637</v>
      </c>
      <c r="BU266" s="2"/>
    </row>
    <row r="267" spans="1:73" ht="15">
      <c r="A267" s="61" t="s">
        <v>404</v>
      </c>
      <c r="B267" s="62"/>
      <c r="C267" s="62"/>
      <c r="D267" s="63">
        <v>100</v>
      </c>
      <c r="E267" s="65"/>
      <c r="F267" s="99" t="str">
        <f>HYPERLINK("https://abs.twimg.com/sticky/default_profile_images/default_profile_normal.png")</f>
        <v>https://abs.twimg.com/sticky/default_profile_images/default_profile_normal.png</v>
      </c>
      <c r="G267" s="62"/>
      <c r="H267" s="66" t="s">
        <v>404</v>
      </c>
      <c r="I267" s="67"/>
      <c r="J267" s="67"/>
      <c r="K267" s="66" t="s">
        <v>3109</v>
      </c>
      <c r="L267" s="70">
        <v>1</v>
      </c>
      <c r="M267" s="71">
        <v>2325.064208984375</v>
      </c>
      <c r="N267" s="71">
        <v>8927.619140625</v>
      </c>
      <c r="O267" s="72"/>
      <c r="P267" s="73"/>
      <c r="Q267" s="73"/>
      <c r="R267" s="85"/>
      <c r="S267" s="45">
        <v>0</v>
      </c>
      <c r="T267" s="45">
        <v>1</v>
      </c>
      <c r="U267" s="46">
        <v>0</v>
      </c>
      <c r="V267" s="46">
        <v>0.071498</v>
      </c>
      <c r="W267" s="46">
        <v>0.030733</v>
      </c>
      <c r="X267" s="46">
        <v>0.002664</v>
      </c>
      <c r="Y267" s="46">
        <v>0</v>
      </c>
      <c r="Z267" s="46">
        <v>0</v>
      </c>
      <c r="AA267" s="68">
        <v>267</v>
      </c>
      <c r="AB267" s="68"/>
      <c r="AC267" s="69"/>
      <c r="AD267" s="75" t="s">
        <v>2100</v>
      </c>
      <c r="AE267" s="80" t="s">
        <v>2365</v>
      </c>
      <c r="AF267" s="75">
        <v>37</v>
      </c>
      <c r="AG267" s="75">
        <v>2</v>
      </c>
      <c r="AH267" s="75">
        <v>302</v>
      </c>
      <c r="AI267" s="75">
        <v>458</v>
      </c>
      <c r="AJ267" s="75"/>
      <c r="AK267" s="75"/>
      <c r="AL267" s="75"/>
      <c r="AM267" s="75"/>
      <c r="AN267" s="75"/>
      <c r="AO267" s="77">
        <v>44805.40383101852</v>
      </c>
      <c r="AP267" s="75"/>
      <c r="AQ267" s="75" t="b">
        <v>1</v>
      </c>
      <c r="AR267" s="75" t="b">
        <v>1</v>
      </c>
      <c r="AS267" s="75" t="b">
        <v>0</v>
      </c>
      <c r="AT267" s="75"/>
      <c r="AU267" s="75">
        <v>0</v>
      </c>
      <c r="AV267" s="75"/>
      <c r="AW267" s="75" t="b">
        <v>0</v>
      </c>
      <c r="AX267" s="75" t="s">
        <v>2845</v>
      </c>
      <c r="AY267" s="82" t="str">
        <f>HYPERLINK("https://twitter.com/cnyana322")</f>
        <v>https://twitter.com/cnyana322</v>
      </c>
      <c r="AZ267" s="75" t="s">
        <v>66</v>
      </c>
      <c r="BA267" s="75" t="str">
        <f>REPLACE(INDEX(GroupVertices[Group],MATCH(Vertices[[#This Row],[Vertex]],GroupVertices[Vertex],0)),1,1,"")</f>
        <v>3</v>
      </c>
      <c r="BB267" s="45">
        <v>0</v>
      </c>
      <c r="BC267" s="46">
        <v>0</v>
      </c>
      <c r="BD267" s="45">
        <v>0</v>
      </c>
      <c r="BE267" s="46">
        <v>0</v>
      </c>
      <c r="BF267" s="45">
        <v>0</v>
      </c>
      <c r="BG267" s="46">
        <v>0</v>
      </c>
      <c r="BH267" s="45">
        <v>10</v>
      </c>
      <c r="BI267" s="46">
        <v>100</v>
      </c>
      <c r="BJ267" s="45">
        <v>10</v>
      </c>
      <c r="BK267" s="45"/>
      <c r="BL267" s="45"/>
      <c r="BM267" s="45"/>
      <c r="BN267" s="45"/>
      <c r="BO267" s="45" t="s">
        <v>819</v>
      </c>
      <c r="BP267" s="45" t="s">
        <v>819</v>
      </c>
      <c r="BQ267" s="110" t="s">
        <v>4521</v>
      </c>
      <c r="BR267" s="110" t="s">
        <v>4521</v>
      </c>
      <c r="BS267" s="110" t="s">
        <v>4636</v>
      </c>
      <c r="BT267" s="110" t="s">
        <v>4636</v>
      </c>
      <c r="BU267" s="2"/>
    </row>
    <row r="268" spans="1:73" ht="15">
      <c r="A268" s="61" t="s">
        <v>405</v>
      </c>
      <c r="B268" s="62"/>
      <c r="C268" s="62"/>
      <c r="D268" s="63">
        <v>100</v>
      </c>
      <c r="E268" s="65"/>
      <c r="F268" s="99" t="str">
        <f>HYPERLINK("https://pbs.twimg.com/profile_images/1568827986241011713/IP20qKm__normal.jpg")</f>
        <v>https://pbs.twimg.com/profile_images/1568827986241011713/IP20qKm__normal.jpg</v>
      </c>
      <c r="G268" s="62"/>
      <c r="H268" s="66" t="s">
        <v>405</v>
      </c>
      <c r="I268" s="67"/>
      <c r="J268" s="67"/>
      <c r="K268" s="66" t="s">
        <v>3110</v>
      </c>
      <c r="L268" s="70">
        <v>1</v>
      </c>
      <c r="M268" s="71">
        <v>8718.640625</v>
      </c>
      <c r="N268" s="71">
        <v>785.1778564453125</v>
      </c>
      <c r="O268" s="72"/>
      <c r="P268" s="73"/>
      <c r="Q268" s="73"/>
      <c r="R268" s="85"/>
      <c r="S268" s="45">
        <v>0</v>
      </c>
      <c r="T268" s="45">
        <v>1</v>
      </c>
      <c r="U268" s="46">
        <v>0</v>
      </c>
      <c r="V268" s="46">
        <v>0.003058</v>
      </c>
      <c r="W268" s="46">
        <v>0</v>
      </c>
      <c r="X268" s="46">
        <v>0.003049</v>
      </c>
      <c r="Y268" s="46">
        <v>0</v>
      </c>
      <c r="Z268" s="46">
        <v>0</v>
      </c>
      <c r="AA268" s="68">
        <v>268</v>
      </c>
      <c r="AB268" s="68"/>
      <c r="AC268" s="69"/>
      <c r="AD268" s="75" t="s">
        <v>2101</v>
      </c>
      <c r="AE268" s="80" t="s">
        <v>2366</v>
      </c>
      <c r="AF268" s="75">
        <v>635</v>
      </c>
      <c r="AG268" s="75">
        <v>32</v>
      </c>
      <c r="AH268" s="75">
        <v>2862</v>
      </c>
      <c r="AI268" s="75">
        <v>2411</v>
      </c>
      <c r="AJ268" s="75"/>
      <c r="AK268" s="75" t="s">
        <v>2631</v>
      </c>
      <c r="AL268" s="75"/>
      <c r="AM268" s="75"/>
      <c r="AN268" s="75"/>
      <c r="AO268" s="77">
        <v>44802.60563657407</v>
      </c>
      <c r="AP268" s="82" t="str">
        <f>HYPERLINK("https://pbs.twimg.com/profile_banners/1564259548524863490/1662257964")</f>
        <v>https://pbs.twimg.com/profile_banners/1564259548524863490/1662257964</v>
      </c>
      <c r="AQ268" s="75" t="b">
        <v>1</v>
      </c>
      <c r="AR268" s="75" t="b">
        <v>0</v>
      </c>
      <c r="AS268" s="75" t="b">
        <v>0</v>
      </c>
      <c r="AT268" s="75"/>
      <c r="AU268" s="75">
        <v>2</v>
      </c>
      <c r="AV268" s="75"/>
      <c r="AW268" s="75" t="b">
        <v>0</v>
      </c>
      <c r="AX268" s="75" t="s">
        <v>2845</v>
      </c>
      <c r="AY268" s="82" t="str">
        <f>HYPERLINK("https://twitter.com/tuk95993809")</f>
        <v>https://twitter.com/tuk95993809</v>
      </c>
      <c r="AZ268" s="75" t="s">
        <v>66</v>
      </c>
      <c r="BA268" s="75" t="str">
        <f>REPLACE(INDEX(GroupVertices[Group],MATCH(Vertices[[#This Row],[Vertex]],GroupVertices[Vertex],0)),1,1,"")</f>
        <v>39</v>
      </c>
      <c r="BB268" s="45">
        <v>0</v>
      </c>
      <c r="BC268" s="46">
        <v>0</v>
      </c>
      <c r="BD268" s="45">
        <v>0</v>
      </c>
      <c r="BE268" s="46">
        <v>0</v>
      </c>
      <c r="BF268" s="45">
        <v>0</v>
      </c>
      <c r="BG268" s="46">
        <v>0</v>
      </c>
      <c r="BH268" s="45">
        <v>17</v>
      </c>
      <c r="BI268" s="46">
        <v>100</v>
      </c>
      <c r="BJ268" s="45">
        <v>17</v>
      </c>
      <c r="BK268" s="45"/>
      <c r="BL268" s="45"/>
      <c r="BM268" s="45"/>
      <c r="BN268" s="45"/>
      <c r="BO268" s="45" t="s">
        <v>795</v>
      </c>
      <c r="BP268" s="45" t="s">
        <v>795</v>
      </c>
      <c r="BQ268" s="110" t="s">
        <v>4523</v>
      </c>
      <c r="BR268" s="110" t="s">
        <v>4523</v>
      </c>
      <c r="BS268" s="110" t="s">
        <v>4638</v>
      </c>
      <c r="BT268" s="110" t="s">
        <v>4638</v>
      </c>
      <c r="BU268" s="2"/>
    </row>
    <row r="269" spans="1:73" ht="15">
      <c r="A269" s="61" t="s">
        <v>544</v>
      </c>
      <c r="B269" s="62"/>
      <c r="C269" s="62"/>
      <c r="D269" s="63">
        <v>100</v>
      </c>
      <c r="E269" s="65"/>
      <c r="F269" s="99" t="str">
        <f>HYPERLINK("https://pbs.twimg.com/profile_images/1561405916687306759/CddRuM4p_normal.jpg")</f>
        <v>https://pbs.twimg.com/profile_images/1561405916687306759/CddRuM4p_normal.jpg</v>
      </c>
      <c r="G269" s="62"/>
      <c r="H269" s="66" t="s">
        <v>544</v>
      </c>
      <c r="I269" s="67"/>
      <c r="J269" s="67"/>
      <c r="K269" s="66" t="s">
        <v>3111</v>
      </c>
      <c r="L269" s="70">
        <v>1</v>
      </c>
      <c r="M269" s="71">
        <v>8718.640625</v>
      </c>
      <c r="N269" s="71">
        <v>1073.610595703125</v>
      </c>
      <c r="O269" s="72"/>
      <c r="P269" s="73"/>
      <c r="Q269" s="73"/>
      <c r="R269" s="85"/>
      <c r="S269" s="45">
        <v>1</v>
      </c>
      <c r="T269" s="45">
        <v>0</v>
      </c>
      <c r="U269" s="46">
        <v>0</v>
      </c>
      <c r="V269" s="46">
        <v>0.003058</v>
      </c>
      <c r="W269" s="46">
        <v>0</v>
      </c>
      <c r="X269" s="46">
        <v>0.003049</v>
      </c>
      <c r="Y269" s="46">
        <v>0</v>
      </c>
      <c r="Z269" s="46">
        <v>0</v>
      </c>
      <c r="AA269" s="68">
        <v>269</v>
      </c>
      <c r="AB269" s="68"/>
      <c r="AC269" s="69"/>
      <c r="AD269" s="75" t="s">
        <v>2102</v>
      </c>
      <c r="AE269" s="80" t="s">
        <v>1735</v>
      </c>
      <c r="AF269" s="75">
        <v>1144</v>
      </c>
      <c r="AG269" s="75">
        <v>41167</v>
      </c>
      <c r="AH269" s="75">
        <v>19158</v>
      </c>
      <c r="AI269" s="75">
        <v>23747</v>
      </c>
      <c r="AJ269" s="75"/>
      <c r="AK269" s="75" t="s">
        <v>2632</v>
      </c>
      <c r="AL269" s="75" t="s">
        <v>2816</v>
      </c>
      <c r="AM269" s="82" t="str">
        <f>HYPERLINK("https://t.co/QNXOZRHIAb")</f>
        <v>https://t.co/QNXOZRHIAb</v>
      </c>
      <c r="AN269" s="75"/>
      <c r="AO269" s="77">
        <v>42191.379479166666</v>
      </c>
      <c r="AP269" s="82" t="str">
        <f>HYPERLINK("https://pbs.twimg.com/profile_banners/3362160970/1660059214")</f>
        <v>https://pbs.twimg.com/profile_banners/3362160970/1660059214</v>
      </c>
      <c r="AQ269" s="75" t="b">
        <v>0</v>
      </c>
      <c r="AR269" s="75" t="b">
        <v>0</v>
      </c>
      <c r="AS269" s="75" t="b">
        <v>0</v>
      </c>
      <c r="AT269" s="75"/>
      <c r="AU269" s="75">
        <v>619</v>
      </c>
      <c r="AV269" s="82" t="str">
        <f>HYPERLINK("https://abs.twimg.com/images/themes/theme1/bg.png")</f>
        <v>https://abs.twimg.com/images/themes/theme1/bg.png</v>
      </c>
      <c r="AW269" s="75" t="b">
        <v>1</v>
      </c>
      <c r="AX269" s="75" t="s">
        <v>2845</v>
      </c>
      <c r="AY269" s="82" t="str">
        <f>HYPERLINK("https://twitter.com/mariana_betsa")</f>
        <v>https://twitter.com/mariana_betsa</v>
      </c>
      <c r="AZ269" s="75" t="s">
        <v>65</v>
      </c>
      <c r="BA269" s="75" t="str">
        <f>REPLACE(INDEX(GroupVertices[Group],MATCH(Vertices[[#This Row],[Vertex]],GroupVertices[Vertex],0)),1,1,"")</f>
        <v>39</v>
      </c>
      <c r="BB269" s="45"/>
      <c r="BC269" s="46"/>
      <c r="BD269" s="45"/>
      <c r="BE269" s="46"/>
      <c r="BF269" s="45"/>
      <c r="BG269" s="46"/>
      <c r="BH269" s="45"/>
      <c r="BI269" s="46"/>
      <c r="BJ269" s="45"/>
      <c r="BK269" s="45"/>
      <c r="BL269" s="45"/>
      <c r="BM269" s="45"/>
      <c r="BN269" s="45"/>
      <c r="BO269" s="45"/>
      <c r="BP269" s="45"/>
      <c r="BQ269" s="45"/>
      <c r="BR269" s="45"/>
      <c r="BS269" s="45"/>
      <c r="BT269" s="45"/>
      <c r="BU269" s="2"/>
    </row>
    <row r="270" spans="1:73" ht="15">
      <c r="A270" s="61" t="s">
        <v>406</v>
      </c>
      <c r="B270" s="62"/>
      <c r="C270" s="62"/>
      <c r="D270" s="63">
        <v>100</v>
      </c>
      <c r="E270" s="65"/>
      <c r="F270" s="99" t="str">
        <f>HYPERLINK("https://pbs.twimg.com/profile_images/1451454536598568964/6w-ck7uv_normal.jpg")</f>
        <v>https://pbs.twimg.com/profile_images/1451454536598568964/6w-ck7uv_normal.jpg</v>
      </c>
      <c r="G270" s="62"/>
      <c r="H270" s="66" t="s">
        <v>406</v>
      </c>
      <c r="I270" s="67"/>
      <c r="J270" s="67"/>
      <c r="K270" s="66" t="s">
        <v>3112</v>
      </c>
      <c r="L270" s="70">
        <v>1</v>
      </c>
      <c r="M270" s="71">
        <v>2982.01318359375</v>
      </c>
      <c r="N270" s="71">
        <v>7370.3935546875</v>
      </c>
      <c r="O270" s="72"/>
      <c r="P270" s="73"/>
      <c r="Q270" s="73"/>
      <c r="R270" s="85"/>
      <c r="S270" s="45">
        <v>0</v>
      </c>
      <c r="T270" s="45">
        <v>1</v>
      </c>
      <c r="U270" s="46">
        <v>0</v>
      </c>
      <c r="V270" s="46">
        <v>0.071498</v>
      </c>
      <c r="W270" s="46">
        <v>0.030733</v>
      </c>
      <c r="X270" s="46">
        <v>0.002664</v>
      </c>
      <c r="Y270" s="46">
        <v>0</v>
      </c>
      <c r="Z270" s="46">
        <v>0</v>
      </c>
      <c r="AA270" s="68">
        <v>270</v>
      </c>
      <c r="AB270" s="68"/>
      <c r="AC270" s="69"/>
      <c r="AD270" s="75" t="s">
        <v>2103</v>
      </c>
      <c r="AE270" s="80" t="s">
        <v>2367</v>
      </c>
      <c r="AF270" s="75">
        <v>650</v>
      </c>
      <c r="AG270" s="75">
        <v>5725</v>
      </c>
      <c r="AH270" s="75">
        <v>190582</v>
      </c>
      <c r="AI270" s="75">
        <v>52610</v>
      </c>
      <c r="AJ270" s="75"/>
      <c r="AK270" s="75" t="s">
        <v>2633</v>
      </c>
      <c r="AL270" s="75" t="s">
        <v>2817</v>
      </c>
      <c r="AM270" s="82" t="str">
        <f>HYPERLINK("https://t.co/SicwkCuWkK")</f>
        <v>https://t.co/SicwkCuWkK</v>
      </c>
      <c r="AN270" s="75"/>
      <c r="AO270" s="77">
        <v>41485.82309027778</v>
      </c>
      <c r="AP270" s="82" t="str">
        <f>HYPERLINK("https://pbs.twimg.com/profile_banners/1633710211/1634889004")</f>
        <v>https://pbs.twimg.com/profile_banners/1633710211/1634889004</v>
      </c>
      <c r="AQ270" s="75" t="b">
        <v>0</v>
      </c>
      <c r="AR270" s="75" t="b">
        <v>0</v>
      </c>
      <c r="AS270" s="75" t="b">
        <v>1</v>
      </c>
      <c r="AT270" s="75"/>
      <c r="AU270" s="75">
        <v>30</v>
      </c>
      <c r="AV270" s="82" t="str">
        <f>HYPERLINK("https://abs.twimg.com/images/themes/theme19/bg.gif")</f>
        <v>https://abs.twimg.com/images/themes/theme19/bg.gif</v>
      </c>
      <c r="AW270" s="75" t="b">
        <v>0</v>
      </c>
      <c r="AX270" s="75" t="s">
        <v>2845</v>
      </c>
      <c r="AY270" s="82" t="str">
        <f>HYPERLINK("https://twitter.com/arasdal7")</f>
        <v>https://twitter.com/arasdal7</v>
      </c>
      <c r="AZ270" s="75" t="s">
        <v>66</v>
      </c>
      <c r="BA270" s="75" t="str">
        <f>REPLACE(INDEX(GroupVertices[Group],MATCH(Vertices[[#This Row],[Vertex]],GroupVertices[Vertex],0)),1,1,"")</f>
        <v>3</v>
      </c>
      <c r="BB270" s="45">
        <v>0</v>
      </c>
      <c r="BC270" s="46">
        <v>0</v>
      </c>
      <c r="BD270" s="45">
        <v>0</v>
      </c>
      <c r="BE270" s="46">
        <v>0</v>
      </c>
      <c r="BF270" s="45">
        <v>0</v>
      </c>
      <c r="BG270" s="46">
        <v>0</v>
      </c>
      <c r="BH270" s="45">
        <v>5</v>
      </c>
      <c r="BI270" s="46">
        <v>100</v>
      </c>
      <c r="BJ270" s="45">
        <v>5</v>
      </c>
      <c r="BK270" s="45"/>
      <c r="BL270" s="45"/>
      <c r="BM270" s="45"/>
      <c r="BN270" s="45"/>
      <c r="BO270" s="45" t="s">
        <v>857</v>
      </c>
      <c r="BP270" s="45" t="s">
        <v>857</v>
      </c>
      <c r="BQ270" s="110" t="s">
        <v>4524</v>
      </c>
      <c r="BR270" s="110" t="s">
        <v>4524</v>
      </c>
      <c r="BS270" s="110" t="s">
        <v>4639</v>
      </c>
      <c r="BT270" s="110" t="s">
        <v>4639</v>
      </c>
      <c r="BU270" s="2"/>
    </row>
    <row r="271" spans="1:73" ht="15">
      <c r="A271" s="61" t="s">
        <v>407</v>
      </c>
      <c r="B271" s="62"/>
      <c r="C271" s="62"/>
      <c r="D271" s="63">
        <v>100</v>
      </c>
      <c r="E271" s="65"/>
      <c r="F271" s="99" t="str">
        <f>HYPERLINK("https://pbs.twimg.com/profile_images/1242761071749890048/s64OEQOZ_normal.jpg")</f>
        <v>https://pbs.twimg.com/profile_images/1242761071749890048/s64OEQOZ_normal.jpg</v>
      </c>
      <c r="G271" s="62"/>
      <c r="H271" s="66" t="s">
        <v>407</v>
      </c>
      <c r="I271" s="67"/>
      <c r="J271" s="67"/>
      <c r="K271" s="66" t="s">
        <v>3113</v>
      </c>
      <c r="L271" s="70">
        <v>1</v>
      </c>
      <c r="M271" s="71">
        <v>1225.4871826171875</v>
      </c>
      <c r="N271" s="71">
        <v>2403.605712890625</v>
      </c>
      <c r="O271" s="72"/>
      <c r="P271" s="73"/>
      <c r="Q271" s="73"/>
      <c r="R271" s="85"/>
      <c r="S271" s="45">
        <v>1</v>
      </c>
      <c r="T271" s="45">
        <v>1</v>
      </c>
      <c r="U271" s="46">
        <v>0</v>
      </c>
      <c r="V271" s="46">
        <v>0</v>
      </c>
      <c r="W271" s="46">
        <v>0</v>
      </c>
      <c r="X271" s="46">
        <v>0.003049</v>
      </c>
      <c r="Y271" s="46">
        <v>0</v>
      </c>
      <c r="Z271" s="46">
        <v>0</v>
      </c>
      <c r="AA271" s="68">
        <v>271</v>
      </c>
      <c r="AB271" s="68"/>
      <c r="AC271" s="69"/>
      <c r="AD271" s="75" t="s">
        <v>2104</v>
      </c>
      <c r="AE271" s="80" t="s">
        <v>2368</v>
      </c>
      <c r="AF271" s="75">
        <v>76</v>
      </c>
      <c r="AG271" s="75">
        <v>34338</v>
      </c>
      <c r="AH271" s="75">
        <v>7779</v>
      </c>
      <c r="AI271" s="75">
        <v>22465</v>
      </c>
      <c r="AJ271" s="75"/>
      <c r="AK271" s="75" t="s">
        <v>2634</v>
      </c>
      <c r="AL271" s="75" t="s">
        <v>2818</v>
      </c>
      <c r="AM271" s="82" t="str">
        <f>HYPERLINK("https://t.co/f05HjFwKSi")</f>
        <v>https://t.co/f05HjFwKSi</v>
      </c>
      <c r="AN271" s="75"/>
      <c r="AO271" s="77">
        <v>42036.6300462963</v>
      </c>
      <c r="AP271" s="82" t="str">
        <f>HYPERLINK("https://pbs.twimg.com/profile_banners/3010277369/1558704951")</f>
        <v>https://pbs.twimg.com/profile_banners/3010277369/1558704951</v>
      </c>
      <c r="AQ271" s="75" t="b">
        <v>0</v>
      </c>
      <c r="AR271" s="75" t="b">
        <v>0</v>
      </c>
      <c r="AS271" s="75" t="b">
        <v>1</v>
      </c>
      <c r="AT271" s="75"/>
      <c r="AU271" s="75">
        <v>102</v>
      </c>
      <c r="AV271" s="82" t="str">
        <f>HYPERLINK("https://abs.twimg.com/images/themes/theme1/bg.png")</f>
        <v>https://abs.twimg.com/images/themes/theme1/bg.png</v>
      </c>
      <c r="AW271" s="75" t="b">
        <v>0</v>
      </c>
      <c r="AX271" s="75" t="s">
        <v>2845</v>
      </c>
      <c r="AY271" s="82" t="str">
        <f>HYPERLINK("https://twitter.com/evabergamo")</f>
        <v>https://twitter.com/evabergamo</v>
      </c>
      <c r="AZ271" s="75" t="s">
        <v>66</v>
      </c>
      <c r="BA271" s="75" t="str">
        <f>REPLACE(INDEX(GroupVertices[Group],MATCH(Vertices[[#This Row],[Vertex]],GroupVertices[Vertex],0)),1,1,"")</f>
        <v>2</v>
      </c>
      <c r="BB271" s="45">
        <v>0</v>
      </c>
      <c r="BC271" s="46">
        <v>0</v>
      </c>
      <c r="BD271" s="45">
        <v>0</v>
      </c>
      <c r="BE271" s="46">
        <v>0</v>
      </c>
      <c r="BF271" s="45">
        <v>0</v>
      </c>
      <c r="BG271" s="46">
        <v>0</v>
      </c>
      <c r="BH271" s="45">
        <v>1</v>
      </c>
      <c r="BI271" s="46">
        <v>100</v>
      </c>
      <c r="BJ271" s="45">
        <v>1</v>
      </c>
      <c r="BK271" s="45" t="s">
        <v>4399</v>
      </c>
      <c r="BL271" s="45" t="s">
        <v>4399</v>
      </c>
      <c r="BM271" s="45" t="s">
        <v>783</v>
      </c>
      <c r="BN271" s="45" t="s">
        <v>783</v>
      </c>
      <c r="BO271" s="45" t="s">
        <v>795</v>
      </c>
      <c r="BP271" s="45" t="s">
        <v>795</v>
      </c>
      <c r="BQ271" s="110" t="s">
        <v>3260</v>
      </c>
      <c r="BR271" s="110" t="s">
        <v>3260</v>
      </c>
      <c r="BS271" s="110" t="s">
        <v>1674</v>
      </c>
      <c r="BT271" s="110" t="s">
        <v>1674</v>
      </c>
      <c r="BU271" s="2"/>
    </row>
    <row r="272" spans="1:73" ht="15">
      <c r="A272" s="61" t="s">
        <v>408</v>
      </c>
      <c r="B272" s="62"/>
      <c r="C272" s="62"/>
      <c r="D272" s="63">
        <v>100</v>
      </c>
      <c r="E272" s="65"/>
      <c r="F272" s="99" t="str">
        <f>HYPERLINK("https://abs.twimg.com/sticky/default_profile_images/default_profile_normal.png")</f>
        <v>https://abs.twimg.com/sticky/default_profile_images/default_profile_normal.png</v>
      </c>
      <c r="G272" s="62"/>
      <c r="H272" s="66" t="s">
        <v>408</v>
      </c>
      <c r="I272" s="67"/>
      <c r="J272" s="67"/>
      <c r="K272" s="66" t="s">
        <v>3114</v>
      </c>
      <c r="L272" s="70">
        <v>1</v>
      </c>
      <c r="M272" s="71">
        <v>2424.6572265625</v>
      </c>
      <c r="N272" s="71">
        <v>7550.9912109375</v>
      </c>
      <c r="O272" s="72"/>
      <c r="P272" s="73"/>
      <c r="Q272" s="73"/>
      <c r="R272" s="85"/>
      <c r="S272" s="45">
        <v>0</v>
      </c>
      <c r="T272" s="45">
        <v>2</v>
      </c>
      <c r="U272" s="46">
        <v>0</v>
      </c>
      <c r="V272" s="46">
        <v>0.088625</v>
      </c>
      <c r="W272" s="46">
        <v>0.071477</v>
      </c>
      <c r="X272" s="46">
        <v>0.002746</v>
      </c>
      <c r="Y272" s="46">
        <v>0.5</v>
      </c>
      <c r="Z272" s="46">
        <v>0</v>
      </c>
      <c r="AA272" s="68">
        <v>272</v>
      </c>
      <c r="AB272" s="68"/>
      <c r="AC272" s="69"/>
      <c r="AD272" s="75" t="s">
        <v>2105</v>
      </c>
      <c r="AE272" s="80" t="s">
        <v>2369</v>
      </c>
      <c r="AF272" s="75">
        <v>2209</v>
      </c>
      <c r="AG272" s="75">
        <v>288</v>
      </c>
      <c r="AH272" s="75">
        <v>25827</v>
      </c>
      <c r="AI272" s="75">
        <v>58180</v>
      </c>
      <c r="AJ272" s="75"/>
      <c r="AK272" s="75" t="s">
        <v>2635</v>
      </c>
      <c r="AL272" s="75"/>
      <c r="AM272" s="75"/>
      <c r="AN272" s="75"/>
      <c r="AO272" s="77">
        <v>44446.691412037035</v>
      </c>
      <c r="AP272" s="75"/>
      <c r="AQ272" s="75" t="b">
        <v>1</v>
      </c>
      <c r="AR272" s="75" t="b">
        <v>1</v>
      </c>
      <c r="AS272" s="75" t="b">
        <v>0</v>
      </c>
      <c r="AT272" s="75"/>
      <c r="AU272" s="75">
        <v>0</v>
      </c>
      <c r="AV272" s="75"/>
      <c r="AW272" s="75" t="b">
        <v>0</v>
      </c>
      <c r="AX272" s="75" t="s">
        <v>2845</v>
      </c>
      <c r="AY272" s="82" t="str">
        <f>HYPERLINK("https://twitter.com/star48625796202")</f>
        <v>https://twitter.com/star48625796202</v>
      </c>
      <c r="AZ272" s="75" t="s">
        <v>66</v>
      </c>
      <c r="BA272" s="75" t="str">
        <f>REPLACE(INDEX(GroupVertices[Group],MATCH(Vertices[[#This Row],[Vertex]],GroupVertices[Vertex],0)),1,1,"")</f>
        <v>3</v>
      </c>
      <c r="BB272" s="45">
        <v>0</v>
      </c>
      <c r="BC272" s="46">
        <v>0</v>
      </c>
      <c r="BD272" s="45">
        <v>0</v>
      </c>
      <c r="BE272" s="46">
        <v>0</v>
      </c>
      <c r="BF272" s="45">
        <v>0</v>
      </c>
      <c r="BG272" s="46">
        <v>0</v>
      </c>
      <c r="BH272" s="45">
        <v>177</v>
      </c>
      <c r="BI272" s="46">
        <v>100</v>
      </c>
      <c r="BJ272" s="45">
        <v>177</v>
      </c>
      <c r="BK272" s="45"/>
      <c r="BL272" s="45"/>
      <c r="BM272" s="45"/>
      <c r="BN272" s="45"/>
      <c r="BO272" s="45" t="s">
        <v>4420</v>
      </c>
      <c r="BP272" s="45" t="s">
        <v>4439</v>
      </c>
      <c r="BQ272" s="110" t="s">
        <v>4525</v>
      </c>
      <c r="BR272" s="110" t="s">
        <v>4558</v>
      </c>
      <c r="BS272" s="110" t="s">
        <v>4640</v>
      </c>
      <c r="BT272" s="110" t="s">
        <v>4662</v>
      </c>
      <c r="BU272" s="2"/>
    </row>
    <row r="273" spans="1:73" ht="15">
      <c r="A273" s="61" t="s">
        <v>409</v>
      </c>
      <c r="B273" s="62"/>
      <c r="C273" s="62"/>
      <c r="D273" s="63">
        <v>124.20875454545455</v>
      </c>
      <c r="E273" s="65"/>
      <c r="F273" s="99" t="str">
        <f>HYPERLINK("https://pbs.twimg.com/profile_images/808273775905087488/6GlIevjV_normal.jpg")</f>
        <v>https://pbs.twimg.com/profile_images/808273775905087488/6GlIevjV_normal.jpg</v>
      </c>
      <c r="G273" s="62"/>
      <c r="H273" s="66" t="s">
        <v>409</v>
      </c>
      <c r="I273" s="67"/>
      <c r="J273" s="67"/>
      <c r="K273" s="66" t="s">
        <v>3115</v>
      </c>
      <c r="L273" s="70">
        <v>36.5122498343946</v>
      </c>
      <c r="M273" s="71">
        <v>965.7681274414062</v>
      </c>
      <c r="N273" s="71">
        <v>7171.17236328125</v>
      </c>
      <c r="O273" s="72"/>
      <c r="P273" s="73"/>
      <c r="Q273" s="73"/>
      <c r="R273" s="85"/>
      <c r="S273" s="45">
        <v>0</v>
      </c>
      <c r="T273" s="45">
        <v>3</v>
      </c>
      <c r="U273" s="46">
        <v>15.977778</v>
      </c>
      <c r="V273" s="46">
        <v>0.094132</v>
      </c>
      <c r="W273" s="46">
        <v>0.173142</v>
      </c>
      <c r="X273" s="46">
        <v>0.002975</v>
      </c>
      <c r="Y273" s="46">
        <v>0.3333333333333333</v>
      </c>
      <c r="Z273" s="46">
        <v>0</v>
      </c>
      <c r="AA273" s="68">
        <v>273</v>
      </c>
      <c r="AB273" s="68"/>
      <c r="AC273" s="69"/>
      <c r="AD273" s="75" t="s">
        <v>2106</v>
      </c>
      <c r="AE273" s="80" t="s">
        <v>2370</v>
      </c>
      <c r="AF273" s="75">
        <v>725</v>
      </c>
      <c r="AG273" s="75">
        <v>205</v>
      </c>
      <c r="AH273" s="75">
        <v>29510</v>
      </c>
      <c r="AI273" s="75">
        <v>107865</v>
      </c>
      <c r="AJ273" s="75"/>
      <c r="AK273" s="75"/>
      <c r="AL273" s="75"/>
      <c r="AM273" s="75"/>
      <c r="AN273" s="75"/>
      <c r="AO273" s="77">
        <v>41720.69950231481</v>
      </c>
      <c r="AP273" s="82" t="str">
        <f>HYPERLINK("https://pbs.twimg.com/profile_banners/2404771087/1481542461")</f>
        <v>https://pbs.twimg.com/profile_banners/2404771087/1481542461</v>
      </c>
      <c r="AQ273" s="75" t="b">
        <v>1</v>
      </c>
      <c r="AR273" s="75" t="b">
        <v>0</v>
      </c>
      <c r="AS273" s="75" t="b">
        <v>0</v>
      </c>
      <c r="AT273" s="75"/>
      <c r="AU273" s="75">
        <v>2</v>
      </c>
      <c r="AV273" s="82" t="str">
        <f>HYPERLINK("https://abs.twimg.com/images/themes/theme1/bg.png")</f>
        <v>https://abs.twimg.com/images/themes/theme1/bg.png</v>
      </c>
      <c r="AW273" s="75" t="b">
        <v>0</v>
      </c>
      <c r="AX273" s="75" t="s">
        <v>2845</v>
      </c>
      <c r="AY273" s="82" t="str">
        <f>HYPERLINK("https://twitter.com/tkelic")</f>
        <v>https://twitter.com/tkelic</v>
      </c>
      <c r="AZ273" s="75" t="s">
        <v>66</v>
      </c>
      <c r="BA273" s="75" t="str">
        <f>REPLACE(INDEX(GroupVertices[Group],MATCH(Vertices[[#This Row],[Vertex]],GroupVertices[Vertex],0)),1,1,"")</f>
        <v>1</v>
      </c>
      <c r="BB273" s="45">
        <v>0</v>
      </c>
      <c r="BC273" s="46">
        <v>0</v>
      </c>
      <c r="BD273" s="45">
        <v>0</v>
      </c>
      <c r="BE273" s="46">
        <v>0</v>
      </c>
      <c r="BF273" s="45">
        <v>0</v>
      </c>
      <c r="BG273" s="46">
        <v>0</v>
      </c>
      <c r="BH273" s="45">
        <v>33</v>
      </c>
      <c r="BI273" s="46">
        <v>100</v>
      </c>
      <c r="BJ273" s="45">
        <v>33</v>
      </c>
      <c r="BK273" s="45"/>
      <c r="BL273" s="45"/>
      <c r="BM273" s="45"/>
      <c r="BN273" s="45"/>
      <c r="BO273" s="45" t="s">
        <v>859</v>
      </c>
      <c r="BP273" s="45" t="s">
        <v>859</v>
      </c>
      <c r="BQ273" s="110" t="s">
        <v>4526</v>
      </c>
      <c r="BR273" s="110" t="s">
        <v>4526</v>
      </c>
      <c r="BS273" s="110" t="s">
        <v>4641</v>
      </c>
      <c r="BT273" s="110" t="s">
        <v>4641</v>
      </c>
      <c r="BU273" s="2"/>
    </row>
    <row r="274" spans="1:73" ht="15">
      <c r="A274" s="61" t="s">
        <v>545</v>
      </c>
      <c r="B274" s="62"/>
      <c r="C274" s="62"/>
      <c r="D274" s="63">
        <v>100</v>
      </c>
      <c r="E274" s="65"/>
      <c r="F274" s="99" t="str">
        <f>HYPERLINK("https://pbs.twimg.com/profile_images/1075048350116917248/ro5sx_Cn_normal.jpg")</f>
        <v>https://pbs.twimg.com/profile_images/1075048350116917248/ro5sx_Cn_normal.jpg</v>
      </c>
      <c r="G274" s="62"/>
      <c r="H274" s="66" t="s">
        <v>545</v>
      </c>
      <c r="I274" s="67"/>
      <c r="J274" s="67"/>
      <c r="K274" s="66" t="s">
        <v>3116</v>
      </c>
      <c r="L274" s="70">
        <v>1</v>
      </c>
      <c r="M274" s="71">
        <v>697.5662231445312</v>
      </c>
      <c r="N274" s="71">
        <v>7108.23486328125</v>
      </c>
      <c r="O274" s="72"/>
      <c r="P274" s="73"/>
      <c r="Q274" s="73"/>
      <c r="R274" s="85"/>
      <c r="S274" s="45">
        <v>2</v>
      </c>
      <c r="T274" s="45">
        <v>0</v>
      </c>
      <c r="U274" s="46">
        <v>0</v>
      </c>
      <c r="V274" s="46">
        <v>0.085991</v>
      </c>
      <c r="W274" s="46">
        <v>0.142359</v>
      </c>
      <c r="X274" s="46">
        <v>0.002803</v>
      </c>
      <c r="Y274" s="46">
        <v>0.5</v>
      </c>
      <c r="Z274" s="46">
        <v>0</v>
      </c>
      <c r="AA274" s="68">
        <v>274</v>
      </c>
      <c r="AB274" s="68"/>
      <c r="AC274" s="69"/>
      <c r="AD274" s="75" t="s">
        <v>2107</v>
      </c>
      <c r="AE274" s="80" t="s">
        <v>1767</v>
      </c>
      <c r="AF274" s="75">
        <v>1048</v>
      </c>
      <c r="AG274" s="75">
        <v>21346</v>
      </c>
      <c r="AH274" s="75">
        <v>28309</v>
      </c>
      <c r="AI274" s="75">
        <v>7564</v>
      </c>
      <c r="AJ274" s="75"/>
      <c r="AK274" s="75" t="s">
        <v>2636</v>
      </c>
      <c r="AL274" s="75" t="s">
        <v>2819</v>
      </c>
      <c r="AM274" s="75"/>
      <c r="AN274" s="75"/>
      <c r="AO274" s="77">
        <v>39973.33967592593</v>
      </c>
      <c r="AP274" s="82" t="str">
        <f>HYPERLINK("https://pbs.twimg.com/profile_banners/45793157/1355059152")</f>
        <v>https://pbs.twimg.com/profile_banners/45793157/1355059152</v>
      </c>
      <c r="AQ274" s="75" t="b">
        <v>0</v>
      </c>
      <c r="AR274" s="75" t="b">
        <v>0</v>
      </c>
      <c r="AS274" s="75" t="b">
        <v>1</v>
      </c>
      <c r="AT274" s="75"/>
      <c r="AU274" s="75">
        <v>425</v>
      </c>
      <c r="AV274" s="82" t="str">
        <f>HYPERLINK("https://abs.twimg.com/images/themes/theme1/bg.png")</f>
        <v>https://abs.twimg.com/images/themes/theme1/bg.png</v>
      </c>
      <c r="AW274" s="75" t="b">
        <v>1</v>
      </c>
      <c r="AX274" s="75" t="s">
        <v>2845</v>
      </c>
      <c r="AY274" s="82" t="str">
        <f>HYPERLINK("https://twitter.com/denistrubetskoy")</f>
        <v>https://twitter.com/denistrubetskoy</v>
      </c>
      <c r="AZ274" s="75" t="s">
        <v>65</v>
      </c>
      <c r="BA274" s="75" t="str">
        <f>REPLACE(INDEX(GroupVertices[Group],MATCH(Vertices[[#This Row],[Vertex]],GroupVertices[Vertex],0)),1,1,"")</f>
        <v>1</v>
      </c>
      <c r="BB274" s="45"/>
      <c r="BC274" s="46"/>
      <c r="BD274" s="45"/>
      <c r="BE274" s="46"/>
      <c r="BF274" s="45"/>
      <c r="BG274" s="46"/>
      <c r="BH274" s="45"/>
      <c r="BI274" s="46"/>
      <c r="BJ274" s="45"/>
      <c r="BK274" s="45"/>
      <c r="BL274" s="45"/>
      <c r="BM274" s="45"/>
      <c r="BN274" s="45"/>
      <c r="BO274" s="45"/>
      <c r="BP274" s="45"/>
      <c r="BQ274" s="45"/>
      <c r="BR274" s="45"/>
      <c r="BS274" s="45"/>
      <c r="BT274" s="45"/>
      <c r="BU274" s="2"/>
    </row>
    <row r="275" spans="1:73" ht="15">
      <c r="A275" s="61" t="s">
        <v>410</v>
      </c>
      <c r="B275" s="62"/>
      <c r="C275" s="62"/>
      <c r="D275" s="63">
        <v>100</v>
      </c>
      <c r="E275" s="65"/>
      <c r="F275" s="99" t="str">
        <f>HYPERLINK("https://pbs.twimg.com/profile_images/1570344231792680960/QkktYX9j_normal.jpg")</f>
        <v>https://pbs.twimg.com/profile_images/1570344231792680960/QkktYX9j_normal.jpg</v>
      </c>
      <c r="G275" s="62"/>
      <c r="H275" s="66" t="s">
        <v>410</v>
      </c>
      <c r="I275" s="67"/>
      <c r="J275" s="67"/>
      <c r="K275" s="66" t="s">
        <v>3117</v>
      </c>
      <c r="L275" s="70">
        <v>1</v>
      </c>
      <c r="M275" s="71">
        <v>1505.9468994140625</v>
      </c>
      <c r="N275" s="71">
        <v>2403.605712890625</v>
      </c>
      <c r="O275" s="72"/>
      <c r="P275" s="73"/>
      <c r="Q275" s="73"/>
      <c r="R275" s="85"/>
      <c r="S275" s="45">
        <v>1</v>
      </c>
      <c r="T275" s="45">
        <v>1</v>
      </c>
      <c r="U275" s="46">
        <v>0</v>
      </c>
      <c r="V275" s="46">
        <v>0</v>
      </c>
      <c r="W275" s="46">
        <v>0</v>
      </c>
      <c r="X275" s="46">
        <v>0.003049</v>
      </c>
      <c r="Y275" s="46">
        <v>0</v>
      </c>
      <c r="Z275" s="46">
        <v>0</v>
      </c>
      <c r="AA275" s="68">
        <v>275</v>
      </c>
      <c r="AB275" s="68"/>
      <c r="AC275" s="69"/>
      <c r="AD275" s="75" t="s">
        <v>2108</v>
      </c>
      <c r="AE275" s="80" t="s">
        <v>2371</v>
      </c>
      <c r="AF275" s="75">
        <v>661</v>
      </c>
      <c r="AG275" s="75">
        <v>346</v>
      </c>
      <c r="AH275" s="75">
        <v>223</v>
      </c>
      <c r="AI275" s="75">
        <v>6123</v>
      </c>
      <c r="AJ275" s="75"/>
      <c r="AK275" s="75" t="s">
        <v>2637</v>
      </c>
      <c r="AL275" s="75"/>
      <c r="AM275" s="75"/>
      <c r="AN275" s="75"/>
      <c r="AO275" s="77">
        <v>44723.73446759259</v>
      </c>
      <c r="AP275" s="82" t="str">
        <f>HYPERLINK("https://pbs.twimg.com/profile_banners/1535677594930229249/1663234216")</f>
        <v>https://pbs.twimg.com/profile_banners/1535677594930229249/1663234216</v>
      </c>
      <c r="AQ275" s="75" t="b">
        <v>1</v>
      </c>
      <c r="AR275" s="75" t="b">
        <v>0</v>
      </c>
      <c r="AS275" s="75" t="b">
        <v>0</v>
      </c>
      <c r="AT275" s="75"/>
      <c r="AU275" s="75">
        <v>0</v>
      </c>
      <c r="AV275" s="75"/>
      <c r="AW275" s="75" t="b">
        <v>0</v>
      </c>
      <c r="AX275" s="75" t="s">
        <v>2845</v>
      </c>
      <c r="AY275" s="82" t="str">
        <f>HYPERLINK("https://twitter.com/augusto40982091")</f>
        <v>https://twitter.com/augusto40982091</v>
      </c>
      <c r="AZ275" s="75" t="s">
        <v>66</v>
      </c>
      <c r="BA275" s="75" t="str">
        <f>REPLACE(INDEX(GroupVertices[Group],MATCH(Vertices[[#This Row],[Vertex]],GroupVertices[Vertex],0)),1,1,"")</f>
        <v>2</v>
      </c>
      <c r="BB275" s="45">
        <v>0</v>
      </c>
      <c r="BC275" s="46">
        <v>0</v>
      </c>
      <c r="BD275" s="45">
        <v>0</v>
      </c>
      <c r="BE275" s="46">
        <v>0</v>
      </c>
      <c r="BF275" s="45">
        <v>0</v>
      </c>
      <c r="BG275" s="46">
        <v>0</v>
      </c>
      <c r="BH275" s="45">
        <v>1</v>
      </c>
      <c r="BI275" s="46">
        <v>100</v>
      </c>
      <c r="BJ275" s="45">
        <v>1</v>
      </c>
      <c r="BK275" s="45"/>
      <c r="BL275" s="45"/>
      <c r="BM275" s="45"/>
      <c r="BN275" s="45"/>
      <c r="BO275" s="45" t="s">
        <v>795</v>
      </c>
      <c r="BP275" s="45" t="s">
        <v>795</v>
      </c>
      <c r="BQ275" s="110" t="s">
        <v>3260</v>
      </c>
      <c r="BR275" s="110" t="s">
        <v>3260</v>
      </c>
      <c r="BS275" s="110" t="s">
        <v>1674</v>
      </c>
      <c r="BT275" s="110" t="s">
        <v>1674</v>
      </c>
      <c r="BU275" s="2"/>
    </row>
    <row r="276" spans="1:73" ht="15">
      <c r="A276" s="61" t="s">
        <v>411</v>
      </c>
      <c r="B276" s="62"/>
      <c r="C276" s="62"/>
      <c r="D276" s="63">
        <v>100</v>
      </c>
      <c r="E276" s="65"/>
      <c r="F276" s="99" t="str">
        <f>HYPERLINK("https://pbs.twimg.com/profile_images/1570086566189465601/Z8qxRX8h_normal.jpg")</f>
        <v>https://pbs.twimg.com/profile_images/1570086566189465601/Z8qxRX8h_normal.jpg</v>
      </c>
      <c r="G276" s="62"/>
      <c r="H276" s="66" t="s">
        <v>411</v>
      </c>
      <c r="I276" s="67"/>
      <c r="J276" s="67"/>
      <c r="K276" s="66" t="s">
        <v>3118</v>
      </c>
      <c r="L276" s="70">
        <v>1</v>
      </c>
      <c r="M276" s="71">
        <v>1786.40673828125</v>
      </c>
      <c r="N276" s="71">
        <v>2403.605712890625</v>
      </c>
      <c r="O276" s="72"/>
      <c r="P276" s="73"/>
      <c r="Q276" s="73"/>
      <c r="R276" s="85"/>
      <c r="S276" s="45">
        <v>1</v>
      </c>
      <c r="T276" s="45">
        <v>1</v>
      </c>
      <c r="U276" s="46">
        <v>0</v>
      </c>
      <c r="V276" s="46">
        <v>0</v>
      </c>
      <c r="W276" s="46">
        <v>0</v>
      </c>
      <c r="X276" s="46">
        <v>0.003049</v>
      </c>
      <c r="Y276" s="46">
        <v>0</v>
      </c>
      <c r="Z276" s="46">
        <v>0</v>
      </c>
      <c r="AA276" s="68">
        <v>276</v>
      </c>
      <c r="AB276" s="68"/>
      <c r="AC276" s="69"/>
      <c r="AD276" s="75" t="s">
        <v>2109</v>
      </c>
      <c r="AE276" s="80" t="s">
        <v>2372</v>
      </c>
      <c r="AF276" s="75">
        <v>2608</v>
      </c>
      <c r="AG276" s="75">
        <v>1926</v>
      </c>
      <c r="AH276" s="75">
        <v>4567</v>
      </c>
      <c r="AI276" s="75">
        <v>10037</v>
      </c>
      <c r="AJ276" s="75"/>
      <c r="AK276" s="75" t="s">
        <v>2638</v>
      </c>
      <c r="AL276" s="75" t="s">
        <v>2820</v>
      </c>
      <c r="AM276" s="75"/>
      <c r="AN276" s="75"/>
      <c r="AO276" s="77">
        <v>40374.50246527778</v>
      </c>
      <c r="AP276" s="82" t="str">
        <f>HYPERLINK("https://pbs.twimg.com/profile_banners/166957354/1653972258")</f>
        <v>https://pbs.twimg.com/profile_banners/166957354/1653972258</v>
      </c>
      <c r="AQ276" s="75" t="b">
        <v>0</v>
      </c>
      <c r="AR276" s="75" t="b">
        <v>0</v>
      </c>
      <c r="AS276" s="75" t="b">
        <v>1</v>
      </c>
      <c r="AT276" s="75"/>
      <c r="AU276" s="75">
        <v>1</v>
      </c>
      <c r="AV276" s="82" t="str">
        <f>HYPERLINK("https://abs.twimg.com/images/themes/theme1/bg.png")</f>
        <v>https://abs.twimg.com/images/themes/theme1/bg.png</v>
      </c>
      <c r="AW276" s="75" t="b">
        <v>0</v>
      </c>
      <c r="AX276" s="75" t="s">
        <v>2845</v>
      </c>
      <c r="AY276" s="82" t="str">
        <f>HYPERLINK("https://twitter.com/neo8emmanuel")</f>
        <v>https://twitter.com/neo8emmanuel</v>
      </c>
      <c r="AZ276" s="75" t="s">
        <v>66</v>
      </c>
      <c r="BA276" s="75" t="str">
        <f>REPLACE(INDEX(GroupVertices[Group],MATCH(Vertices[[#This Row],[Vertex]],GroupVertices[Vertex],0)),1,1,"")</f>
        <v>2</v>
      </c>
      <c r="BB276" s="45">
        <v>0</v>
      </c>
      <c r="BC276" s="46">
        <v>0</v>
      </c>
      <c r="BD276" s="45">
        <v>0</v>
      </c>
      <c r="BE276" s="46">
        <v>0</v>
      </c>
      <c r="BF276" s="45">
        <v>0</v>
      </c>
      <c r="BG276" s="46">
        <v>0</v>
      </c>
      <c r="BH276" s="45">
        <v>13</v>
      </c>
      <c r="BI276" s="46">
        <v>100</v>
      </c>
      <c r="BJ276" s="45">
        <v>13</v>
      </c>
      <c r="BK276" s="45"/>
      <c r="BL276" s="45"/>
      <c r="BM276" s="45"/>
      <c r="BN276" s="45"/>
      <c r="BO276" s="45" t="s">
        <v>860</v>
      </c>
      <c r="BP276" s="45" t="s">
        <v>860</v>
      </c>
      <c r="BQ276" s="110" t="s">
        <v>4527</v>
      </c>
      <c r="BR276" s="110" t="s">
        <v>4527</v>
      </c>
      <c r="BS276" s="110" t="s">
        <v>4642</v>
      </c>
      <c r="BT276" s="110" t="s">
        <v>4642</v>
      </c>
      <c r="BU276" s="2"/>
    </row>
    <row r="277" spans="1:73" ht="15">
      <c r="A277" s="61" t="s">
        <v>412</v>
      </c>
      <c r="B277" s="62"/>
      <c r="C277" s="62"/>
      <c r="D277" s="63">
        <v>100</v>
      </c>
      <c r="E277" s="65"/>
      <c r="F277" s="99" t="str">
        <f>HYPERLINK("https://pbs.twimg.com/profile_images/1533099295813009408/mjtRTq8F_normal.jpg")</f>
        <v>https://pbs.twimg.com/profile_images/1533099295813009408/mjtRTq8F_normal.jpg</v>
      </c>
      <c r="G277" s="62"/>
      <c r="H277" s="66" t="s">
        <v>412</v>
      </c>
      <c r="I277" s="67"/>
      <c r="J277" s="67"/>
      <c r="K277" s="66" t="s">
        <v>3119</v>
      </c>
      <c r="L277" s="70">
        <v>1</v>
      </c>
      <c r="M277" s="71">
        <v>9669.7646484375</v>
      </c>
      <c r="N277" s="71">
        <v>9037.5576171875</v>
      </c>
      <c r="O277" s="72"/>
      <c r="P277" s="73"/>
      <c r="Q277" s="73"/>
      <c r="R277" s="85"/>
      <c r="S277" s="45">
        <v>0</v>
      </c>
      <c r="T277" s="45">
        <v>1</v>
      </c>
      <c r="U277" s="46">
        <v>0</v>
      </c>
      <c r="V277" s="46">
        <v>0.005505</v>
      </c>
      <c r="W277" s="46">
        <v>0</v>
      </c>
      <c r="X277" s="46">
        <v>0.00274</v>
      </c>
      <c r="Y277" s="46">
        <v>0</v>
      </c>
      <c r="Z277" s="46">
        <v>0</v>
      </c>
      <c r="AA277" s="68">
        <v>277</v>
      </c>
      <c r="AB277" s="68"/>
      <c r="AC277" s="69"/>
      <c r="AD277" s="75" t="s">
        <v>2110</v>
      </c>
      <c r="AE277" s="80" t="s">
        <v>2373</v>
      </c>
      <c r="AF277" s="75">
        <v>1087</v>
      </c>
      <c r="AG277" s="75">
        <v>487</v>
      </c>
      <c r="AH277" s="75">
        <v>81660</v>
      </c>
      <c r="AI277" s="75">
        <v>82326</v>
      </c>
      <c r="AJ277" s="75"/>
      <c r="AK277" s="75"/>
      <c r="AL277" s="75" t="s">
        <v>2821</v>
      </c>
      <c r="AM277" s="75"/>
      <c r="AN277" s="75"/>
      <c r="AO277" s="77">
        <v>40892.46359953703</v>
      </c>
      <c r="AP277" s="82" t="str">
        <f>HYPERLINK("https://pbs.twimg.com/profile_banners/437408763/1649654068")</f>
        <v>https://pbs.twimg.com/profile_banners/437408763/1649654068</v>
      </c>
      <c r="AQ277" s="75" t="b">
        <v>1</v>
      </c>
      <c r="AR277" s="75" t="b">
        <v>0</v>
      </c>
      <c r="AS277" s="75" t="b">
        <v>0</v>
      </c>
      <c r="AT277" s="75"/>
      <c r="AU277" s="75">
        <v>11</v>
      </c>
      <c r="AV277" s="82" t="str">
        <f>HYPERLINK("https://abs.twimg.com/images/themes/theme1/bg.png")</f>
        <v>https://abs.twimg.com/images/themes/theme1/bg.png</v>
      </c>
      <c r="AW277" s="75" t="b">
        <v>0</v>
      </c>
      <c r="AX277" s="75" t="s">
        <v>2845</v>
      </c>
      <c r="AY277" s="82" t="str">
        <f>HYPERLINK("https://twitter.com/dalev82")</f>
        <v>https://twitter.com/dalev82</v>
      </c>
      <c r="AZ277" s="75" t="s">
        <v>66</v>
      </c>
      <c r="BA277" s="75" t="str">
        <f>REPLACE(INDEX(GroupVertices[Group],MATCH(Vertices[[#This Row],[Vertex]],GroupVertices[Vertex],0)),1,1,"")</f>
        <v>20</v>
      </c>
      <c r="BB277" s="45">
        <v>0</v>
      </c>
      <c r="BC277" s="46">
        <v>0</v>
      </c>
      <c r="BD277" s="45">
        <v>0</v>
      </c>
      <c r="BE277" s="46">
        <v>0</v>
      </c>
      <c r="BF277" s="45">
        <v>0</v>
      </c>
      <c r="BG277" s="46">
        <v>0</v>
      </c>
      <c r="BH277" s="45">
        <v>13</v>
      </c>
      <c r="BI277" s="46">
        <v>100</v>
      </c>
      <c r="BJ277" s="45">
        <v>13</v>
      </c>
      <c r="BK277" s="45"/>
      <c r="BL277" s="45"/>
      <c r="BM277" s="45"/>
      <c r="BN277" s="45"/>
      <c r="BO277" s="45" t="s">
        <v>795</v>
      </c>
      <c r="BP277" s="45" t="s">
        <v>795</v>
      </c>
      <c r="BQ277" s="110" t="s">
        <v>4120</v>
      </c>
      <c r="BR277" s="110" t="s">
        <v>4120</v>
      </c>
      <c r="BS277" s="110" t="s">
        <v>4258</v>
      </c>
      <c r="BT277" s="110" t="s">
        <v>4258</v>
      </c>
      <c r="BU277" s="2"/>
    </row>
    <row r="278" spans="1:73" ht="15">
      <c r="A278" s="61" t="s">
        <v>426</v>
      </c>
      <c r="B278" s="62"/>
      <c r="C278" s="62"/>
      <c r="D278" s="63">
        <v>109.0909090909091</v>
      </c>
      <c r="E278" s="65"/>
      <c r="F278" s="99" t="str">
        <f>HYPERLINK("https://pbs.twimg.com/profile_images/1526526583695151104/-FWkVs6n_normal.jpg")</f>
        <v>https://pbs.twimg.com/profile_images/1526526583695151104/-FWkVs6n_normal.jpg</v>
      </c>
      <c r="G278" s="62"/>
      <c r="H278" s="66" t="s">
        <v>426</v>
      </c>
      <c r="I278" s="67"/>
      <c r="J278" s="67"/>
      <c r="K278" s="66" t="s">
        <v>3120</v>
      </c>
      <c r="L278" s="70">
        <v>14.335615190445607</v>
      </c>
      <c r="M278" s="71">
        <v>9669.7646484375</v>
      </c>
      <c r="N278" s="71">
        <v>8396.595703125</v>
      </c>
      <c r="O278" s="72"/>
      <c r="P278" s="73"/>
      <c r="Q278" s="73"/>
      <c r="R278" s="85"/>
      <c r="S278" s="45">
        <v>4</v>
      </c>
      <c r="T278" s="45">
        <v>1</v>
      </c>
      <c r="U278" s="46">
        <v>6</v>
      </c>
      <c r="V278" s="46">
        <v>0.009174</v>
      </c>
      <c r="W278" s="46">
        <v>0</v>
      </c>
      <c r="X278" s="46">
        <v>0.003974</v>
      </c>
      <c r="Y278" s="46">
        <v>0</v>
      </c>
      <c r="Z278" s="46">
        <v>0</v>
      </c>
      <c r="AA278" s="68">
        <v>278</v>
      </c>
      <c r="AB278" s="68"/>
      <c r="AC278" s="69"/>
      <c r="AD278" s="75" t="s">
        <v>2111</v>
      </c>
      <c r="AE278" s="80" t="s">
        <v>2374</v>
      </c>
      <c r="AF278" s="75">
        <v>183</v>
      </c>
      <c r="AG278" s="75">
        <v>178</v>
      </c>
      <c r="AH278" s="75">
        <v>733</v>
      </c>
      <c r="AI278" s="75">
        <v>5415</v>
      </c>
      <c r="AJ278" s="75"/>
      <c r="AK278" s="75" t="s">
        <v>2639</v>
      </c>
      <c r="AL278" s="75" t="s">
        <v>2822</v>
      </c>
      <c r="AM278" s="75"/>
      <c r="AN278" s="75"/>
      <c r="AO278" s="77">
        <v>44537.91043981481</v>
      </c>
      <c r="AP278" s="82" t="str">
        <f>HYPERLINK("https://pbs.twimg.com/profile_banners/1468337205588684800/1649441942")</f>
        <v>https://pbs.twimg.com/profile_banners/1468337205588684800/1649441942</v>
      </c>
      <c r="AQ278" s="75" t="b">
        <v>1</v>
      </c>
      <c r="AR278" s="75" t="b">
        <v>0</v>
      </c>
      <c r="AS278" s="75" t="b">
        <v>0</v>
      </c>
      <c r="AT278" s="75"/>
      <c r="AU278" s="75">
        <v>2</v>
      </c>
      <c r="AV278" s="75"/>
      <c r="AW278" s="75" t="b">
        <v>0</v>
      </c>
      <c r="AX278" s="75" t="s">
        <v>2845</v>
      </c>
      <c r="AY278" s="82" t="str">
        <f>HYPERLINK("https://twitter.com/mike_zoev")</f>
        <v>https://twitter.com/mike_zoev</v>
      </c>
      <c r="AZ278" s="75" t="s">
        <v>66</v>
      </c>
      <c r="BA278" s="75" t="str">
        <f>REPLACE(INDEX(GroupVertices[Group],MATCH(Vertices[[#This Row],[Vertex]],GroupVertices[Vertex],0)),1,1,"")</f>
        <v>20</v>
      </c>
      <c r="BB278" s="45">
        <v>0</v>
      </c>
      <c r="BC278" s="46">
        <v>0</v>
      </c>
      <c r="BD278" s="45">
        <v>0</v>
      </c>
      <c r="BE278" s="46">
        <v>0</v>
      </c>
      <c r="BF278" s="45">
        <v>0</v>
      </c>
      <c r="BG278" s="46">
        <v>0</v>
      </c>
      <c r="BH278" s="45">
        <v>13</v>
      </c>
      <c r="BI278" s="46">
        <v>100</v>
      </c>
      <c r="BJ278" s="45">
        <v>13</v>
      </c>
      <c r="BK278" s="45"/>
      <c r="BL278" s="45"/>
      <c r="BM278" s="45"/>
      <c r="BN278" s="45"/>
      <c r="BO278" s="45" t="s">
        <v>795</v>
      </c>
      <c r="BP278" s="45" t="s">
        <v>795</v>
      </c>
      <c r="BQ278" s="110" t="s">
        <v>4120</v>
      </c>
      <c r="BR278" s="110" t="s">
        <v>4120</v>
      </c>
      <c r="BS278" s="110" t="s">
        <v>4258</v>
      </c>
      <c r="BT278" s="110" t="s">
        <v>4258</v>
      </c>
      <c r="BU278" s="2"/>
    </row>
    <row r="279" spans="1:73" ht="15">
      <c r="A279" s="61" t="s">
        <v>413</v>
      </c>
      <c r="B279" s="62"/>
      <c r="C279" s="62"/>
      <c r="D279" s="63">
        <v>115.15151515151516</v>
      </c>
      <c r="E279" s="65"/>
      <c r="F279" s="99" t="str">
        <f>HYPERLINK("https://pbs.twimg.com/profile_images/1560723548540489739/Cp800W5O_normal.jpg")</f>
        <v>https://pbs.twimg.com/profile_images/1560723548540489739/Cp800W5O_normal.jpg</v>
      </c>
      <c r="G279" s="62"/>
      <c r="H279" s="66" t="s">
        <v>413</v>
      </c>
      <c r="I279" s="67"/>
      <c r="J279" s="67"/>
      <c r="K279" s="66" t="s">
        <v>3121</v>
      </c>
      <c r="L279" s="70">
        <v>23.226025317409345</v>
      </c>
      <c r="M279" s="71">
        <v>6709.89453125</v>
      </c>
      <c r="N279" s="71">
        <v>9358.0380859375</v>
      </c>
      <c r="O279" s="72"/>
      <c r="P279" s="73"/>
      <c r="Q279" s="73"/>
      <c r="R279" s="85"/>
      <c r="S279" s="45">
        <v>1</v>
      </c>
      <c r="T279" s="45">
        <v>3</v>
      </c>
      <c r="U279" s="46">
        <v>10</v>
      </c>
      <c r="V279" s="46">
        <v>0.012232</v>
      </c>
      <c r="W279" s="46">
        <v>0</v>
      </c>
      <c r="X279" s="46">
        <v>0.003856</v>
      </c>
      <c r="Y279" s="46">
        <v>0.08333333333333333</v>
      </c>
      <c r="Z279" s="46">
        <v>0</v>
      </c>
      <c r="AA279" s="68">
        <v>279</v>
      </c>
      <c r="AB279" s="68"/>
      <c r="AC279" s="69"/>
      <c r="AD279" s="75" t="s">
        <v>2112</v>
      </c>
      <c r="AE279" s="80" t="s">
        <v>2375</v>
      </c>
      <c r="AF279" s="75">
        <v>335</v>
      </c>
      <c r="AG279" s="75">
        <v>22</v>
      </c>
      <c r="AH279" s="75">
        <v>1432</v>
      </c>
      <c r="AI279" s="75">
        <v>4556</v>
      </c>
      <c r="AJ279" s="75"/>
      <c r="AK279" s="75" t="s">
        <v>2640</v>
      </c>
      <c r="AL279" s="75"/>
      <c r="AM279" s="75"/>
      <c r="AN279" s="75"/>
      <c r="AO279" s="77">
        <v>44601.46451388889</v>
      </c>
      <c r="AP279" s="82" t="str">
        <f>HYPERLINK("https://pbs.twimg.com/profile_banners/1491368450102644742/1655913472")</f>
        <v>https://pbs.twimg.com/profile_banners/1491368450102644742/1655913472</v>
      </c>
      <c r="AQ279" s="75" t="b">
        <v>1</v>
      </c>
      <c r="AR279" s="75" t="b">
        <v>0</v>
      </c>
      <c r="AS279" s="75" t="b">
        <v>0</v>
      </c>
      <c r="AT279" s="75"/>
      <c r="AU279" s="75">
        <v>0</v>
      </c>
      <c r="AV279" s="75"/>
      <c r="AW279" s="75" t="b">
        <v>0</v>
      </c>
      <c r="AX279" s="75" t="s">
        <v>2845</v>
      </c>
      <c r="AY279" s="82" t="str">
        <f>HYPERLINK("https://twitter.com/bobmozg")</f>
        <v>https://twitter.com/bobmozg</v>
      </c>
      <c r="AZ279" s="75" t="s">
        <v>66</v>
      </c>
      <c r="BA279" s="75" t="str">
        <f>REPLACE(INDEX(GroupVertices[Group],MATCH(Vertices[[#This Row],[Vertex]],GroupVertices[Vertex],0)),1,1,"")</f>
        <v>15</v>
      </c>
      <c r="BB279" s="45">
        <v>0</v>
      </c>
      <c r="BC279" s="46">
        <v>0</v>
      </c>
      <c r="BD279" s="45">
        <v>0</v>
      </c>
      <c r="BE279" s="46">
        <v>0</v>
      </c>
      <c r="BF279" s="45">
        <v>0</v>
      </c>
      <c r="BG279" s="46">
        <v>0</v>
      </c>
      <c r="BH279" s="45">
        <v>16</v>
      </c>
      <c r="BI279" s="46">
        <v>100</v>
      </c>
      <c r="BJ279" s="45">
        <v>16</v>
      </c>
      <c r="BK279" s="45"/>
      <c r="BL279" s="45"/>
      <c r="BM279" s="45"/>
      <c r="BN279" s="45"/>
      <c r="BO279" s="45" t="s">
        <v>795</v>
      </c>
      <c r="BP279" s="45" t="s">
        <v>795</v>
      </c>
      <c r="BQ279" s="110" t="s">
        <v>4528</v>
      </c>
      <c r="BR279" s="110" t="s">
        <v>4559</v>
      </c>
      <c r="BS279" s="110" t="s">
        <v>4643</v>
      </c>
      <c r="BT279" s="110" t="s">
        <v>4663</v>
      </c>
      <c r="BU279" s="2"/>
    </row>
    <row r="280" spans="1:73" ht="15">
      <c r="A280" s="61" t="s">
        <v>546</v>
      </c>
      <c r="B280" s="62"/>
      <c r="C280" s="62"/>
      <c r="D280" s="63">
        <v>100</v>
      </c>
      <c r="E280" s="65"/>
      <c r="F280" s="99" t="str">
        <f>HYPERLINK("https://pbs.twimg.com/profile_images/1146763157085536257/QPyrFfFB_normal.png")</f>
        <v>https://pbs.twimg.com/profile_images/1146763157085536257/QPyrFfFB_normal.png</v>
      </c>
      <c r="G280" s="62"/>
      <c r="H280" s="66" t="s">
        <v>546</v>
      </c>
      <c r="I280" s="67"/>
      <c r="J280" s="67"/>
      <c r="K280" s="66" t="s">
        <v>3122</v>
      </c>
      <c r="L280" s="70">
        <v>1</v>
      </c>
      <c r="M280" s="71">
        <v>6708.73095703125</v>
      </c>
      <c r="N280" s="71">
        <v>9139.2216796875</v>
      </c>
      <c r="O280" s="72"/>
      <c r="P280" s="73"/>
      <c r="Q280" s="73"/>
      <c r="R280" s="85"/>
      <c r="S280" s="45">
        <v>1</v>
      </c>
      <c r="T280" s="45">
        <v>0</v>
      </c>
      <c r="U280" s="46">
        <v>0</v>
      </c>
      <c r="V280" s="46">
        <v>0.00699</v>
      </c>
      <c r="W280" s="46">
        <v>0</v>
      </c>
      <c r="X280" s="46">
        <v>0.002736</v>
      </c>
      <c r="Y280" s="46">
        <v>0</v>
      </c>
      <c r="Z280" s="46">
        <v>0</v>
      </c>
      <c r="AA280" s="68">
        <v>280</v>
      </c>
      <c r="AB280" s="68"/>
      <c r="AC280" s="69"/>
      <c r="AD280" s="75" t="s">
        <v>2113</v>
      </c>
      <c r="AE280" s="80" t="s">
        <v>1736</v>
      </c>
      <c r="AF280" s="75">
        <v>461</v>
      </c>
      <c r="AG280" s="75">
        <v>629368</v>
      </c>
      <c r="AH280" s="75">
        <v>6058</v>
      </c>
      <c r="AI280" s="75">
        <v>1825</v>
      </c>
      <c r="AJ280" s="75"/>
      <c r="AK280" s="75" t="s">
        <v>2641</v>
      </c>
      <c r="AL280" s="75"/>
      <c r="AM280" s="82" t="str">
        <f>HYPERLINK("https://t.co/d8mUWp2qk3")</f>
        <v>https://t.co/d8mUWp2qk3</v>
      </c>
      <c r="AN280" s="75"/>
      <c r="AO280" s="77">
        <v>42298.88238425926</v>
      </c>
      <c r="AP280" s="82" t="str">
        <f>HYPERLINK("https://pbs.twimg.com/profile_banners/4012126155/1661250934")</f>
        <v>https://pbs.twimg.com/profile_banners/4012126155/1661250934</v>
      </c>
      <c r="AQ280" s="75" t="b">
        <v>1</v>
      </c>
      <c r="AR280" s="75" t="b">
        <v>0</v>
      </c>
      <c r="AS280" s="75" t="b">
        <v>0</v>
      </c>
      <c r="AT280" s="75"/>
      <c r="AU280" s="75">
        <v>2496</v>
      </c>
      <c r="AV280" s="82" t="str">
        <f>HYPERLINK("https://abs.twimg.com/images/themes/theme1/bg.png")</f>
        <v>https://abs.twimg.com/images/themes/theme1/bg.png</v>
      </c>
      <c r="AW280" s="75" t="b">
        <v>1</v>
      </c>
      <c r="AX280" s="75" t="s">
        <v>2845</v>
      </c>
      <c r="AY280" s="82" t="str">
        <f>HYPERLINK("https://twitter.com/generalstaffua")</f>
        <v>https://twitter.com/generalstaffua</v>
      </c>
      <c r="AZ280" s="75" t="s">
        <v>65</v>
      </c>
      <c r="BA280" s="75" t="str">
        <f>REPLACE(INDEX(GroupVertices[Group],MATCH(Vertices[[#This Row],[Vertex]],GroupVertices[Vertex],0)),1,1,"")</f>
        <v>15</v>
      </c>
      <c r="BB280" s="45"/>
      <c r="BC280" s="46"/>
      <c r="BD280" s="45"/>
      <c r="BE280" s="46"/>
      <c r="BF280" s="45"/>
      <c r="BG280" s="46"/>
      <c r="BH280" s="45"/>
      <c r="BI280" s="46"/>
      <c r="BJ280" s="45"/>
      <c r="BK280" s="45"/>
      <c r="BL280" s="45"/>
      <c r="BM280" s="45"/>
      <c r="BN280" s="45"/>
      <c r="BO280" s="45"/>
      <c r="BP280" s="45"/>
      <c r="BQ280" s="45"/>
      <c r="BR280" s="45"/>
      <c r="BS280" s="45"/>
      <c r="BT280" s="45"/>
      <c r="BU280" s="2"/>
    </row>
    <row r="281" spans="1:73" ht="15">
      <c r="A281" s="61" t="s">
        <v>547</v>
      </c>
      <c r="B281" s="62"/>
      <c r="C281" s="62"/>
      <c r="D281" s="63">
        <v>100</v>
      </c>
      <c r="E281" s="65"/>
      <c r="F281" s="99" t="str">
        <f>HYPERLINK("https://pbs.twimg.com/profile_images/1528556611224190976/ZVOjEBS4_normal.jpg")</f>
        <v>https://pbs.twimg.com/profile_images/1528556611224190976/ZVOjEBS4_normal.jpg</v>
      </c>
      <c r="G281" s="62"/>
      <c r="H281" s="66" t="s">
        <v>547</v>
      </c>
      <c r="I281" s="67"/>
      <c r="J281" s="67"/>
      <c r="K281" s="66" t="s">
        <v>3123</v>
      </c>
      <c r="L281" s="70">
        <v>1</v>
      </c>
      <c r="M281" s="71">
        <v>6438.38037109375</v>
      </c>
      <c r="N281" s="71">
        <v>9129.5869140625</v>
      </c>
      <c r="O281" s="72"/>
      <c r="P281" s="73"/>
      <c r="Q281" s="73"/>
      <c r="R281" s="85"/>
      <c r="S281" s="45">
        <v>1</v>
      </c>
      <c r="T281" s="45">
        <v>0</v>
      </c>
      <c r="U281" s="46">
        <v>0</v>
      </c>
      <c r="V281" s="46">
        <v>0.00699</v>
      </c>
      <c r="W281" s="46">
        <v>0</v>
      </c>
      <c r="X281" s="46">
        <v>0.002736</v>
      </c>
      <c r="Y281" s="46">
        <v>0</v>
      </c>
      <c r="Z281" s="46">
        <v>0</v>
      </c>
      <c r="AA281" s="68">
        <v>281</v>
      </c>
      <c r="AB281" s="68"/>
      <c r="AC281" s="69"/>
      <c r="AD281" s="75" t="s">
        <v>2114</v>
      </c>
      <c r="AE281" s="80" t="s">
        <v>1737</v>
      </c>
      <c r="AF281" s="75">
        <v>283</v>
      </c>
      <c r="AG281" s="75">
        <v>52848</v>
      </c>
      <c r="AH281" s="75">
        <v>1513</v>
      </c>
      <c r="AI281" s="75">
        <v>490</v>
      </c>
      <c r="AJ281" s="75"/>
      <c r="AK281" s="75" t="s">
        <v>2642</v>
      </c>
      <c r="AL281" s="75" t="s">
        <v>2823</v>
      </c>
      <c r="AM281" s="75"/>
      <c r="AN281" s="75"/>
      <c r="AO281" s="77">
        <v>44646.31520833333</v>
      </c>
      <c r="AP281" s="75"/>
      <c r="AQ281" s="75" t="b">
        <v>1</v>
      </c>
      <c r="AR281" s="75" t="b">
        <v>0</v>
      </c>
      <c r="AS281" s="75" t="b">
        <v>0</v>
      </c>
      <c r="AT281" s="75"/>
      <c r="AU281" s="75">
        <v>298</v>
      </c>
      <c r="AV281" s="75"/>
      <c r="AW281" s="75" t="b">
        <v>0</v>
      </c>
      <c r="AX281" s="75" t="s">
        <v>2845</v>
      </c>
      <c r="AY281" s="82" t="str">
        <f>HYPERLINK("https://twitter.com/snmilitary")</f>
        <v>https://twitter.com/snmilitary</v>
      </c>
      <c r="AZ281" s="75" t="s">
        <v>65</v>
      </c>
      <c r="BA281" s="75" t="str">
        <f>REPLACE(INDEX(GroupVertices[Group],MATCH(Vertices[[#This Row],[Vertex]],GroupVertices[Vertex],0)),1,1,"")</f>
        <v>15</v>
      </c>
      <c r="BB281" s="45"/>
      <c r="BC281" s="46"/>
      <c r="BD281" s="45"/>
      <c r="BE281" s="46"/>
      <c r="BF281" s="45"/>
      <c r="BG281" s="46"/>
      <c r="BH281" s="45"/>
      <c r="BI281" s="46"/>
      <c r="BJ281" s="45"/>
      <c r="BK281" s="45"/>
      <c r="BL281" s="45"/>
      <c r="BM281" s="45"/>
      <c r="BN281" s="45"/>
      <c r="BO281" s="45"/>
      <c r="BP281" s="45"/>
      <c r="BQ281" s="45"/>
      <c r="BR281" s="45"/>
      <c r="BS281" s="45"/>
      <c r="BT281" s="45"/>
      <c r="BU281" s="2"/>
    </row>
    <row r="282" spans="1:73" ht="15">
      <c r="A282" s="61" t="s">
        <v>415</v>
      </c>
      <c r="B282" s="62"/>
      <c r="C282" s="62"/>
      <c r="D282" s="63">
        <v>100</v>
      </c>
      <c r="E282" s="65"/>
      <c r="F282" s="99" t="str">
        <f>HYPERLINK("https://pbs.twimg.com/profile_images/1560209008409075714/auZfaOHO_normal.jpg")</f>
        <v>https://pbs.twimg.com/profile_images/1560209008409075714/auZfaOHO_normal.jpg</v>
      </c>
      <c r="G282" s="62"/>
      <c r="H282" s="66" t="s">
        <v>415</v>
      </c>
      <c r="I282" s="67"/>
      <c r="J282" s="67"/>
      <c r="K282" s="66" t="s">
        <v>3124</v>
      </c>
      <c r="L282" s="70">
        <v>1</v>
      </c>
      <c r="M282" s="71">
        <v>3145.802978515625</v>
      </c>
      <c r="N282" s="71">
        <v>9186.2041015625</v>
      </c>
      <c r="O282" s="72"/>
      <c r="P282" s="73"/>
      <c r="Q282" s="73"/>
      <c r="R282" s="85"/>
      <c r="S282" s="45">
        <v>0</v>
      </c>
      <c r="T282" s="45">
        <v>1</v>
      </c>
      <c r="U282" s="46">
        <v>0</v>
      </c>
      <c r="V282" s="46">
        <v>0.071498</v>
      </c>
      <c r="W282" s="46">
        <v>0.030733</v>
      </c>
      <c r="X282" s="46">
        <v>0.002664</v>
      </c>
      <c r="Y282" s="46">
        <v>0</v>
      </c>
      <c r="Z282" s="46">
        <v>0</v>
      </c>
      <c r="AA282" s="68">
        <v>282</v>
      </c>
      <c r="AB282" s="68"/>
      <c r="AC282" s="69"/>
      <c r="AD282" s="75" t="s">
        <v>2115</v>
      </c>
      <c r="AE282" s="80" t="s">
        <v>2376</v>
      </c>
      <c r="AF282" s="75">
        <v>27</v>
      </c>
      <c r="AG282" s="75">
        <v>5</v>
      </c>
      <c r="AH282" s="75">
        <v>157</v>
      </c>
      <c r="AI282" s="75">
        <v>532</v>
      </c>
      <c r="AJ282" s="75"/>
      <c r="AK282" s="75"/>
      <c r="AL282" s="75"/>
      <c r="AM282" s="75"/>
      <c r="AN282" s="75"/>
      <c r="AO282" s="77">
        <v>44684.74905092592</v>
      </c>
      <c r="AP282" s="82" t="str">
        <f>HYPERLINK("https://pbs.twimg.com/profile_banners/1521549747345051648/1661028645")</f>
        <v>https://pbs.twimg.com/profile_banners/1521549747345051648/1661028645</v>
      </c>
      <c r="AQ282" s="75" t="b">
        <v>1</v>
      </c>
      <c r="AR282" s="75" t="b">
        <v>0</v>
      </c>
      <c r="AS282" s="75" t="b">
        <v>0</v>
      </c>
      <c r="AT282" s="75"/>
      <c r="AU282" s="75">
        <v>0</v>
      </c>
      <c r="AV282" s="75"/>
      <c r="AW282" s="75" t="b">
        <v>0</v>
      </c>
      <c r="AX282" s="75" t="s">
        <v>2845</v>
      </c>
      <c r="AY282" s="82" t="str">
        <f>HYPERLINK("https://twitter.com/furkane38029958")</f>
        <v>https://twitter.com/furkane38029958</v>
      </c>
      <c r="AZ282" s="75" t="s">
        <v>66</v>
      </c>
      <c r="BA282" s="75" t="str">
        <f>REPLACE(INDEX(GroupVertices[Group],MATCH(Vertices[[#This Row],[Vertex]],GroupVertices[Vertex],0)),1,1,"")</f>
        <v>3</v>
      </c>
      <c r="BB282" s="45">
        <v>0</v>
      </c>
      <c r="BC282" s="46">
        <v>0</v>
      </c>
      <c r="BD282" s="45">
        <v>0</v>
      </c>
      <c r="BE282" s="46">
        <v>0</v>
      </c>
      <c r="BF282" s="45">
        <v>0</v>
      </c>
      <c r="BG282" s="46">
        <v>0</v>
      </c>
      <c r="BH282" s="45">
        <v>7</v>
      </c>
      <c r="BI282" s="46">
        <v>100</v>
      </c>
      <c r="BJ282" s="45">
        <v>7</v>
      </c>
      <c r="BK282" s="45"/>
      <c r="BL282" s="45"/>
      <c r="BM282" s="45"/>
      <c r="BN282" s="45"/>
      <c r="BO282" s="45" t="s">
        <v>842</v>
      </c>
      <c r="BP282" s="45" t="s">
        <v>842</v>
      </c>
      <c r="BQ282" s="110" t="s">
        <v>4515</v>
      </c>
      <c r="BR282" s="110" t="s">
        <v>4515</v>
      </c>
      <c r="BS282" s="110" t="s">
        <v>4630</v>
      </c>
      <c r="BT282" s="110" t="s">
        <v>4630</v>
      </c>
      <c r="BU282" s="2"/>
    </row>
    <row r="283" spans="1:73" ht="15">
      <c r="A283" s="61" t="s">
        <v>416</v>
      </c>
      <c r="B283" s="62"/>
      <c r="C283" s="62"/>
      <c r="D283" s="63">
        <v>406.06060606060606</v>
      </c>
      <c r="E283" s="65"/>
      <c r="F283" s="99" t="str">
        <f>HYPERLINK("https://pbs.twimg.com/profile_images/1508251090029977611/WDRwpOWf_normal.jpg")</f>
        <v>https://pbs.twimg.com/profile_images/1508251090029977611/WDRwpOWf_normal.jpg</v>
      </c>
      <c r="G283" s="62"/>
      <c r="H283" s="66" t="s">
        <v>416</v>
      </c>
      <c r="I283" s="67"/>
      <c r="J283" s="67"/>
      <c r="K283" s="66" t="s">
        <v>3125</v>
      </c>
      <c r="L283" s="70">
        <v>449.96571141166874</v>
      </c>
      <c r="M283" s="71">
        <v>1123.61181640625</v>
      </c>
      <c r="N283" s="71">
        <v>4745.505859375</v>
      </c>
      <c r="O283" s="72"/>
      <c r="P283" s="73"/>
      <c r="Q283" s="73"/>
      <c r="R283" s="85"/>
      <c r="S283" s="45">
        <v>0</v>
      </c>
      <c r="T283" s="45">
        <v>2</v>
      </c>
      <c r="U283" s="46">
        <v>202</v>
      </c>
      <c r="V283" s="46">
        <v>0.068423</v>
      </c>
      <c r="W283" s="46">
        <v>0.008068</v>
      </c>
      <c r="X283" s="46">
        <v>0.003234</v>
      </c>
      <c r="Y283" s="46">
        <v>0</v>
      </c>
      <c r="Z283" s="46">
        <v>0</v>
      </c>
      <c r="AA283" s="68">
        <v>283</v>
      </c>
      <c r="AB283" s="68"/>
      <c r="AC283" s="69"/>
      <c r="AD283" s="75" t="s">
        <v>2116</v>
      </c>
      <c r="AE283" s="80" t="s">
        <v>2377</v>
      </c>
      <c r="AF283" s="75">
        <v>7</v>
      </c>
      <c r="AG283" s="75">
        <v>0</v>
      </c>
      <c r="AH283" s="75">
        <v>110</v>
      </c>
      <c r="AI283" s="75">
        <v>10</v>
      </c>
      <c r="AJ283" s="75"/>
      <c r="AK283" s="75" t="s">
        <v>2643</v>
      </c>
      <c r="AL283" s="75"/>
      <c r="AM283" s="75"/>
      <c r="AN283" s="75"/>
      <c r="AO283" s="77">
        <v>44648.050520833334</v>
      </c>
      <c r="AP283" s="75"/>
      <c r="AQ283" s="75" t="b">
        <v>1</v>
      </c>
      <c r="AR283" s="75" t="b">
        <v>0</v>
      </c>
      <c r="AS283" s="75" t="b">
        <v>0</v>
      </c>
      <c r="AT283" s="75"/>
      <c r="AU283" s="75">
        <v>0</v>
      </c>
      <c r="AV283" s="75"/>
      <c r="AW283" s="75" t="b">
        <v>0</v>
      </c>
      <c r="AX283" s="75" t="s">
        <v>2845</v>
      </c>
      <c r="AY283" s="82" t="str">
        <f>HYPERLINK("https://twitter.com/rapheluriel")</f>
        <v>https://twitter.com/rapheluriel</v>
      </c>
      <c r="AZ283" s="75" t="s">
        <v>66</v>
      </c>
      <c r="BA283" s="75" t="str">
        <f>REPLACE(INDEX(GroupVertices[Group],MATCH(Vertices[[#This Row],[Vertex]],GroupVertices[Vertex],0)),1,1,"")</f>
        <v>1</v>
      </c>
      <c r="BB283" s="45">
        <v>0</v>
      </c>
      <c r="BC283" s="46">
        <v>0</v>
      </c>
      <c r="BD283" s="45">
        <v>1</v>
      </c>
      <c r="BE283" s="46">
        <v>2.857142857142857</v>
      </c>
      <c r="BF283" s="45">
        <v>0</v>
      </c>
      <c r="BG283" s="46">
        <v>0</v>
      </c>
      <c r="BH283" s="45">
        <v>34</v>
      </c>
      <c r="BI283" s="46">
        <v>97.14285714285714</v>
      </c>
      <c r="BJ283" s="45">
        <v>35</v>
      </c>
      <c r="BK283" s="45"/>
      <c r="BL283" s="45"/>
      <c r="BM283" s="45"/>
      <c r="BN283" s="45"/>
      <c r="BO283" s="45" t="s">
        <v>863</v>
      </c>
      <c r="BP283" s="45" t="s">
        <v>863</v>
      </c>
      <c r="BQ283" s="110" t="s">
        <v>4529</v>
      </c>
      <c r="BR283" s="110" t="s">
        <v>4529</v>
      </c>
      <c r="BS283" s="110" t="s">
        <v>4644</v>
      </c>
      <c r="BT283" s="110" t="s">
        <v>4644</v>
      </c>
      <c r="BU283" s="2"/>
    </row>
    <row r="284" spans="1:73" ht="15">
      <c r="A284" s="61" t="s">
        <v>548</v>
      </c>
      <c r="B284" s="62"/>
      <c r="C284" s="62"/>
      <c r="D284" s="63">
        <v>100</v>
      </c>
      <c r="E284" s="65"/>
      <c r="F284" s="99" t="str">
        <f>HYPERLINK("https://pbs.twimg.com/profile_images/1323749922005524485/LjJsuyU4_normal.jpg")</f>
        <v>https://pbs.twimg.com/profile_images/1323749922005524485/LjJsuyU4_normal.jpg</v>
      </c>
      <c r="G284" s="62"/>
      <c r="H284" s="66" t="s">
        <v>548</v>
      </c>
      <c r="I284" s="67"/>
      <c r="J284" s="67"/>
      <c r="K284" s="66" t="s">
        <v>3126</v>
      </c>
      <c r="L284" s="70">
        <v>1</v>
      </c>
      <c r="M284" s="71">
        <v>1167.443115234375</v>
      </c>
      <c r="N284" s="71">
        <v>4102.15380859375</v>
      </c>
      <c r="O284" s="72"/>
      <c r="P284" s="73"/>
      <c r="Q284" s="73"/>
      <c r="R284" s="85"/>
      <c r="S284" s="45">
        <v>1</v>
      </c>
      <c r="T284" s="45">
        <v>0</v>
      </c>
      <c r="U284" s="46">
        <v>0</v>
      </c>
      <c r="V284" s="46">
        <v>0.056213</v>
      </c>
      <c r="W284" s="46">
        <v>0.001432</v>
      </c>
      <c r="X284" s="46">
        <v>0.002834</v>
      </c>
      <c r="Y284" s="46">
        <v>0</v>
      </c>
      <c r="Z284" s="46">
        <v>0</v>
      </c>
      <c r="AA284" s="68">
        <v>284</v>
      </c>
      <c r="AB284" s="68"/>
      <c r="AC284" s="69"/>
      <c r="AD284" s="75" t="s">
        <v>2117</v>
      </c>
      <c r="AE284" s="80" t="s">
        <v>2378</v>
      </c>
      <c r="AF284" s="75">
        <v>1204</v>
      </c>
      <c r="AG284" s="75">
        <v>15875950</v>
      </c>
      <c r="AH284" s="75">
        <v>86881</v>
      </c>
      <c r="AI284" s="75">
        <v>1625</v>
      </c>
      <c r="AJ284" s="75"/>
      <c r="AK284" s="75" t="s">
        <v>2644</v>
      </c>
      <c r="AL284" s="75" t="s">
        <v>2824</v>
      </c>
      <c r="AM284" s="82" t="str">
        <f>HYPERLINK("https://t.co/kgJqUNDMpy")</f>
        <v>https://t.co/kgJqUNDMpy</v>
      </c>
      <c r="AN284" s="75"/>
      <c r="AO284" s="77">
        <v>39523.84416666667</v>
      </c>
      <c r="AP284" s="82" t="str">
        <f>HYPERLINK("https://pbs.twimg.com/profile_banners/14159148/1607000252")</f>
        <v>https://pbs.twimg.com/profile_banners/14159148/1607000252</v>
      </c>
      <c r="AQ284" s="75" t="b">
        <v>0</v>
      </c>
      <c r="AR284" s="75" t="b">
        <v>0</v>
      </c>
      <c r="AS284" s="75" t="b">
        <v>1</v>
      </c>
      <c r="AT284" s="75"/>
      <c r="AU284" s="75">
        <v>44785</v>
      </c>
      <c r="AV284" s="82" t="str">
        <f>HYPERLINK("https://abs.twimg.com/images/themes/theme1/bg.png")</f>
        <v>https://abs.twimg.com/images/themes/theme1/bg.png</v>
      </c>
      <c r="AW284" s="75" t="b">
        <v>1</v>
      </c>
      <c r="AX284" s="75" t="s">
        <v>2845</v>
      </c>
      <c r="AY284" s="82" t="str">
        <f>HYPERLINK("https://twitter.com/un")</f>
        <v>https://twitter.com/un</v>
      </c>
      <c r="AZ284" s="75" t="s">
        <v>65</v>
      </c>
      <c r="BA284" s="75" t="str">
        <f>REPLACE(INDEX(GroupVertices[Group],MATCH(Vertices[[#This Row],[Vertex]],GroupVertices[Vertex],0)),1,1,"")</f>
        <v>1</v>
      </c>
      <c r="BB284" s="45"/>
      <c r="BC284" s="46"/>
      <c r="BD284" s="45"/>
      <c r="BE284" s="46"/>
      <c r="BF284" s="45"/>
      <c r="BG284" s="46"/>
      <c r="BH284" s="45"/>
      <c r="BI284" s="46"/>
      <c r="BJ284" s="45"/>
      <c r="BK284" s="45"/>
      <c r="BL284" s="45"/>
      <c r="BM284" s="45"/>
      <c r="BN284" s="45"/>
      <c r="BO284" s="45"/>
      <c r="BP284" s="45"/>
      <c r="BQ284" s="45"/>
      <c r="BR284" s="45"/>
      <c r="BS284" s="45"/>
      <c r="BT284" s="45"/>
      <c r="BU284" s="2"/>
    </row>
    <row r="285" spans="1:73" ht="15">
      <c r="A285" s="61" t="s">
        <v>417</v>
      </c>
      <c r="B285" s="62"/>
      <c r="C285" s="62"/>
      <c r="D285" s="63">
        <v>145.45454545454544</v>
      </c>
      <c r="E285" s="65"/>
      <c r="F285" s="99" t="str">
        <f>HYPERLINK("https://pbs.twimg.com/profile_images/1425565078456315909/Jvt2aJUT_normal.jpg")</f>
        <v>https://pbs.twimg.com/profile_images/1425565078456315909/Jvt2aJUT_normal.jpg</v>
      </c>
      <c r="G285" s="62"/>
      <c r="H285" s="66" t="s">
        <v>417</v>
      </c>
      <c r="I285" s="67"/>
      <c r="J285" s="67"/>
      <c r="K285" s="66" t="s">
        <v>3127</v>
      </c>
      <c r="L285" s="70">
        <v>67.67807595222803</v>
      </c>
      <c r="M285" s="71">
        <v>3201.596435546875</v>
      </c>
      <c r="N285" s="71">
        <v>1877.663818359375</v>
      </c>
      <c r="O285" s="72"/>
      <c r="P285" s="73"/>
      <c r="Q285" s="73"/>
      <c r="R285" s="85"/>
      <c r="S285" s="45">
        <v>1</v>
      </c>
      <c r="T285" s="45">
        <v>3</v>
      </c>
      <c r="U285" s="46">
        <v>30</v>
      </c>
      <c r="V285" s="46">
        <v>0.018206</v>
      </c>
      <c r="W285" s="46">
        <v>0</v>
      </c>
      <c r="X285" s="46">
        <v>0.003388</v>
      </c>
      <c r="Y285" s="46">
        <v>0</v>
      </c>
      <c r="Z285" s="46">
        <v>0</v>
      </c>
      <c r="AA285" s="68">
        <v>285</v>
      </c>
      <c r="AB285" s="68"/>
      <c r="AC285" s="69"/>
      <c r="AD285" s="75" t="s">
        <v>2118</v>
      </c>
      <c r="AE285" s="80" t="s">
        <v>2379</v>
      </c>
      <c r="AF285" s="75">
        <v>267</v>
      </c>
      <c r="AG285" s="75">
        <v>270</v>
      </c>
      <c r="AH285" s="75">
        <v>8561</v>
      </c>
      <c r="AI285" s="75">
        <v>26508</v>
      </c>
      <c r="AJ285" s="75"/>
      <c r="AK285" s="75" t="s">
        <v>2645</v>
      </c>
      <c r="AL285" s="75"/>
      <c r="AM285" s="75"/>
      <c r="AN285" s="75"/>
      <c r="AO285" s="77">
        <v>42223.11033564815</v>
      </c>
      <c r="AP285" s="82" t="str">
        <f>HYPERLINK("https://pbs.twimg.com/profile_banners/3406551359/1619659868")</f>
        <v>https://pbs.twimg.com/profile_banners/3406551359/1619659868</v>
      </c>
      <c r="AQ285" s="75" t="b">
        <v>0</v>
      </c>
      <c r="AR285" s="75" t="b">
        <v>0</v>
      </c>
      <c r="AS285" s="75" t="b">
        <v>0</v>
      </c>
      <c r="AT285" s="75"/>
      <c r="AU285" s="75">
        <v>2</v>
      </c>
      <c r="AV285" s="82" t="str">
        <f>HYPERLINK("https://abs.twimg.com/images/themes/theme1/bg.png")</f>
        <v>https://abs.twimg.com/images/themes/theme1/bg.png</v>
      </c>
      <c r="AW285" s="75" t="b">
        <v>0</v>
      </c>
      <c r="AX285" s="75" t="s">
        <v>2845</v>
      </c>
      <c r="AY285" s="82" t="str">
        <f>HYPERLINK("https://twitter.com/m4rcyu5")</f>
        <v>https://twitter.com/m4rcyu5</v>
      </c>
      <c r="AZ285" s="75" t="s">
        <v>66</v>
      </c>
      <c r="BA285" s="75" t="str">
        <f>REPLACE(INDEX(GroupVertices[Group],MATCH(Vertices[[#This Row],[Vertex]],GroupVertices[Vertex],0)),1,1,"")</f>
        <v>4</v>
      </c>
      <c r="BB285" s="45">
        <v>0</v>
      </c>
      <c r="BC285" s="46">
        <v>0</v>
      </c>
      <c r="BD285" s="45">
        <v>0</v>
      </c>
      <c r="BE285" s="46">
        <v>0</v>
      </c>
      <c r="BF285" s="45">
        <v>0</v>
      </c>
      <c r="BG285" s="46">
        <v>0</v>
      </c>
      <c r="BH285" s="45">
        <v>6</v>
      </c>
      <c r="BI285" s="46">
        <v>100</v>
      </c>
      <c r="BJ285" s="45">
        <v>6</v>
      </c>
      <c r="BK285" s="45" t="s">
        <v>4400</v>
      </c>
      <c r="BL285" s="45" t="s">
        <v>4400</v>
      </c>
      <c r="BM285" s="45" t="s">
        <v>783</v>
      </c>
      <c r="BN285" s="45" t="s">
        <v>783</v>
      </c>
      <c r="BO285" s="45" t="s">
        <v>795</v>
      </c>
      <c r="BP285" s="45" t="s">
        <v>795</v>
      </c>
      <c r="BQ285" s="110" t="s">
        <v>4530</v>
      </c>
      <c r="BR285" s="110" t="s">
        <v>4560</v>
      </c>
      <c r="BS285" s="110" t="s">
        <v>4645</v>
      </c>
      <c r="BT285" s="110" t="s">
        <v>4645</v>
      </c>
      <c r="BU285" s="2"/>
    </row>
    <row r="286" spans="1:73" ht="15">
      <c r="A286" s="61" t="s">
        <v>549</v>
      </c>
      <c r="B286" s="62"/>
      <c r="C286" s="62"/>
      <c r="D286" s="63">
        <v>100</v>
      </c>
      <c r="E286" s="65"/>
      <c r="F286" s="99" t="str">
        <f>HYPERLINK("https://pbs.twimg.com/profile_images/1567009578528772096/K4RBfZiV_normal.jpg")</f>
        <v>https://pbs.twimg.com/profile_images/1567009578528772096/K4RBfZiV_normal.jpg</v>
      </c>
      <c r="G286" s="62"/>
      <c r="H286" s="66" t="s">
        <v>549</v>
      </c>
      <c r="I286" s="67"/>
      <c r="J286" s="67"/>
      <c r="K286" s="66" t="s">
        <v>3128</v>
      </c>
      <c r="L286" s="70">
        <v>1</v>
      </c>
      <c r="M286" s="71">
        <v>3487.4560546875</v>
      </c>
      <c r="N286" s="71">
        <v>1836.05029296875</v>
      </c>
      <c r="O286" s="72"/>
      <c r="P286" s="73"/>
      <c r="Q286" s="73"/>
      <c r="R286" s="85"/>
      <c r="S286" s="45">
        <v>1</v>
      </c>
      <c r="T286" s="45">
        <v>0</v>
      </c>
      <c r="U286" s="46">
        <v>0</v>
      </c>
      <c r="V286" s="46">
        <v>0.013498</v>
      </c>
      <c r="W286" s="46">
        <v>0</v>
      </c>
      <c r="X286" s="46">
        <v>0.002761</v>
      </c>
      <c r="Y286" s="46">
        <v>0</v>
      </c>
      <c r="Z286" s="46">
        <v>0</v>
      </c>
      <c r="AA286" s="68">
        <v>286</v>
      </c>
      <c r="AB286" s="68"/>
      <c r="AC286" s="69"/>
      <c r="AD286" s="75" t="s">
        <v>2119</v>
      </c>
      <c r="AE286" s="80" t="s">
        <v>1740</v>
      </c>
      <c r="AF286" s="75">
        <v>576</v>
      </c>
      <c r="AG286" s="75">
        <v>11660</v>
      </c>
      <c r="AH286" s="75">
        <v>12771</v>
      </c>
      <c r="AI286" s="75">
        <v>15349</v>
      </c>
      <c r="AJ286" s="75"/>
      <c r="AK286" s="75" t="s">
        <v>2646</v>
      </c>
      <c r="AL286" s="75" t="s">
        <v>2825</v>
      </c>
      <c r="AM286" s="75"/>
      <c r="AN286" s="75"/>
      <c r="AO286" s="77">
        <v>44509.19173611111</v>
      </c>
      <c r="AP286" s="82" t="str">
        <f>HYPERLINK("https://pbs.twimg.com/profile_banners/1457929912917110787/1652969773")</f>
        <v>https://pbs.twimg.com/profile_banners/1457929912917110787/1652969773</v>
      </c>
      <c r="AQ286" s="75" t="b">
        <v>1</v>
      </c>
      <c r="AR286" s="75" t="b">
        <v>0</v>
      </c>
      <c r="AS286" s="75" t="b">
        <v>0</v>
      </c>
      <c r="AT286" s="75"/>
      <c r="AU286" s="75">
        <v>67</v>
      </c>
      <c r="AV286" s="75"/>
      <c r="AW286" s="75" t="b">
        <v>0</v>
      </c>
      <c r="AX286" s="75" t="s">
        <v>2845</v>
      </c>
      <c r="AY286" s="82" t="str">
        <f>HYPERLINK("https://twitter.com/zzzaikar")</f>
        <v>https://twitter.com/zzzaikar</v>
      </c>
      <c r="AZ286" s="75" t="s">
        <v>65</v>
      </c>
      <c r="BA286" s="75" t="str">
        <f>REPLACE(INDEX(GroupVertices[Group],MATCH(Vertices[[#This Row],[Vertex]],GroupVertices[Vertex],0)),1,1,"")</f>
        <v>4</v>
      </c>
      <c r="BB286" s="45"/>
      <c r="BC286" s="46"/>
      <c r="BD286" s="45"/>
      <c r="BE286" s="46"/>
      <c r="BF286" s="45"/>
      <c r="BG286" s="46"/>
      <c r="BH286" s="45"/>
      <c r="BI286" s="46"/>
      <c r="BJ286" s="45"/>
      <c r="BK286" s="45"/>
      <c r="BL286" s="45"/>
      <c r="BM286" s="45"/>
      <c r="BN286" s="45"/>
      <c r="BO286" s="45"/>
      <c r="BP286" s="45"/>
      <c r="BQ286" s="45"/>
      <c r="BR286" s="45"/>
      <c r="BS286" s="45"/>
      <c r="BT286" s="45"/>
      <c r="BU286" s="2"/>
    </row>
    <row r="287" spans="1:73" ht="15">
      <c r="A287" s="61" t="s">
        <v>550</v>
      </c>
      <c r="B287" s="62"/>
      <c r="C287" s="62"/>
      <c r="D287" s="63">
        <v>184.84848484848484</v>
      </c>
      <c r="E287" s="65"/>
      <c r="F287" s="99" t="str">
        <f>HYPERLINK("https://pbs.twimg.com/profile_images/1517699728103948290/40DUxD4t_normal.jpg")</f>
        <v>https://pbs.twimg.com/profile_images/1517699728103948290/40DUxD4t_normal.jpg</v>
      </c>
      <c r="G287" s="62"/>
      <c r="H287" s="66" t="s">
        <v>550</v>
      </c>
      <c r="I287" s="67"/>
      <c r="J287" s="67"/>
      <c r="K287" s="66" t="s">
        <v>3129</v>
      </c>
      <c r="L287" s="70">
        <v>125.46574177749233</v>
      </c>
      <c r="M287" s="71">
        <v>2893.06396484375</v>
      </c>
      <c r="N287" s="71">
        <v>1905.592529296875</v>
      </c>
      <c r="O287" s="72"/>
      <c r="P287" s="73"/>
      <c r="Q287" s="73"/>
      <c r="R287" s="85"/>
      <c r="S287" s="45">
        <v>2</v>
      </c>
      <c r="T287" s="45">
        <v>0</v>
      </c>
      <c r="U287" s="46">
        <v>56</v>
      </c>
      <c r="V287" s="46">
        <v>0.026096</v>
      </c>
      <c r="W287" s="46">
        <v>0</v>
      </c>
      <c r="X287" s="46">
        <v>0.002843</v>
      </c>
      <c r="Y287" s="46">
        <v>0</v>
      </c>
      <c r="Z287" s="46">
        <v>0</v>
      </c>
      <c r="AA287" s="68">
        <v>287</v>
      </c>
      <c r="AB287" s="68"/>
      <c r="AC287" s="69"/>
      <c r="AD287" s="75" t="s">
        <v>2120</v>
      </c>
      <c r="AE287" s="80" t="s">
        <v>1741</v>
      </c>
      <c r="AF287" s="75">
        <v>2289</v>
      </c>
      <c r="AG287" s="75">
        <v>27643</v>
      </c>
      <c r="AH287" s="75">
        <v>7084</v>
      </c>
      <c r="AI287" s="75">
        <v>11654</v>
      </c>
      <c r="AJ287" s="75"/>
      <c r="AK287" s="75" t="s">
        <v>2647</v>
      </c>
      <c r="AL287" s="75"/>
      <c r="AM287" s="75"/>
      <c r="AN287" s="75"/>
      <c r="AO287" s="77">
        <v>44674.11767361111</v>
      </c>
      <c r="AP287" s="82" t="str">
        <f>HYPERLINK("https://pbs.twimg.com/profile_banners/1517696955329228800/1654592443")</f>
        <v>https://pbs.twimg.com/profile_banners/1517696955329228800/1654592443</v>
      </c>
      <c r="AQ287" s="75" t="b">
        <v>1</v>
      </c>
      <c r="AR287" s="75" t="b">
        <v>0</v>
      </c>
      <c r="AS287" s="75" t="b">
        <v>0</v>
      </c>
      <c r="AT287" s="75"/>
      <c r="AU287" s="75">
        <v>368</v>
      </c>
      <c r="AV287" s="75"/>
      <c r="AW287" s="75" t="b">
        <v>0</v>
      </c>
      <c r="AX287" s="75" t="s">
        <v>2845</v>
      </c>
      <c r="AY287" s="82" t="str">
        <f>HYPERLINK("https://twitter.com/ukraine66251776")</f>
        <v>https://twitter.com/ukraine66251776</v>
      </c>
      <c r="AZ287" s="75" t="s">
        <v>65</v>
      </c>
      <c r="BA287" s="75" t="str">
        <f>REPLACE(INDEX(GroupVertices[Group],MATCH(Vertices[[#This Row],[Vertex]],GroupVertices[Vertex],0)),1,1,"")</f>
        <v>4</v>
      </c>
      <c r="BB287" s="45"/>
      <c r="BC287" s="46"/>
      <c r="BD287" s="45"/>
      <c r="BE287" s="46"/>
      <c r="BF287" s="45"/>
      <c r="BG287" s="46"/>
      <c r="BH287" s="45"/>
      <c r="BI287" s="46"/>
      <c r="BJ287" s="45"/>
      <c r="BK287" s="45"/>
      <c r="BL287" s="45"/>
      <c r="BM287" s="45"/>
      <c r="BN287" s="45"/>
      <c r="BO287" s="45"/>
      <c r="BP287" s="45"/>
      <c r="BQ287" s="45"/>
      <c r="BR287" s="45"/>
      <c r="BS287" s="45"/>
      <c r="BT287" s="45"/>
      <c r="BU287" s="2"/>
    </row>
    <row r="288" spans="1:73" ht="15">
      <c r="A288" s="61" t="s">
        <v>551</v>
      </c>
      <c r="B288" s="62"/>
      <c r="C288" s="62"/>
      <c r="D288" s="63">
        <v>100</v>
      </c>
      <c r="E288" s="65"/>
      <c r="F288" s="99" t="str">
        <f>HYPERLINK("https://pbs.twimg.com/profile_images/1301986911586856961/G1tqJOuu_normal.jpg")</f>
        <v>https://pbs.twimg.com/profile_images/1301986911586856961/G1tqJOuu_normal.jpg</v>
      </c>
      <c r="G288" s="62"/>
      <c r="H288" s="66" t="s">
        <v>551</v>
      </c>
      <c r="I288" s="67"/>
      <c r="J288" s="67"/>
      <c r="K288" s="66" t="s">
        <v>3130</v>
      </c>
      <c r="L288" s="70">
        <v>1</v>
      </c>
      <c r="M288" s="71">
        <v>2370.2412109375</v>
      </c>
      <c r="N288" s="71">
        <v>2391.427001953125</v>
      </c>
      <c r="O288" s="72"/>
      <c r="P288" s="73"/>
      <c r="Q288" s="73"/>
      <c r="R288" s="85"/>
      <c r="S288" s="45">
        <v>1</v>
      </c>
      <c r="T288" s="45">
        <v>0</v>
      </c>
      <c r="U288" s="46">
        <v>0</v>
      </c>
      <c r="V288" s="46">
        <v>0.023026</v>
      </c>
      <c r="W288" s="46">
        <v>0</v>
      </c>
      <c r="X288" s="46">
        <v>0.002673</v>
      </c>
      <c r="Y288" s="46">
        <v>0</v>
      </c>
      <c r="Z288" s="46">
        <v>0</v>
      </c>
      <c r="AA288" s="68">
        <v>288</v>
      </c>
      <c r="AB288" s="68"/>
      <c r="AC288" s="69"/>
      <c r="AD288" s="75" t="s">
        <v>2121</v>
      </c>
      <c r="AE288" s="80" t="s">
        <v>1743</v>
      </c>
      <c r="AF288" s="75">
        <v>3536</v>
      </c>
      <c r="AG288" s="75">
        <v>584590</v>
      </c>
      <c r="AH288" s="75">
        <v>295982</v>
      </c>
      <c r="AI288" s="75">
        <v>1972</v>
      </c>
      <c r="AJ288" s="75"/>
      <c r="AK288" s="75" t="s">
        <v>2648</v>
      </c>
      <c r="AL288" s="75" t="s">
        <v>2826</v>
      </c>
      <c r="AM288" s="82" t="str">
        <f>HYPERLINK("https://t.co/GeoZ4kTbhY")</f>
        <v>https://t.co/GeoZ4kTbhY</v>
      </c>
      <c r="AN288" s="75"/>
      <c r="AO288" s="77">
        <v>39610.58268518518</v>
      </c>
      <c r="AP288" s="82" t="str">
        <f>HYPERLINK("https://pbs.twimg.com/profile_banners/15084884/1562876869")</f>
        <v>https://pbs.twimg.com/profile_banners/15084884/1562876869</v>
      </c>
      <c r="AQ288" s="75" t="b">
        <v>0</v>
      </c>
      <c r="AR288" s="75" t="b">
        <v>0</v>
      </c>
      <c r="AS288" s="75" t="b">
        <v>1</v>
      </c>
      <c r="AT288" s="75"/>
      <c r="AU288" s="75">
        <v>1765</v>
      </c>
      <c r="AV288" s="82" t="str">
        <f>HYPERLINK("https://abs.twimg.com/images/themes/theme1/bg.png")</f>
        <v>https://abs.twimg.com/images/themes/theme1/bg.png</v>
      </c>
      <c r="AW288" s="75" t="b">
        <v>1</v>
      </c>
      <c r="AX288" s="75" t="s">
        <v>2845</v>
      </c>
      <c r="AY288" s="82" t="str">
        <f>HYPERLINK("https://twitter.com/gazetadopovo")</f>
        <v>https://twitter.com/gazetadopovo</v>
      </c>
      <c r="AZ288" s="75" t="s">
        <v>65</v>
      </c>
      <c r="BA288" s="75" t="str">
        <f>REPLACE(INDEX(GroupVertices[Group],MATCH(Vertices[[#This Row],[Vertex]],GroupVertices[Vertex],0)),1,1,"")</f>
        <v>4</v>
      </c>
      <c r="BB288" s="45"/>
      <c r="BC288" s="46"/>
      <c r="BD288" s="45"/>
      <c r="BE288" s="46"/>
      <c r="BF288" s="45"/>
      <c r="BG288" s="46"/>
      <c r="BH288" s="45"/>
      <c r="BI288" s="46"/>
      <c r="BJ288" s="45"/>
      <c r="BK288" s="45"/>
      <c r="BL288" s="45"/>
      <c r="BM288" s="45"/>
      <c r="BN288" s="45"/>
      <c r="BO288" s="45"/>
      <c r="BP288" s="45"/>
      <c r="BQ288" s="45"/>
      <c r="BR288" s="45"/>
      <c r="BS288" s="45"/>
      <c r="BT288" s="45"/>
      <c r="BU288" s="2"/>
    </row>
    <row r="289" spans="1:73" ht="15">
      <c r="A289" s="61" t="s">
        <v>552</v>
      </c>
      <c r="B289" s="62"/>
      <c r="C289" s="62"/>
      <c r="D289" s="63">
        <v>100</v>
      </c>
      <c r="E289" s="65"/>
      <c r="F289" s="99" t="str">
        <f>HYPERLINK("https://pbs.twimg.com/profile_images/1547254989134913541/pms5f_cA_normal.jpg")</f>
        <v>https://pbs.twimg.com/profile_images/1547254989134913541/pms5f_cA_normal.jpg</v>
      </c>
      <c r="G289" s="62"/>
      <c r="H289" s="66" t="s">
        <v>552</v>
      </c>
      <c r="I289" s="67"/>
      <c r="J289" s="67"/>
      <c r="K289" s="66" t="s">
        <v>3131</v>
      </c>
      <c r="L289" s="70">
        <v>1</v>
      </c>
      <c r="M289" s="71">
        <v>2337.132568359375</v>
      </c>
      <c r="N289" s="71">
        <v>2976.480712890625</v>
      </c>
      <c r="O289" s="72"/>
      <c r="P289" s="73"/>
      <c r="Q289" s="73"/>
      <c r="R289" s="85"/>
      <c r="S289" s="45">
        <v>1</v>
      </c>
      <c r="T289" s="45">
        <v>0</v>
      </c>
      <c r="U289" s="46">
        <v>0</v>
      </c>
      <c r="V289" s="46">
        <v>0.023026</v>
      </c>
      <c r="W289" s="46">
        <v>0</v>
      </c>
      <c r="X289" s="46">
        <v>0.002673</v>
      </c>
      <c r="Y289" s="46">
        <v>0</v>
      </c>
      <c r="Z289" s="46">
        <v>0</v>
      </c>
      <c r="AA289" s="68">
        <v>289</v>
      </c>
      <c r="AB289" s="68"/>
      <c r="AC289" s="69"/>
      <c r="AD289" s="75" t="s">
        <v>2122</v>
      </c>
      <c r="AE289" s="80" t="s">
        <v>2380</v>
      </c>
      <c r="AF289" s="75">
        <v>119</v>
      </c>
      <c r="AG289" s="75">
        <v>427331</v>
      </c>
      <c r="AH289" s="75">
        <v>493743</v>
      </c>
      <c r="AI289" s="75">
        <v>2124</v>
      </c>
      <c r="AJ289" s="75"/>
      <c r="AK289" s="75" t="s">
        <v>2649</v>
      </c>
      <c r="AL289" s="75" t="s">
        <v>2827</v>
      </c>
      <c r="AM289" s="82" t="str">
        <f>HYPERLINK("https://t.co/eclS3QPGB4")</f>
        <v>https://t.co/eclS3QPGB4</v>
      </c>
      <c r="AN289" s="75"/>
      <c r="AO289" s="77">
        <v>39909.81811342593</v>
      </c>
      <c r="AP289" s="82" t="str">
        <f>HYPERLINK("https://pbs.twimg.com/profile_banners/29274419/1661890154")</f>
        <v>https://pbs.twimg.com/profile_banners/29274419/1661890154</v>
      </c>
      <c r="AQ289" s="75" t="b">
        <v>0</v>
      </c>
      <c r="AR289" s="75" t="b">
        <v>0</v>
      </c>
      <c r="AS289" s="75" t="b">
        <v>1</v>
      </c>
      <c r="AT289" s="75"/>
      <c r="AU289" s="75">
        <v>1051</v>
      </c>
      <c r="AV289" s="82" t="str">
        <f>HYPERLINK("https://abs.twimg.com/images/themes/theme1/bg.png")</f>
        <v>https://abs.twimg.com/images/themes/theme1/bg.png</v>
      </c>
      <c r="AW289" s="75" t="b">
        <v>1</v>
      </c>
      <c r="AX289" s="75" t="s">
        <v>2845</v>
      </c>
      <c r="AY289" s="82" t="str">
        <f>HYPERLINK("https://twitter.com/otempo")</f>
        <v>https://twitter.com/otempo</v>
      </c>
      <c r="AZ289" s="75" t="s">
        <v>65</v>
      </c>
      <c r="BA289" s="75" t="str">
        <f>REPLACE(INDEX(GroupVertices[Group],MATCH(Vertices[[#This Row],[Vertex]],GroupVertices[Vertex],0)),1,1,"")</f>
        <v>4</v>
      </c>
      <c r="BB289" s="45"/>
      <c r="BC289" s="46"/>
      <c r="BD289" s="45"/>
      <c r="BE289" s="46"/>
      <c r="BF289" s="45"/>
      <c r="BG289" s="46"/>
      <c r="BH289" s="45"/>
      <c r="BI289" s="46"/>
      <c r="BJ289" s="45"/>
      <c r="BK289" s="45"/>
      <c r="BL289" s="45"/>
      <c r="BM289" s="45"/>
      <c r="BN289" s="45"/>
      <c r="BO289" s="45"/>
      <c r="BP289" s="45"/>
      <c r="BQ289" s="45"/>
      <c r="BR289" s="45"/>
      <c r="BS289" s="45"/>
      <c r="BT289" s="45"/>
      <c r="BU289" s="2"/>
    </row>
    <row r="290" spans="1:73" ht="15">
      <c r="A290" s="61" t="s">
        <v>553</v>
      </c>
      <c r="B290" s="62"/>
      <c r="C290" s="62"/>
      <c r="D290" s="63">
        <v>100</v>
      </c>
      <c r="E290" s="65"/>
      <c r="F290" s="99" t="str">
        <f>HYPERLINK("https://pbs.twimg.com/profile_images/1240276568745926656/IWtVdkZC_normal.jpg")</f>
        <v>https://pbs.twimg.com/profile_images/1240276568745926656/IWtVdkZC_normal.jpg</v>
      </c>
      <c r="G290" s="62"/>
      <c r="H290" s="66" t="s">
        <v>553</v>
      </c>
      <c r="I290" s="67"/>
      <c r="J290" s="67"/>
      <c r="K290" s="66" t="s">
        <v>3132</v>
      </c>
      <c r="L290" s="70">
        <v>1</v>
      </c>
      <c r="M290" s="71">
        <v>2213.511474609375</v>
      </c>
      <c r="N290" s="71">
        <v>1322.332275390625</v>
      </c>
      <c r="O290" s="72"/>
      <c r="P290" s="73"/>
      <c r="Q290" s="73"/>
      <c r="R290" s="85"/>
      <c r="S290" s="45">
        <v>1</v>
      </c>
      <c r="T290" s="45">
        <v>0</v>
      </c>
      <c r="U290" s="46">
        <v>0</v>
      </c>
      <c r="V290" s="46">
        <v>0.023026</v>
      </c>
      <c r="W290" s="46">
        <v>0</v>
      </c>
      <c r="X290" s="46">
        <v>0.002673</v>
      </c>
      <c r="Y290" s="46">
        <v>0</v>
      </c>
      <c r="Z290" s="46">
        <v>0</v>
      </c>
      <c r="AA290" s="68">
        <v>290</v>
      </c>
      <c r="AB290" s="68"/>
      <c r="AC290" s="69"/>
      <c r="AD290" s="75" t="s">
        <v>2123</v>
      </c>
      <c r="AE290" s="80" t="s">
        <v>1744</v>
      </c>
      <c r="AF290" s="75">
        <v>40</v>
      </c>
      <c r="AG290" s="75">
        <v>18</v>
      </c>
      <c r="AH290" s="75">
        <v>1226</v>
      </c>
      <c r="AI290" s="75">
        <v>5910</v>
      </c>
      <c r="AJ290" s="75"/>
      <c r="AK290" s="75"/>
      <c r="AL290" s="75" t="s">
        <v>2828</v>
      </c>
      <c r="AM290" s="75"/>
      <c r="AN290" s="75"/>
      <c r="AO290" s="77">
        <v>42124.599583333336</v>
      </c>
      <c r="AP290" s="82" t="str">
        <f>HYPERLINK("https://pbs.twimg.com/profile_banners/3224531133/1543350673")</f>
        <v>https://pbs.twimg.com/profile_banners/3224531133/1543350673</v>
      </c>
      <c r="AQ290" s="75" t="b">
        <v>0</v>
      </c>
      <c r="AR290" s="75" t="b">
        <v>0</v>
      </c>
      <c r="AS290" s="75" t="b">
        <v>1</v>
      </c>
      <c r="AT290" s="75"/>
      <c r="AU290" s="75">
        <v>0</v>
      </c>
      <c r="AV290" s="82" t="str">
        <f>HYPERLINK("https://abs.twimg.com/images/themes/theme1/bg.png")</f>
        <v>https://abs.twimg.com/images/themes/theme1/bg.png</v>
      </c>
      <c r="AW290" s="75" t="b">
        <v>0</v>
      </c>
      <c r="AX290" s="75" t="s">
        <v>2845</v>
      </c>
      <c r="AY290" s="82" t="str">
        <f>HYPERLINK("https://twitter.com/annawrds")</f>
        <v>https://twitter.com/annawrds</v>
      </c>
      <c r="AZ290" s="75" t="s">
        <v>65</v>
      </c>
      <c r="BA290" s="75" t="str">
        <f>REPLACE(INDEX(GroupVertices[Group],MATCH(Vertices[[#This Row],[Vertex]],GroupVertices[Vertex],0)),1,1,"")</f>
        <v>4</v>
      </c>
      <c r="BB290" s="45"/>
      <c r="BC290" s="46"/>
      <c r="BD290" s="45"/>
      <c r="BE290" s="46"/>
      <c r="BF290" s="45"/>
      <c r="BG290" s="46"/>
      <c r="BH290" s="45"/>
      <c r="BI290" s="46"/>
      <c r="BJ290" s="45"/>
      <c r="BK290" s="45"/>
      <c r="BL290" s="45"/>
      <c r="BM290" s="45"/>
      <c r="BN290" s="45"/>
      <c r="BO290" s="45"/>
      <c r="BP290" s="45"/>
      <c r="BQ290" s="45"/>
      <c r="BR290" s="45"/>
      <c r="BS290" s="45"/>
      <c r="BT290" s="45"/>
      <c r="BU290" s="2"/>
    </row>
    <row r="291" spans="1:73" ht="15">
      <c r="A291" s="61" t="s">
        <v>554</v>
      </c>
      <c r="B291" s="62"/>
      <c r="C291" s="62"/>
      <c r="D291" s="63">
        <v>100</v>
      </c>
      <c r="E291" s="65"/>
      <c r="F291" s="99" t="str">
        <f>HYPERLINK("https://pbs.twimg.com/profile_images/1544080180599312389/A4ub4cHm_normal.jpg")</f>
        <v>https://pbs.twimg.com/profile_images/1544080180599312389/A4ub4cHm_normal.jpg</v>
      </c>
      <c r="G291" s="62"/>
      <c r="H291" s="66" t="s">
        <v>554</v>
      </c>
      <c r="I291" s="67"/>
      <c r="J291" s="67"/>
      <c r="K291" s="66" t="s">
        <v>3133</v>
      </c>
      <c r="L291" s="70">
        <v>1</v>
      </c>
      <c r="M291" s="71">
        <v>2310.884033203125</v>
      </c>
      <c r="N291" s="71">
        <v>913.7731323242188</v>
      </c>
      <c r="O291" s="72"/>
      <c r="P291" s="73"/>
      <c r="Q291" s="73"/>
      <c r="R291" s="85"/>
      <c r="S291" s="45">
        <v>1</v>
      </c>
      <c r="T291" s="45">
        <v>0</v>
      </c>
      <c r="U291" s="46">
        <v>0</v>
      </c>
      <c r="V291" s="46">
        <v>0.023026</v>
      </c>
      <c r="W291" s="46">
        <v>0</v>
      </c>
      <c r="X291" s="46">
        <v>0.002673</v>
      </c>
      <c r="Y291" s="46">
        <v>0</v>
      </c>
      <c r="Z291" s="46">
        <v>0</v>
      </c>
      <c r="AA291" s="68">
        <v>291</v>
      </c>
      <c r="AB291" s="68"/>
      <c r="AC291" s="69"/>
      <c r="AD291" s="75" t="s">
        <v>2124</v>
      </c>
      <c r="AE291" s="80" t="s">
        <v>1745</v>
      </c>
      <c r="AF291" s="75">
        <v>322</v>
      </c>
      <c r="AG291" s="75">
        <v>37</v>
      </c>
      <c r="AH291" s="75">
        <v>170</v>
      </c>
      <c r="AI291" s="75">
        <v>2665</v>
      </c>
      <c r="AJ291" s="75"/>
      <c r="AK291" s="75" t="s">
        <v>2650</v>
      </c>
      <c r="AL291" s="75" t="s">
        <v>2829</v>
      </c>
      <c r="AM291" s="75"/>
      <c r="AN291" s="75"/>
      <c r="AO291" s="77">
        <v>43699.527083333334</v>
      </c>
      <c r="AP291" s="82" t="str">
        <f>HYPERLINK("https://pbs.twimg.com/profile_banners/1164517268992274432/1658347705")</f>
        <v>https://pbs.twimg.com/profile_banners/1164517268992274432/1658347705</v>
      </c>
      <c r="AQ291" s="75" t="b">
        <v>1</v>
      </c>
      <c r="AR291" s="75" t="b">
        <v>0</v>
      </c>
      <c r="AS291" s="75" t="b">
        <v>0</v>
      </c>
      <c r="AT291" s="75"/>
      <c r="AU291" s="75">
        <v>0</v>
      </c>
      <c r="AV291" s="75"/>
      <c r="AW291" s="75" t="b">
        <v>0</v>
      </c>
      <c r="AX291" s="75" t="s">
        <v>2845</v>
      </c>
      <c r="AY291" s="82" t="str">
        <f>HYPERLINK("https://twitter.com/jpgmary")</f>
        <v>https://twitter.com/jpgmary</v>
      </c>
      <c r="AZ291" s="75" t="s">
        <v>65</v>
      </c>
      <c r="BA291" s="75" t="str">
        <f>REPLACE(INDEX(GroupVertices[Group],MATCH(Vertices[[#This Row],[Vertex]],GroupVertices[Vertex],0)),1,1,"")</f>
        <v>4</v>
      </c>
      <c r="BB291" s="45"/>
      <c r="BC291" s="46"/>
      <c r="BD291" s="45"/>
      <c r="BE291" s="46"/>
      <c r="BF291" s="45"/>
      <c r="BG291" s="46"/>
      <c r="BH291" s="45"/>
      <c r="BI291" s="46"/>
      <c r="BJ291" s="45"/>
      <c r="BK291" s="45"/>
      <c r="BL291" s="45"/>
      <c r="BM291" s="45"/>
      <c r="BN291" s="45"/>
      <c r="BO291" s="45"/>
      <c r="BP291" s="45"/>
      <c r="BQ291" s="45"/>
      <c r="BR291" s="45"/>
      <c r="BS291" s="45"/>
      <c r="BT291" s="45"/>
      <c r="BU291" s="2"/>
    </row>
    <row r="292" spans="1:73" ht="15">
      <c r="A292" s="61" t="s">
        <v>555</v>
      </c>
      <c r="B292" s="62"/>
      <c r="C292" s="62"/>
      <c r="D292" s="63">
        <v>100</v>
      </c>
      <c r="E292" s="65"/>
      <c r="F292" s="99" t="str">
        <f>HYPERLINK("https://abs.twimg.com/sticky/default_profile_images/default_profile_normal.png")</f>
        <v>https://abs.twimg.com/sticky/default_profile_images/default_profile_normal.png</v>
      </c>
      <c r="G292" s="62"/>
      <c r="H292" s="66" t="s">
        <v>555</v>
      </c>
      <c r="I292" s="67"/>
      <c r="J292" s="67"/>
      <c r="K292" s="66" t="s">
        <v>3134</v>
      </c>
      <c r="L292" s="70">
        <v>1</v>
      </c>
      <c r="M292" s="71">
        <v>2678.685302734375</v>
      </c>
      <c r="N292" s="71">
        <v>2962.005126953125</v>
      </c>
      <c r="O292" s="72"/>
      <c r="P292" s="73"/>
      <c r="Q292" s="73"/>
      <c r="R292" s="85"/>
      <c r="S292" s="45">
        <v>1</v>
      </c>
      <c r="T292" s="45">
        <v>0</v>
      </c>
      <c r="U292" s="46">
        <v>0</v>
      </c>
      <c r="V292" s="46">
        <v>0.023026</v>
      </c>
      <c r="W292" s="46">
        <v>0</v>
      </c>
      <c r="X292" s="46">
        <v>0.002673</v>
      </c>
      <c r="Y292" s="46">
        <v>0</v>
      </c>
      <c r="Z292" s="46">
        <v>0</v>
      </c>
      <c r="AA292" s="68">
        <v>292</v>
      </c>
      <c r="AB292" s="68"/>
      <c r="AC292" s="69"/>
      <c r="AD292" s="75" t="s">
        <v>2125</v>
      </c>
      <c r="AE292" s="80" t="s">
        <v>1746</v>
      </c>
      <c r="AF292" s="75">
        <v>1877</v>
      </c>
      <c r="AG292" s="75">
        <v>52</v>
      </c>
      <c r="AH292" s="75">
        <v>392</v>
      </c>
      <c r="AI292" s="75">
        <v>1009</v>
      </c>
      <c r="AJ292" s="75"/>
      <c r="AK292" s="75"/>
      <c r="AL292" s="75" t="s">
        <v>2702</v>
      </c>
      <c r="AM292" s="75"/>
      <c r="AN292" s="75"/>
      <c r="AO292" s="77">
        <v>43716.582083333335</v>
      </c>
      <c r="AP292" s="75"/>
      <c r="AQ292" s="75" t="b">
        <v>1</v>
      </c>
      <c r="AR292" s="75" t="b">
        <v>1</v>
      </c>
      <c r="AS292" s="75" t="b">
        <v>0</v>
      </c>
      <c r="AT292" s="75"/>
      <c r="AU292" s="75">
        <v>0</v>
      </c>
      <c r="AV292" s="75"/>
      <c r="AW292" s="75" t="b">
        <v>0</v>
      </c>
      <c r="AX292" s="75" t="s">
        <v>2845</v>
      </c>
      <c r="AY292" s="82" t="str">
        <f>HYPERLINK("https://twitter.com/anesfoufa")</f>
        <v>https://twitter.com/anesfoufa</v>
      </c>
      <c r="AZ292" s="75" t="s">
        <v>65</v>
      </c>
      <c r="BA292" s="75" t="str">
        <f>REPLACE(INDEX(GroupVertices[Group],MATCH(Vertices[[#This Row],[Vertex]],GroupVertices[Vertex],0)),1,1,"")</f>
        <v>4</v>
      </c>
      <c r="BB292" s="45"/>
      <c r="BC292" s="46"/>
      <c r="BD292" s="45"/>
      <c r="BE292" s="46"/>
      <c r="BF292" s="45"/>
      <c r="BG292" s="46"/>
      <c r="BH292" s="45"/>
      <c r="BI292" s="46"/>
      <c r="BJ292" s="45"/>
      <c r="BK292" s="45"/>
      <c r="BL292" s="45"/>
      <c r="BM292" s="45"/>
      <c r="BN292" s="45"/>
      <c r="BO292" s="45"/>
      <c r="BP292" s="45"/>
      <c r="BQ292" s="45"/>
      <c r="BR292" s="45"/>
      <c r="BS292" s="45"/>
      <c r="BT292" s="45"/>
      <c r="BU292" s="2"/>
    </row>
    <row r="293" spans="1:73" ht="15">
      <c r="A293" s="61" t="s">
        <v>556</v>
      </c>
      <c r="B293" s="62"/>
      <c r="C293" s="62"/>
      <c r="D293" s="63">
        <v>100</v>
      </c>
      <c r="E293" s="65"/>
      <c r="F293" s="99" t="str">
        <f>HYPERLINK("https://pbs.twimg.com/profile_images/1327627192533192704/lOQ36mxY_normal.jpg")</f>
        <v>https://pbs.twimg.com/profile_images/1327627192533192704/lOQ36mxY_normal.jpg</v>
      </c>
      <c r="G293" s="62"/>
      <c r="H293" s="66" t="s">
        <v>556</v>
      </c>
      <c r="I293" s="67"/>
      <c r="J293" s="67"/>
      <c r="K293" s="66" t="s">
        <v>3135</v>
      </c>
      <c r="L293" s="70">
        <v>1</v>
      </c>
      <c r="M293" s="71">
        <v>2466.026123046875</v>
      </c>
      <c r="N293" s="71">
        <v>640.9615478515625</v>
      </c>
      <c r="O293" s="72"/>
      <c r="P293" s="73"/>
      <c r="Q293" s="73"/>
      <c r="R293" s="85"/>
      <c r="S293" s="45">
        <v>1</v>
      </c>
      <c r="T293" s="45">
        <v>0</v>
      </c>
      <c r="U293" s="46">
        <v>0</v>
      </c>
      <c r="V293" s="46">
        <v>0.023026</v>
      </c>
      <c r="W293" s="46">
        <v>0</v>
      </c>
      <c r="X293" s="46">
        <v>0.002673</v>
      </c>
      <c r="Y293" s="46">
        <v>0</v>
      </c>
      <c r="Z293" s="46">
        <v>0</v>
      </c>
      <c r="AA293" s="68">
        <v>293</v>
      </c>
      <c r="AB293" s="68"/>
      <c r="AC293" s="69"/>
      <c r="AD293" s="75" t="s">
        <v>2126</v>
      </c>
      <c r="AE293" s="80" t="s">
        <v>1747</v>
      </c>
      <c r="AF293" s="75">
        <v>130</v>
      </c>
      <c r="AG293" s="75">
        <v>188493</v>
      </c>
      <c r="AH293" s="75">
        <v>9617</v>
      </c>
      <c r="AI293" s="75">
        <v>3852</v>
      </c>
      <c r="AJ293" s="75"/>
      <c r="AK293" s="75" t="s">
        <v>2651</v>
      </c>
      <c r="AL293" s="75"/>
      <c r="AM293" s="82" t="str">
        <f>HYPERLINK("https://t.co/GmcPQR3Dhs")</f>
        <v>https://t.co/GmcPQR3Dhs</v>
      </c>
      <c r="AN293" s="75"/>
      <c r="AO293" s="77">
        <v>44148.63013888889</v>
      </c>
      <c r="AP293" s="75"/>
      <c r="AQ293" s="75" t="b">
        <v>1</v>
      </c>
      <c r="AR293" s="75" t="b">
        <v>0</v>
      </c>
      <c r="AS293" s="75" t="b">
        <v>0</v>
      </c>
      <c r="AT293" s="75"/>
      <c r="AU293" s="75">
        <v>1771</v>
      </c>
      <c r="AV293" s="75"/>
      <c r="AW293" s="75" t="b">
        <v>0</v>
      </c>
      <c r="AX293" s="75" t="s">
        <v>2845</v>
      </c>
      <c r="AY293" s="82" t="str">
        <f>HYPERLINK("https://twitter.com/rwapodcast")</f>
        <v>https://twitter.com/rwapodcast</v>
      </c>
      <c r="AZ293" s="75" t="s">
        <v>65</v>
      </c>
      <c r="BA293" s="75" t="str">
        <f>REPLACE(INDEX(GroupVertices[Group],MATCH(Vertices[[#This Row],[Vertex]],GroupVertices[Vertex],0)),1,1,"")</f>
        <v>4</v>
      </c>
      <c r="BB293" s="45"/>
      <c r="BC293" s="46"/>
      <c r="BD293" s="45"/>
      <c r="BE293" s="46"/>
      <c r="BF293" s="45"/>
      <c r="BG293" s="46"/>
      <c r="BH293" s="45"/>
      <c r="BI293" s="46"/>
      <c r="BJ293" s="45"/>
      <c r="BK293" s="45"/>
      <c r="BL293" s="45"/>
      <c r="BM293" s="45"/>
      <c r="BN293" s="45"/>
      <c r="BO293" s="45"/>
      <c r="BP293" s="45"/>
      <c r="BQ293" s="45"/>
      <c r="BR293" s="45"/>
      <c r="BS293" s="45"/>
      <c r="BT293" s="45"/>
      <c r="BU293" s="2"/>
    </row>
    <row r="294" spans="1:73" ht="15">
      <c r="A294" s="61" t="s">
        <v>557</v>
      </c>
      <c r="B294" s="62"/>
      <c r="C294" s="62"/>
      <c r="D294" s="63">
        <v>100</v>
      </c>
      <c r="E294" s="65"/>
      <c r="F294" s="99" t="str">
        <f>HYPERLINK("https://pbs.twimg.com/profile_images/1273356834011860996/-Ejc007h_normal.jpg")</f>
        <v>https://pbs.twimg.com/profile_images/1273356834011860996/-Ejc007h_normal.jpg</v>
      </c>
      <c r="G294" s="62"/>
      <c r="H294" s="66" t="s">
        <v>557</v>
      </c>
      <c r="I294" s="67"/>
      <c r="J294" s="67"/>
      <c r="K294" s="66" t="s">
        <v>3136</v>
      </c>
      <c r="L294" s="70">
        <v>1</v>
      </c>
      <c r="M294" s="71">
        <v>2718.528564453125</v>
      </c>
      <c r="N294" s="71">
        <v>2436.762451171875</v>
      </c>
      <c r="O294" s="72"/>
      <c r="P294" s="73"/>
      <c r="Q294" s="73"/>
      <c r="R294" s="85"/>
      <c r="S294" s="45">
        <v>1</v>
      </c>
      <c r="T294" s="45">
        <v>0</v>
      </c>
      <c r="U294" s="46">
        <v>0</v>
      </c>
      <c r="V294" s="46">
        <v>0.023026</v>
      </c>
      <c r="W294" s="46">
        <v>0</v>
      </c>
      <c r="X294" s="46">
        <v>0.002673</v>
      </c>
      <c r="Y294" s="46">
        <v>0</v>
      </c>
      <c r="Z294" s="46">
        <v>0</v>
      </c>
      <c r="AA294" s="68">
        <v>294</v>
      </c>
      <c r="AB294" s="68"/>
      <c r="AC294" s="69"/>
      <c r="AD294" s="75" t="s">
        <v>2127</v>
      </c>
      <c r="AE294" s="80" t="s">
        <v>1748</v>
      </c>
      <c r="AF294" s="75">
        <v>399</v>
      </c>
      <c r="AG294" s="75">
        <v>228422</v>
      </c>
      <c r="AH294" s="75">
        <v>16772</v>
      </c>
      <c r="AI294" s="75">
        <v>42812</v>
      </c>
      <c r="AJ294" s="75"/>
      <c r="AK294" s="75" t="s">
        <v>2652</v>
      </c>
      <c r="AL294" s="75" t="s">
        <v>2830</v>
      </c>
      <c r="AM294" s="82" t="str">
        <f>HYPERLINK("https://t.co/ykzAtLKZIw")</f>
        <v>https://t.co/ykzAtLKZIw</v>
      </c>
      <c r="AN294" s="75"/>
      <c r="AO294" s="77">
        <v>41721.9994212963</v>
      </c>
      <c r="AP294" s="82" t="str">
        <f>HYPERLINK("https://pbs.twimg.com/profile_banners/2408015736/1633481433")</f>
        <v>https://pbs.twimg.com/profile_banners/2408015736/1633481433</v>
      </c>
      <c r="AQ294" s="75" t="b">
        <v>0</v>
      </c>
      <c r="AR294" s="75" t="b">
        <v>0</v>
      </c>
      <c r="AS294" s="75" t="b">
        <v>1</v>
      </c>
      <c r="AT294" s="75"/>
      <c r="AU294" s="75">
        <v>1523</v>
      </c>
      <c r="AV294" s="82" t="str">
        <f>HYPERLINK("https://abs.twimg.com/images/themes/theme1/bg.png")</f>
        <v>https://abs.twimg.com/images/themes/theme1/bg.png</v>
      </c>
      <c r="AW294" s="75" t="b">
        <v>0</v>
      </c>
      <c r="AX294" s="75" t="s">
        <v>2845</v>
      </c>
      <c r="AY294" s="82" t="str">
        <f>HYPERLINK("https://twitter.com/pablospyer")</f>
        <v>https://twitter.com/pablospyer</v>
      </c>
      <c r="AZ294" s="75" t="s">
        <v>65</v>
      </c>
      <c r="BA294" s="75" t="str">
        <f>REPLACE(INDEX(GroupVertices[Group],MATCH(Vertices[[#This Row],[Vertex]],GroupVertices[Vertex],0)),1,1,"")</f>
        <v>4</v>
      </c>
      <c r="BB294" s="45"/>
      <c r="BC294" s="46"/>
      <c r="BD294" s="45"/>
      <c r="BE294" s="46"/>
      <c r="BF294" s="45"/>
      <c r="BG294" s="46"/>
      <c r="BH294" s="45"/>
      <c r="BI294" s="46"/>
      <c r="BJ294" s="45"/>
      <c r="BK294" s="45"/>
      <c r="BL294" s="45"/>
      <c r="BM294" s="45"/>
      <c r="BN294" s="45"/>
      <c r="BO294" s="45"/>
      <c r="BP294" s="45"/>
      <c r="BQ294" s="45"/>
      <c r="BR294" s="45"/>
      <c r="BS294" s="45"/>
      <c r="BT294" s="45"/>
      <c r="BU294" s="2"/>
    </row>
    <row r="295" spans="1:73" ht="15">
      <c r="A295" s="61" t="s">
        <v>558</v>
      </c>
      <c r="B295" s="62"/>
      <c r="C295" s="62"/>
      <c r="D295" s="63">
        <v>100</v>
      </c>
      <c r="E295" s="65"/>
      <c r="F295" s="99" t="str">
        <f>HYPERLINK("https://pbs.twimg.com/profile_images/1516900105613422592/VflZHQ1Y_normal.jpg")</f>
        <v>https://pbs.twimg.com/profile_images/1516900105613422592/VflZHQ1Y_normal.jpg</v>
      </c>
      <c r="G295" s="62"/>
      <c r="H295" s="66" t="s">
        <v>558</v>
      </c>
      <c r="I295" s="67"/>
      <c r="J295" s="67"/>
      <c r="K295" s="66" t="s">
        <v>3137</v>
      </c>
      <c r="L295" s="70">
        <v>1</v>
      </c>
      <c r="M295" s="71">
        <v>2517.315185546875</v>
      </c>
      <c r="N295" s="71">
        <v>3076.615478515625</v>
      </c>
      <c r="O295" s="72"/>
      <c r="P295" s="73"/>
      <c r="Q295" s="73"/>
      <c r="R295" s="85"/>
      <c r="S295" s="45">
        <v>1</v>
      </c>
      <c r="T295" s="45">
        <v>0</v>
      </c>
      <c r="U295" s="46">
        <v>0</v>
      </c>
      <c r="V295" s="46">
        <v>0.023026</v>
      </c>
      <c r="W295" s="46">
        <v>0</v>
      </c>
      <c r="X295" s="46">
        <v>0.002673</v>
      </c>
      <c r="Y295" s="46">
        <v>0</v>
      </c>
      <c r="Z295" s="46">
        <v>0</v>
      </c>
      <c r="AA295" s="68">
        <v>295</v>
      </c>
      <c r="AB295" s="68"/>
      <c r="AC295" s="69"/>
      <c r="AD295" s="75" t="s">
        <v>2128</v>
      </c>
      <c r="AE295" s="80" t="s">
        <v>1749</v>
      </c>
      <c r="AF295" s="75">
        <v>11231</v>
      </c>
      <c r="AG295" s="75">
        <v>728737</v>
      </c>
      <c r="AH295" s="75">
        <v>66598</v>
      </c>
      <c r="AI295" s="75">
        <v>268672</v>
      </c>
      <c r="AJ295" s="75"/>
      <c r="AK295" s="75" t="s">
        <v>2653</v>
      </c>
      <c r="AL295" s="75" t="s">
        <v>2831</v>
      </c>
      <c r="AM295" s="82" t="str">
        <f>HYPERLINK("https://t.co/RCgkorULxy")</f>
        <v>https://t.co/RCgkorULxy</v>
      </c>
      <c r="AN295" s="75"/>
      <c r="AO295" s="77">
        <v>39823.45940972222</v>
      </c>
      <c r="AP295" s="82" t="str">
        <f>HYPERLINK("https://pbs.twimg.com/profile_banners/18831926/1634610256")</f>
        <v>https://pbs.twimg.com/profile_banners/18831926/1634610256</v>
      </c>
      <c r="AQ295" s="75" t="b">
        <v>0</v>
      </c>
      <c r="AR295" s="75" t="b">
        <v>0</v>
      </c>
      <c r="AS295" s="75" t="b">
        <v>1</v>
      </c>
      <c r="AT295" s="75"/>
      <c r="AU295" s="75">
        <v>8592</v>
      </c>
      <c r="AV295" s="82" t="str">
        <f>HYPERLINK("https://abs.twimg.com/images/themes/theme19/bg.gif")</f>
        <v>https://abs.twimg.com/images/themes/theme19/bg.gif</v>
      </c>
      <c r="AW295" s="75" t="b">
        <v>1</v>
      </c>
      <c r="AX295" s="75" t="s">
        <v>2845</v>
      </c>
      <c r="AY295" s="82" t="str">
        <f>HYPERLINK("https://twitter.com/drericding")</f>
        <v>https://twitter.com/drericding</v>
      </c>
      <c r="AZ295" s="75" t="s">
        <v>65</v>
      </c>
      <c r="BA295" s="75" t="str">
        <f>REPLACE(INDEX(GroupVertices[Group],MATCH(Vertices[[#This Row],[Vertex]],GroupVertices[Vertex],0)),1,1,"")</f>
        <v>4</v>
      </c>
      <c r="BB295" s="45"/>
      <c r="BC295" s="46"/>
      <c r="BD295" s="45"/>
      <c r="BE295" s="46"/>
      <c r="BF295" s="45"/>
      <c r="BG295" s="46"/>
      <c r="BH295" s="45"/>
      <c r="BI295" s="46"/>
      <c r="BJ295" s="45"/>
      <c r="BK295" s="45"/>
      <c r="BL295" s="45"/>
      <c r="BM295" s="45"/>
      <c r="BN295" s="45"/>
      <c r="BO295" s="45"/>
      <c r="BP295" s="45"/>
      <c r="BQ295" s="45"/>
      <c r="BR295" s="45"/>
      <c r="BS295" s="45"/>
      <c r="BT295" s="45"/>
      <c r="BU295" s="2"/>
    </row>
    <row r="296" spans="1:73" ht="15">
      <c r="A296" s="61" t="s">
        <v>559</v>
      </c>
      <c r="B296" s="62"/>
      <c r="C296" s="62"/>
      <c r="D296" s="63">
        <v>100</v>
      </c>
      <c r="E296" s="65"/>
      <c r="F296" s="99" t="str">
        <f>HYPERLINK("https://pbs.twimg.com/profile_images/1346051709643186176/a4XPfLCj_normal.jpg")</f>
        <v>https://pbs.twimg.com/profile_images/1346051709643186176/a4XPfLCj_normal.jpg</v>
      </c>
      <c r="G296" s="62"/>
      <c r="H296" s="66" t="s">
        <v>559</v>
      </c>
      <c r="I296" s="67"/>
      <c r="J296" s="67"/>
      <c r="K296" s="66" t="s">
        <v>3138</v>
      </c>
      <c r="L296" s="70">
        <v>1</v>
      </c>
      <c r="M296" s="71">
        <v>2170.5146484375</v>
      </c>
      <c r="N296" s="71">
        <v>1817.9571533203125</v>
      </c>
      <c r="O296" s="72"/>
      <c r="P296" s="73"/>
      <c r="Q296" s="73"/>
      <c r="R296" s="85"/>
      <c r="S296" s="45">
        <v>1</v>
      </c>
      <c r="T296" s="45">
        <v>0</v>
      </c>
      <c r="U296" s="46">
        <v>0</v>
      </c>
      <c r="V296" s="46">
        <v>0.023026</v>
      </c>
      <c r="W296" s="46">
        <v>0</v>
      </c>
      <c r="X296" s="46">
        <v>0.002673</v>
      </c>
      <c r="Y296" s="46">
        <v>0</v>
      </c>
      <c r="Z296" s="46">
        <v>0</v>
      </c>
      <c r="AA296" s="68">
        <v>296</v>
      </c>
      <c r="AB296" s="68"/>
      <c r="AC296" s="69"/>
      <c r="AD296" s="75" t="s">
        <v>2129</v>
      </c>
      <c r="AE296" s="80" t="s">
        <v>1750</v>
      </c>
      <c r="AF296" s="75">
        <v>47</v>
      </c>
      <c r="AG296" s="75">
        <v>953406</v>
      </c>
      <c r="AH296" s="75">
        <v>402014</v>
      </c>
      <c r="AI296" s="75">
        <v>107</v>
      </c>
      <c r="AJ296" s="75"/>
      <c r="AK296" s="75" t="s">
        <v>2654</v>
      </c>
      <c r="AL296" s="75" t="s">
        <v>2832</v>
      </c>
      <c r="AM296" s="82" t="str">
        <f>HYPERLINK("https://t.co/lIgExDvGpU")</f>
        <v>https://t.co/lIgExDvGpU</v>
      </c>
      <c r="AN296" s="75"/>
      <c r="AO296" s="77">
        <v>39756.76574074074</v>
      </c>
      <c r="AP296" s="82" t="str">
        <f>HYPERLINK("https://pbs.twimg.com/profile_banners/17163446/1635876538")</f>
        <v>https://pbs.twimg.com/profile_banners/17163446/1635876538</v>
      </c>
      <c r="AQ296" s="75" t="b">
        <v>0</v>
      </c>
      <c r="AR296" s="75" t="b">
        <v>0</v>
      </c>
      <c r="AS296" s="75" t="b">
        <v>0</v>
      </c>
      <c r="AT296" s="75"/>
      <c r="AU296" s="75">
        <v>2098</v>
      </c>
      <c r="AV296" s="82" t="str">
        <f>HYPERLINK("https://abs.twimg.com/images/themes/theme14/bg.gif")</f>
        <v>https://abs.twimg.com/images/themes/theme14/bg.gif</v>
      </c>
      <c r="AW296" s="75" t="b">
        <v>1</v>
      </c>
      <c r="AX296" s="75" t="s">
        <v>2845</v>
      </c>
      <c r="AY296" s="82" t="str">
        <f>HYPERLINK("https://twitter.com/sicnoticias")</f>
        <v>https://twitter.com/sicnoticias</v>
      </c>
      <c r="AZ296" s="75" t="s">
        <v>65</v>
      </c>
      <c r="BA296" s="75" t="str">
        <f>REPLACE(INDEX(GroupVertices[Group],MATCH(Vertices[[#This Row],[Vertex]],GroupVertices[Vertex],0)),1,1,"")</f>
        <v>4</v>
      </c>
      <c r="BB296" s="45"/>
      <c r="BC296" s="46"/>
      <c r="BD296" s="45"/>
      <c r="BE296" s="46"/>
      <c r="BF296" s="45"/>
      <c r="BG296" s="46"/>
      <c r="BH296" s="45"/>
      <c r="BI296" s="46"/>
      <c r="BJ296" s="45"/>
      <c r="BK296" s="45"/>
      <c r="BL296" s="45"/>
      <c r="BM296" s="45"/>
      <c r="BN296" s="45"/>
      <c r="BO296" s="45"/>
      <c r="BP296" s="45"/>
      <c r="BQ296" s="45"/>
      <c r="BR296" s="45"/>
      <c r="BS296" s="45"/>
      <c r="BT296" s="45"/>
      <c r="BU296" s="2"/>
    </row>
    <row r="297" spans="1:73" ht="15">
      <c r="A297" s="61" t="s">
        <v>560</v>
      </c>
      <c r="B297" s="62"/>
      <c r="C297" s="62"/>
      <c r="D297" s="63">
        <v>100</v>
      </c>
      <c r="E297" s="65"/>
      <c r="F297" s="99" t="str">
        <f>HYPERLINK("https://pbs.twimg.com/profile_images/1389938065049858052/M4Sl_MMx_normal.jpg")</f>
        <v>https://pbs.twimg.com/profile_images/1389938065049858052/M4Sl_MMx_normal.jpg</v>
      </c>
      <c r="G297" s="62"/>
      <c r="H297" s="66" t="s">
        <v>560</v>
      </c>
      <c r="I297" s="67"/>
      <c r="J297" s="67"/>
      <c r="K297" s="66" t="s">
        <v>3139</v>
      </c>
      <c r="L297" s="70">
        <v>1</v>
      </c>
      <c r="M297" s="71">
        <v>2183.858154296875</v>
      </c>
      <c r="N297" s="71">
        <v>2417.551513671875</v>
      </c>
      <c r="O297" s="72"/>
      <c r="P297" s="73"/>
      <c r="Q297" s="73"/>
      <c r="R297" s="85"/>
      <c r="S297" s="45">
        <v>1</v>
      </c>
      <c r="T297" s="45">
        <v>0</v>
      </c>
      <c r="U297" s="46">
        <v>0</v>
      </c>
      <c r="V297" s="46">
        <v>0.023026</v>
      </c>
      <c r="W297" s="46">
        <v>0</v>
      </c>
      <c r="X297" s="46">
        <v>0.002673</v>
      </c>
      <c r="Y297" s="46">
        <v>0</v>
      </c>
      <c r="Z297" s="46">
        <v>0</v>
      </c>
      <c r="AA297" s="68">
        <v>297</v>
      </c>
      <c r="AB297" s="68"/>
      <c r="AC297" s="69"/>
      <c r="AD297" s="75" t="s">
        <v>2130</v>
      </c>
      <c r="AE297" s="80" t="s">
        <v>1751</v>
      </c>
      <c r="AF297" s="75">
        <v>148</v>
      </c>
      <c r="AG297" s="75">
        <v>4552184</v>
      </c>
      <c r="AH297" s="75">
        <v>557114</v>
      </c>
      <c r="AI297" s="75">
        <v>1245</v>
      </c>
      <c r="AJ297" s="75"/>
      <c r="AK297" s="75" t="s">
        <v>2655</v>
      </c>
      <c r="AL297" s="75" t="s">
        <v>2826</v>
      </c>
      <c r="AM297" s="82" t="str">
        <f>HYPERLINK("http://t.co/uPgBR9CC3g")</f>
        <v>http://t.co/uPgBR9CC3g</v>
      </c>
      <c r="AN297" s="75"/>
      <c r="AO297" s="77">
        <v>39568.1</v>
      </c>
      <c r="AP297" s="82" t="str">
        <f>HYPERLINK("https://pbs.twimg.com/profile_banners/14594698/1619625624")</f>
        <v>https://pbs.twimg.com/profile_banners/14594698/1619625624</v>
      </c>
      <c r="AQ297" s="75" t="b">
        <v>0</v>
      </c>
      <c r="AR297" s="75" t="b">
        <v>0</v>
      </c>
      <c r="AS297" s="75" t="b">
        <v>1</v>
      </c>
      <c r="AT297" s="75"/>
      <c r="AU297" s="75">
        <v>7055</v>
      </c>
      <c r="AV297" s="82" t="str">
        <f>HYPERLINK("https://abs.twimg.com/images/themes/theme1/bg.png")</f>
        <v>https://abs.twimg.com/images/themes/theme1/bg.png</v>
      </c>
      <c r="AW297" s="75" t="b">
        <v>1</v>
      </c>
      <c r="AX297" s="75" t="s">
        <v>2845</v>
      </c>
      <c r="AY297" s="82" t="str">
        <f>HYPERLINK("https://twitter.com/uolnoticias")</f>
        <v>https://twitter.com/uolnoticias</v>
      </c>
      <c r="AZ297" s="75" t="s">
        <v>65</v>
      </c>
      <c r="BA297" s="75" t="str">
        <f>REPLACE(INDEX(GroupVertices[Group],MATCH(Vertices[[#This Row],[Vertex]],GroupVertices[Vertex],0)),1,1,"")</f>
        <v>4</v>
      </c>
      <c r="BB297" s="45"/>
      <c r="BC297" s="46"/>
      <c r="BD297" s="45"/>
      <c r="BE297" s="46"/>
      <c r="BF297" s="45"/>
      <c r="BG297" s="46"/>
      <c r="BH297" s="45"/>
      <c r="BI297" s="46"/>
      <c r="BJ297" s="45"/>
      <c r="BK297" s="45"/>
      <c r="BL297" s="45"/>
      <c r="BM297" s="45"/>
      <c r="BN297" s="45"/>
      <c r="BO297" s="45"/>
      <c r="BP297" s="45"/>
      <c r="BQ297" s="45"/>
      <c r="BR297" s="45"/>
      <c r="BS297" s="45"/>
      <c r="BT297" s="45"/>
      <c r="BU297" s="2"/>
    </row>
    <row r="298" spans="1:73" ht="15">
      <c r="A298" s="61" t="s">
        <v>561</v>
      </c>
      <c r="B298" s="62"/>
      <c r="C298" s="62"/>
      <c r="D298" s="63">
        <v>100</v>
      </c>
      <c r="E298" s="65"/>
      <c r="F298" s="99" t="str">
        <f>HYPERLINK("https://pbs.twimg.com/profile_images/1376133756965285893/BPmzo2b7_normal.jpg")</f>
        <v>https://pbs.twimg.com/profile_images/1376133756965285893/BPmzo2b7_normal.jpg</v>
      </c>
      <c r="G298" s="62"/>
      <c r="H298" s="66" t="s">
        <v>561</v>
      </c>
      <c r="I298" s="67"/>
      <c r="J298" s="67"/>
      <c r="K298" s="66" t="s">
        <v>3140</v>
      </c>
      <c r="L298" s="70">
        <v>1</v>
      </c>
      <c r="M298" s="71">
        <v>2679.576416015625</v>
      </c>
      <c r="N298" s="71">
        <v>742.7098999023438</v>
      </c>
      <c r="O298" s="72"/>
      <c r="P298" s="73"/>
      <c r="Q298" s="73"/>
      <c r="R298" s="85"/>
      <c r="S298" s="45">
        <v>1</v>
      </c>
      <c r="T298" s="45">
        <v>0</v>
      </c>
      <c r="U298" s="46">
        <v>0</v>
      </c>
      <c r="V298" s="46">
        <v>0.023026</v>
      </c>
      <c r="W298" s="46">
        <v>0</v>
      </c>
      <c r="X298" s="46">
        <v>0.002673</v>
      </c>
      <c r="Y298" s="46">
        <v>0</v>
      </c>
      <c r="Z298" s="46">
        <v>0</v>
      </c>
      <c r="AA298" s="68">
        <v>298</v>
      </c>
      <c r="AB298" s="68"/>
      <c r="AC298" s="69"/>
      <c r="AD298" s="75" t="s">
        <v>2131</v>
      </c>
      <c r="AE298" s="80" t="s">
        <v>1752</v>
      </c>
      <c r="AF298" s="75">
        <v>2151</v>
      </c>
      <c r="AG298" s="75">
        <v>369325</v>
      </c>
      <c r="AH298" s="75">
        <v>25398</v>
      </c>
      <c r="AI298" s="75">
        <v>53701</v>
      </c>
      <c r="AJ298" s="75"/>
      <c r="AK298" s="75" t="s">
        <v>2656</v>
      </c>
      <c r="AL298" s="75" t="s">
        <v>2828</v>
      </c>
      <c r="AM298" s="82" t="str">
        <f>HYPERLINK("https://t.co/yJgi5ZvxUW")</f>
        <v>https://t.co/yJgi5ZvxUW</v>
      </c>
      <c r="AN298" s="75"/>
      <c r="AO298" s="77">
        <v>42693.41653935185</v>
      </c>
      <c r="AP298" s="82" t="str">
        <f>HYPERLINK("https://pbs.twimg.com/profile_banners/799915069186469888/1616930802")</f>
        <v>https://pbs.twimg.com/profile_banners/799915069186469888/1616930802</v>
      </c>
      <c r="AQ298" s="75" t="b">
        <v>0</v>
      </c>
      <c r="AR298" s="75" t="b">
        <v>0</v>
      </c>
      <c r="AS298" s="75" t="b">
        <v>0</v>
      </c>
      <c r="AT298" s="75"/>
      <c r="AU298" s="75">
        <v>716</v>
      </c>
      <c r="AV298" s="82" t="str">
        <f>HYPERLINK("https://abs.twimg.com/images/themes/theme1/bg.png")</f>
        <v>https://abs.twimg.com/images/themes/theme1/bg.png</v>
      </c>
      <c r="AW298" s="75" t="b">
        <v>0</v>
      </c>
      <c r="AX298" s="75" t="s">
        <v>2845</v>
      </c>
      <c r="AY298" s="82" t="str">
        <f>HYPERLINK("https://twitter.com/hoje_no")</f>
        <v>https://twitter.com/hoje_no</v>
      </c>
      <c r="AZ298" s="75" t="s">
        <v>65</v>
      </c>
      <c r="BA298" s="75" t="str">
        <f>REPLACE(INDEX(GroupVertices[Group],MATCH(Vertices[[#This Row],[Vertex]],GroupVertices[Vertex],0)),1,1,"")</f>
        <v>4</v>
      </c>
      <c r="BB298" s="45"/>
      <c r="BC298" s="46"/>
      <c r="BD298" s="45"/>
      <c r="BE298" s="46"/>
      <c r="BF298" s="45"/>
      <c r="BG298" s="46"/>
      <c r="BH298" s="45"/>
      <c r="BI298" s="46"/>
      <c r="BJ298" s="45"/>
      <c r="BK298" s="45"/>
      <c r="BL298" s="45"/>
      <c r="BM298" s="45"/>
      <c r="BN298" s="45"/>
      <c r="BO298" s="45"/>
      <c r="BP298" s="45"/>
      <c r="BQ298" s="45"/>
      <c r="BR298" s="45"/>
      <c r="BS298" s="45"/>
      <c r="BT298" s="45"/>
      <c r="BU298" s="2"/>
    </row>
    <row r="299" spans="1:73" ht="15">
      <c r="A299" s="61" t="s">
        <v>419</v>
      </c>
      <c r="B299" s="62"/>
      <c r="C299" s="62"/>
      <c r="D299" s="63">
        <v>100</v>
      </c>
      <c r="E299" s="65"/>
      <c r="F299" s="99" t="str">
        <f>HYPERLINK("https://pbs.twimg.com/profile_images/1480295098273644544/Ns_7wxQQ_normal.jpg")</f>
        <v>https://pbs.twimg.com/profile_images/1480295098273644544/Ns_7wxQQ_normal.jpg</v>
      </c>
      <c r="G299" s="62"/>
      <c r="H299" s="66" t="s">
        <v>419</v>
      </c>
      <c r="I299" s="67"/>
      <c r="J299" s="67"/>
      <c r="K299" s="66" t="s">
        <v>3141</v>
      </c>
      <c r="L299" s="70">
        <v>1</v>
      </c>
      <c r="M299" s="71">
        <v>384.1079406738281</v>
      </c>
      <c r="N299" s="71">
        <v>2403.605712890625</v>
      </c>
      <c r="O299" s="72"/>
      <c r="P299" s="73"/>
      <c r="Q299" s="73"/>
      <c r="R299" s="85"/>
      <c r="S299" s="45">
        <v>1</v>
      </c>
      <c r="T299" s="45">
        <v>1</v>
      </c>
      <c r="U299" s="46">
        <v>0</v>
      </c>
      <c r="V299" s="46">
        <v>0</v>
      </c>
      <c r="W299" s="46">
        <v>0</v>
      </c>
      <c r="X299" s="46">
        <v>0.003049</v>
      </c>
      <c r="Y299" s="46">
        <v>0</v>
      </c>
      <c r="Z299" s="46">
        <v>0</v>
      </c>
      <c r="AA299" s="68">
        <v>299</v>
      </c>
      <c r="AB299" s="68"/>
      <c r="AC299" s="69"/>
      <c r="AD299" s="75" t="s">
        <v>419</v>
      </c>
      <c r="AE299" s="80" t="s">
        <v>2381</v>
      </c>
      <c r="AF299" s="75">
        <v>511</v>
      </c>
      <c r="AG299" s="75">
        <v>100</v>
      </c>
      <c r="AH299" s="75">
        <v>47661</v>
      </c>
      <c r="AI299" s="75">
        <v>78</v>
      </c>
      <c r="AJ299" s="75"/>
      <c r="AK299" s="75" t="s">
        <v>2657</v>
      </c>
      <c r="AL299" s="75" t="s">
        <v>2833</v>
      </c>
      <c r="AM299" s="82" t="str">
        <f>HYPERLINK("https://t.co/OldVa0H51g")</f>
        <v>https://t.co/OldVa0H51g</v>
      </c>
      <c r="AN299" s="75"/>
      <c r="AO299" s="77">
        <v>42329.309270833335</v>
      </c>
      <c r="AP299" s="82" t="str">
        <f>HYPERLINK("https://pbs.twimg.com/profile_banners/4309574834/1641763155")</f>
        <v>https://pbs.twimg.com/profile_banners/4309574834/1641763155</v>
      </c>
      <c r="AQ299" s="75" t="b">
        <v>1</v>
      </c>
      <c r="AR299" s="75" t="b">
        <v>0</v>
      </c>
      <c r="AS299" s="75" t="b">
        <v>0</v>
      </c>
      <c r="AT299" s="75"/>
      <c r="AU299" s="75">
        <v>8</v>
      </c>
      <c r="AV299" s="82" t="str">
        <f>HYPERLINK("https://abs.twimg.com/images/themes/theme1/bg.png")</f>
        <v>https://abs.twimg.com/images/themes/theme1/bg.png</v>
      </c>
      <c r="AW299" s="75" t="b">
        <v>0</v>
      </c>
      <c r="AX299" s="75" t="s">
        <v>2845</v>
      </c>
      <c r="AY299" s="82" t="str">
        <f>HYPERLINK("https://twitter.com/_b0lil0d_")</f>
        <v>https://twitter.com/_b0lil0d_</v>
      </c>
      <c r="AZ299" s="75" t="s">
        <v>66</v>
      </c>
      <c r="BA299" s="75" t="str">
        <f>REPLACE(INDEX(GroupVertices[Group],MATCH(Vertices[[#This Row],[Vertex]],GroupVertices[Vertex],0)),1,1,"")</f>
        <v>2</v>
      </c>
      <c r="BB299" s="45">
        <v>0</v>
      </c>
      <c r="BC299" s="46">
        <v>0</v>
      </c>
      <c r="BD299" s="45">
        <v>0</v>
      </c>
      <c r="BE299" s="46">
        <v>0</v>
      </c>
      <c r="BF299" s="45">
        <v>0</v>
      </c>
      <c r="BG299" s="46">
        <v>0</v>
      </c>
      <c r="BH299" s="45">
        <v>36</v>
      </c>
      <c r="BI299" s="46">
        <v>100</v>
      </c>
      <c r="BJ299" s="45">
        <v>36</v>
      </c>
      <c r="BK299" s="45" t="s">
        <v>3960</v>
      </c>
      <c r="BL299" s="45" t="s">
        <v>3960</v>
      </c>
      <c r="BM299" s="45" t="s">
        <v>789</v>
      </c>
      <c r="BN299" s="45" t="s">
        <v>789</v>
      </c>
      <c r="BO299" s="45" t="s">
        <v>874</v>
      </c>
      <c r="BP299" s="45" t="s">
        <v>874</v>
      </c>
      <c r="BQ299" s="110" t="s">
        <v>4531</v>
      </c>
      <c r="BR299" s="110" t="s">
        <v>4531</v>
      </c>
      <c r="BS299" s="110" t="s">
        <v>4646</v>
      </c>
      <c r="BT299" s="110" t="s">
        <v>4646</v>
      </c>
      <c r="BU299" s="2"/>
    </row>
    <row r="300" spans="1:73" ht="15">
      <c r="A300" s="61" t="s">
        <v>420</v>
      </c>
      <c r="B300" s="62"/>
      <c r="C300" s="62"/>
      <c r="D300" s="63">
        <v>109.0909090909091</v>
      </c>
      <c r="E300" s="65"/>
      <c r="F300" s="99" t="str">
        <f>HYPERLINK("https://pbs.twimg.com/profile_images/1548367315606970370/Wm0GhuZw_normal.jpg")</f>
        <v>https://pbs.twimg.com/profile_images/1548367315606970370/Wm0GhuZw_normal.jpg</v>
      </c>
      <c r="G300" s="62"/>
      <c r="H300" s="66" t="s">
        <v>420</v>
      </c>
      <c r="I300" s="67"/>
      <c r="J300" s="67"/>
      <c r="K300" s="66" t="s">
        <v>3142</v>
      </c>
      <c r="L300" s="70">
        <v>14.335615190445607</v>
      </c>
      <c r="M300" s="71">
        <v>7310.24462890625</v>
      </c>
      <c r="N300" s="71">
        <v>6425.6396484375</v>
      </c>
      <c r="O300" s="72"/>
      <c r="P300" s="73"/>
      <c r="Q300" s="73"/>
      <c r="R300" s="85"/>
      <c r="S300" s="45">
        <v>0</v>
      </c>
      <c r="T300" s="45">
        <v>3</v>
      </c>
      <c r="U300" s="46">
        <v>6</v>
      </c>
      <c r="V300" s="46">
        <v>0.009174</v>
      </c>
      <c r="W300" s="46">
        <v>0</v>
      </c>
      <c r="X300" s="46">
        <v>0.003844</v>
      </c>
      <c r="Y300" s="46">
        <v>0</v>
      </c>
      <c r="Z300" s="46">
        <v>0</v>
      </c>
      <c r="AA300" s="68">
        <v>300</v>
      </c>
      <c r="AB300" s="68"/>
      <c r="AC300" s="69"/>
      <c r="AD300" s="75" t="s">
        <v>2132</v>
      </c>
      <c r="AE300" s="80" t="s">
        <v>2382</v>
      </c>
      <c r="AF300" s="75">
        <v>119</v>
      </c>
      <c r="AG300" s="75">
        <v>84</v>
      </c>
      <c r="AH300" s="75">
        <v>5161</v>
      </c>
      <c r="AI300" s="75">
        <v>4387</v>
      </c>
      <c r="AJ300" s="75"/>
      <c r="AK300" s="75"/>
      <c r="AL300" s="75"/>
      <c r="AM300" s="75"/>
      <c r="AN300" s="75"/>
      <c r="AO300" s="77">
        <v>44758.75090277778</v>
      </c>
      <c r="AP300" s="82" t="str">
        <f>HYPERLINK("https://pbs.twimg.com/profile_banners/1548367003546554368/1657995080")</f>
        <v>https://pbs.twimg.com/profile_banners/1548367003546554368/1657995080</v>
      </c>
      <c r="AQ300" s="75" t="b">
        <v>1</v>
      </c>
      <c r="AR300" s="75" t="b">
        <v>0</v>
      </c>
      <c r="AS300" s="75" t="b">
        <v>0</v>
      </c>
      <c r="AT300" s="75"/>
      <c r="AU300" s="75">
        <v>0</v>
      </c>
      <c r="AV300" s="75"/>
      <c r="AW300" s="75" t="b">
        <v>0</v>
      </c>
      <c r="AX300" s="75" t="s">
        <v>2845</v>
      </c>
      <c r="AY300" s="82" t="str">
        <f>HYPERLINK("https://twitter.com/krollspellt")</f>
        <v>https://twitter.com/krollspellt</v>
      </c>
      <c r="AZ300" s="75" t="s">
        <v>66</v>
      </c>
      <c r="BA300" s="75" t="str">
        <f>REPLACE(INDEX(GroupVertices[Group],MATCH(Vertices[[#This Row],[Vertex]],GroupVertices[Vertex],0)),1,1,"")</f>
        <v>22</v>
      </c>
      <c r="BB300" s="45">
        <v>0</v>
      </c>
      <c r="BC300" s="46">
        <v>0</v>
      </c>
      <c r="BD300" s="45">
        <v>0</v>
      </c>
      <c r="BE300" s="46">
        <v>0</v>
      </c>
      <c r="BF300" s="45">
        <v>0</v>
      </c>
      <c r="BG300" s="46">
        <v>0</v>
      </c>
      <c r="BH300" s="45">
        <v>66</v>
      </c>
      <c r="BI300" s="46">
        <v>100</v>
      </c>
      <c r="BJ300" s="45">
        <v>66</v>
      </c>
      <c r="BK300" s="45"/>
      <c r="BL300" s="45"/>
      <c r="BM300" s="45"/>
      <c r="BN300" s="45"/>
      <c r="BO300" s="45" t="s">
        <v>795</v>
      </c>
      <c r="BP300" s="45" t="s">
        <v>795</v>
      </c>
      <c r="BQ300" s="110" t="s">
        <v>4532</v>
      </c>
      <c r="BR300" s="110" t="s">
        <v>4561</v>
      </c>
      <c r="BS300" s="110" t="s">
        <v>4647</v>
      </c>
      <c r="BT300" s="110" t="s">
        <v>4647</v>
      </c>
      <c r="BU300" s="2"/>
    </row>
    <row r="301" spans="1:73" ht="15">
      <c r="A301" s="61" t="s">
        <v>562</v>
      </c>
      <c r="B301" s="62"/>
      <c r="C301" s="62"/>
      <c r="D301" s="63">
        <v>100</v>
      </c>
      <c r="E301" s="65"/>
      <c r="F301" s="99" t="str">
        <f>HYPERLINK("https://pbs.twimg.com/profile_images/1510703210255859714/RKWIOtrU_normal.jpg")</f>
        <v>https://pbs.twimg.com/profile_images/1510703210255859714/RKWIOtrU_normal.jpg</v>
      </c>
      <c r="G301" s="62"/>
      <c r="H301" s="66" t="s">
        <v>562</v>
      </c>
      <c r="I301" s="67"/>
      <c r="J301" s="67"/>
      <c r="K301" s="66" t="s">
        <v>3143</v>
      </c>
      <c r="L301" s="70">
        <v>1</v>
      </c>
      <c r="M301" s="71">
        <v>7310.24462890625</v>
      </c>
      <c r="N301" s="71">
        <v>7098.64892578125</v>
      </c>
      <c r="O301" s="72"/>
      <c r="P301" s="73"/>
      <c r="Q301" s="73"/>
      <c r="R301" s="85"/>
      <c r="S301" s="45">
        <v>1</v>
      </c>
      <c r="T301" s="45">
        <v>0</v>
      </c>
      <c r="U301" s="46">
        <v>0</v>
      </c>
      <c r="V301" s="46">
        <v>0.005505</v>
      </c>
      <c r="W301" s="46">
        <v>0</v>
      </c>
      <c r="X301" s="46">
        <v>0.002784</v>
      </c>
      <c r="Y301" s="46">
        <v>0</v>
      </c>
      <c r="Z301" s="46">
        <v>0</v>
      </c>
      <c r="AA301" s="68">
        <v>301</v>
      </c>
      <c r="AB301" s="68"/>
      <c r="AC301" s="69"/>
      <c r="AD301" s="75" t="s">
        <v>2133</v>
      </c>
      <c r="AE301" s="80" t="s">
        <v>1753</v>
      </c>
      <c r="AF301" s="75">
        <v>34</v>
      </c>
      <c r="AG301" s="75">
        <v>4</v>
      </c>
      <c r="AH301" s="75">
        <v>351</v>
      </c>
      <c r="AI301" s="75">
        <v>340</v>
      </c>
      <c r="AJ301" s="75"/>
      <c r="AK301" s="75"/>
      <c r="AL301" s="75"/>
      <c r="AM301" s="75"/>
      <c r="AN301" s="75"/>
      <c r="AO301" s="77">
        <v>44654.818136574075</v>
      </c>
      <c r="AP301" s="75"/>
      <c r="AQ301" s="75" t="b">
        <v>1</v>
      </c>
      <c r="AR301" s="75" t="b">
        <v>0</v>
      </c>
      <c r="AS301" s="75" t="b">
        <v>0</v>
      </c>
      <c r="AT301" s="75"/>
      <c r="AU301" s="75">
        <v>0</v>
      </c>
      <c r="AV301" s="75"/>
      <c r="AW301" s="75" t="b">
        <v>0</v>
      </c>
      <c r="AX301" s="75" t="s">
        <v>2845</v>
      </c>
      <c r="AY301" s="82" t="str">
        <f>HYPERLINK("https://twitter.com/fredinmoldova")</f>
        <v>https://twitter.com/fredinmoldova</v>
      </c>
      <c r="AZ301" s="75" t="s">
        <v>65</v>
      </c>
      <c r="BA301" s="75" t="str">
        <f>REPLACE(INDEX(GroupVertices[Group],MATCH(Vertices[[#This Row],[Vertex]],GroupVertices[Vertex],0)),1,1,"")</f>
        <v>22</v>
      </c>
      <c r="BB301" s="45"/>
      <c r="BC301" s="46"/>
      <c r="BD301" s="45"/>
      <c r="BE301" s="46"/>
      <c r="BF301" s="45"/>
      <c r="BG301" s="46"/>
      <c r="BH301" s="45"/>
      <c r="BI301" s="46"/>
      <c r="BJ301" s="45"/>
      <c r="BK301" s="45"/>
      <c r="BL301" s="45"/>
      <c r="BM301" s="45"/>
      <c r="BN301" s="45"/>
      <c r="BO301" s="45"/>
      <c r="BP301" s="45"/>
      <c r="BQ301" s="45"/>
      <c r="BR301" s="45"/>
      <c r="BS301" s="45"/>
      <c r="BT301" s="45"/>
      <c r="BU301" s="2"/>
    </row>
    <row r="302" spans="1:73" ht="15">
      <c r="A302" s="61" t="s">
        <v>563</v>
      </c>
      <c r="B302" s="62"/>
      <c r="C302" s="62"/>
      <c r="D302" s="63">
        <v>100</v>
      </c>
      <c r="E302" s="65"/>
      <c r="F302" s="99" t="str">
        <f>HYPERLINK("https://pbs.twimg.com/profile_images/1043419873928519680/q67sT_6I_normal.jpg")</f>
        <v>https://pbs.twimg.com/profile_images/1043419873928519680/q67sT_6I_normal.jpg</v>
      </c>
      <c r="G302" s="62"/>
      <c r="H302" s="66" t="s">
        <v>563</v>
      </c>
      <c r="I302" s="67"/>
      <c r="J302" s="67"/>
      <c r="K302" s="66" t="s">
        <v>3144</v>
      </c>
      <c r="L302" s="70">
        <v>1</v>
      </c>
      <c r="M302" s="71">
        <v>7151.7236328125</v>
      </c>
      <c r="N302" s="71">
        <v>7098.64892578125</v>
      </c>
      <c r="O302" s="72"/>
      <c r="P302" s="73"/>
      <c r="Q302" s="73"/>
      <c r="R302" s="85"/>
      <c r="S302" s="45">
        <v>1</v>
      </c>
      <c r="T302" s="45">
        <v>0</v>
      </c>
      <c r="U302" s="46">
        <v>0</v>
      </c>
      <c r="V302" s="46">
        <v>0.005505</v>
      </c>
      <c r="W302" s="46">
        <v>0</v>
      </c>
      <c r="X302" s="46">
        <v>0.002784</v>
      </c>
      <c r="Y302" s="46">
        <v>0</v>
      </c>
      <c r="Z302" s="46">
        <v>0</v>
      </c>
      <c r="AA302" s="68">
        <v>302</v>
      </c>
      <c r="AB302" s="68"/>
      <c r="AC302" s="69"/>
      <c r="AD302" s="75" t="s">
        <v>2134</v>
      </c>
      <c r="AE302" s="80" t="s">
        <v>2383</v>
      </c>
      <c r="AF302" s="75">
        <v>928</v>
      </c>
      <c r="AG302" s="75">
        <v>24584</v>
      </c>
      <c r="AH302" s="75">
        <v>3122</v>
      </c>
      <c r="AI302" s="75">
        <v>3234</v>
      </c>
      <c r="AJ302" s="75"/>
      <c r="AK302" s="75" t="s">
        <v>2658</v>
      </c>
      <c r="AL302" s="75" t="s">
        <v>2702</v>
      </c>
      <c r="AM302" s="82" t="str">
        <f>HYPERLINK("https://t.co/2Huvz9Uti1")</f>
        <v>https://t.co/2Huvz9Uti1</v>
      </c>
      <c r="AN302" s="75"/>
      <c r="AO302" s="77">
        <v>41821.512141203704</v>
      </c>
      <c r="AP302" s="82" t="str">
        <f>HYPERLINK("https://pbs.twimg.com/profile_banners/2597903210/1657129193")</f>
        <v>https://pbs.twimg.com/profile_banners/2597903210/1657129193</v>
      </c>
      <c r="AQ302" s="75" t="b">
        <v>1</v>
      </c>
      <c r="AR302" s="75" t="b">
        <v>0</v>
      </c>
      <c r="AS302" s="75" t="b">
        <v>1</v>
      </c>
      <c r="AT302" s="75"/>
      <c r="AU302" s="75">
        <v>422</v>
      </c>
      <c r="AV302" s="82" t="str">
        <f>HYPERLINK("https://abs.twimg.com/images/themes/theme1/bg.png")</f>
        <v>https://abs.twimg.com/images/themes/theme1/bg.png</v>
      </c>
      <c r="AW302" s="75" t="b">
        <v>1</v>
      </c>
      <c r="AX302" s="75" t="s">
        <v>2845</v>
      </c>
      <c r="AY302" s="82" t="str">
        <f>HYPERLINK("https://twitter.com/laurenceboone")</f>
        <v>https://twitter.com/laurenceboone</v>
      </c>
      <c r="AZ302" s="75" t="s">
        <v>65</v>
      </c>
      <c r="BA302" s="75" t="str">
        <f>REPLACE(INDEX(GroupVertices[Group],MATCH(Vertices[[#This Row],[Vertex]],GroupVertices[Vertex],0)),1,1,"")</f>
        <v>22</v>
      </c>
      <c r="BB302" s="45"/>
      <c r="BC302" s="46"/>
      <c r="BD302" s="45"/>
      <c r="BE302" s="46"/>
      <c r="BF302" s="45"/>
      <c r="BG302" s="46"/>
      <c r="BH302" s="45"/>
      <c r="BI302" s="46"/>
      <c r="BJ302" s="45"/>
      <c r="BK302" s="45"/>
      <c r="BL302" s="45"/>
      <c r="BM302" s="45"/>
      <c r="BN302" s="45"/>
      <c r="BO302" s="45"/>
      <c r="BP302" s="45"/>
      <c r="BQ302" s="45"/>
      <c r="BR302" s="45"/>
      <c r="BS302" s="45"/>
      <c r="BT302" s="45"/>
      <c r="BU302" s="2"/>
    </row>
    <row r="303" spans="1:73" ht="15">
      <c r="A303" s="61" t="s">
        <v>564</v>
      </c>
      <c r="B303" s="62"/>
      <c r="C303" s="62"/>
      <c r="D303" s="63">
        <v>100</v>
      </c>
      <c r="E303" s="65"/>
      <c r="F303" s="99" t="str">
        <f>HYPERLINK("https://pbs.twimg.com/profile_images/1470712474269802501/GQx-ONGv_normal.jpg")</f>
        <v>https://pbs.twimg.com/profile_images/1470712474269802501/GQx-ONGv_normal.jpg</v>
      </c>
      <c r="G303" s="62"/>
      <c r="H303" s="66" t="s">
        <v>564</v>
      </c>
      <c r="I303" s="67"/>
      <c r="J303" s="67"/>
      <c r="K303" s="66" t="s">
        <v>3145</v>
      </c>
      <c r="L303" s="70">
        <v>1</v>
      </c>
      <c r="M303" s="71">
        <v>7151.7236328125</v>
      </c>
      <c r="N303" s="71">
        <v>6425.6396484375</v>
      </c>
      <c r="O303" s="72"/>
      <c r="P303" s="73"/>
      <c r="Q303" s="73"/>
      <c r="R303" s="85"/>
      <c r="S303" s="45">
        <v>1</v>
      </c>
      <c r="T303" s="45">
        <v>0</v>
      </c>
      <c r="U303" s="46">
        <v>0</v>
      </c>
      <c r="V303" s="46">
        <v>0.005505</v>
      </c>
      <c r="W303" s="46">
        <v>0</v>
      </c>
      <c r="X303" s="46">
        <v>0.002784</v>
      </c>
      <c r="Y303" s="46">
        <v>0</v>
      </c>
      <c r="Z303" s="46">
        <v>0</v>
      </c>
      <c r="AA303" s="68">
        <v>303</v>
      </c>
      <c r="AB303" s="68"/>
      <c r="AC303" s="69"/>
      <c r="AD303" s="75" t="s">
        <v>2135</v>
      </c>
      <c r="AE303" s="80" t="s">
        <v>1754</v>
      </c>
      <c r="AF303" s="75">
        <v>4423</v>
      </c>
      <c r="AG303" s="75">
        <v>1788862</v>
      </c>
      <c r="AH303" s="75">
        <v>168468</v>
      </c>
      <c r="AI303" s="75">
        <v>4768</v>
      </c>
      <c r="AJ303" s="75"/>
      <c r="AK303" s="75" t="s">
        <v>2659</v>
      </c>
      <c r="AL303" s="75" t="s">
        <v>2700</v>
      </c>
      <c r="AM303" s="82" t="str">
        <f>HYPERLINK("https://t.co/WovWc8EoKD")</f>
        <v>https://t.co/WovWc8EoKD</v>
      </c>
      <c r="AN303" s="75"/>
      <c r="AO303" s="77">
        <v>39927.2700462963</v>
      </c>
      <c r="AP303" s="82" t="str">
        <f>HYPERLINK("https://pbs.twimg.com/profile_banners/34867057/1661665126")</f>
        <v>https://pbs.twimg.com/profile_banners/34867057/1661665126</v>
      </c>
      <c r="AQ303" s="75" t="b">
        <v>0</v>
      </c>
      <c r="AR303" s="75" t="b">
        <v>0</v>
      </c>
      <c r="AS303" s="75" t="b">
        <v>1</v>
      </c>
      <c r="AT303" s="75"/>
      <c r="AU303" s="75">
        <v>10021</v>
      </c>
      <c r="AV303" s="82" t="str">
        <f>HYPERLINK("https://abs.twimg.com/images/themes/theme1/bg.png")</f>
        <v>https://abs.twimg.com/images/themes/theme1/bg.png</v>
      </c>
      <c r="AW303" s="75" t="b">
        <v>1</v>
      </c>
      <c r="AX303" s="75" t="s">
        <v>2845</v>
      </c>
      <c r="AY303" s="82" t="str">
        <f>HYPERLINK("https://twitter.com/franceinter")</f>
        <v>https://twitter.com/franceinter</v>
      </c>
      <c r="AZ303" s="75" t="s">
        <v>65</v>
      </c>
      <c r="BA303" s="75" t="str">
        <f>REPLACE(INDEX(GroupVertices[Group],MATCH(Vertices[[#This Row],[Vertex]],GroupVertices[Vertex],0)),1,1,"")</f>
        <v>22</v>
      </c>
      <c r="BB303" s="45"/>
      <c r="BC303" s="46"/>
      <c r="BD303" s="45"/>
      <c r="BE303" s="46"/>
      <c r="BF303" s="45"/>
      <c r="BG303" s="46"/>
      <c r="BH303" s="45"/>
      <c r="BI303" s="46"/>
      <c r="BJ303" s="45"/>
      <c r="BK303" s="45"/>
      <c r="BL303" s="45"/>
      <c r="BM303" s="45"/>
      <c r="BN303" s="45"/>
      <c r="BO303" s="45"/>
      <c r="BP303" s="45"/>
      <c r="BQ303" s="45"/>
      <c r="BR303" s="45"/>
      <c r="BS303" s="45"/>
      <c r="BT303" s="45"/>
      <c r="BU303" s="2"/>
    </row>
    <row r="304" spans="1:73" ht="15">
      <c r="A304" s="61" t="s">
        <v>421</v>
      </c>
      <c r="B304" s="62"/>
      <c r="C304" s="62"/>
      <c r="D304" s="63">
        <v>103.03030303030303</v>
      </c>
      <c r="E304" s="65"/>
      <c r="F304" s="99" t="str">
        <f>HYPERLINK("https://pbs.twimg.com/profile_images/1547329555953852418/RVexXU-0_normal.jpg")</f>
        <v>https://pbs.twimg.com/profile_images/1547329555953852418/RVexXU-0_normal.jpg</v>
      </c>
      <c r="G304" s="62"/>
      <c r="H304" s="66" t="s">
        <v>421</v>
      </c>
      <c r="I304" s="67"/>
      <c r="J304" s="67"/>
      <c r="K304" s="66" t="s">
        <v>3146</v>
      </c>
      <c r="L304" s="70">
        <v>5.445205063481868</v>
      </c>
      <c r="M304" s="71">
        <v>7767.515625</v>
      </c>
      <c r="N304" s="71">
        <v>5170.4228515625</v>
      </c>
      <c r="O304" s="72"/>
      <c r="P304" s="73"/>
      <c r="Q304" s="73"/>
      <c r="R304" s="85"/>
      <c r="S304" s="45">
        <v>0</v>
      </c>
      <c r="T304" s="45">
        <v>2</v>
      </c>
      <c r="U304" s="46">
        <v>2</v>
      </c>
      <c r="V304" s="46">
        <v>0.006116</v>
      </c>
      <c r="W304" s="46">
        <v>0</v>
      </c>
      <c r="X304" s="46">
        <v>0.003446</v>
      </c>
      <c r="Y304" s="46">
        <v>0</v>
      </c>
      <c r="Z304" s="46">
        <v>0</v>
      </c>
      <c r="AA304" s="68">
        <v>304</v>
      </c>
      <c r="AB304" s="68"/>
      <c r="AC304" s="69"/>
      <c r="AD304" s="75" t="s">
        <v>2136</v>
      </c>
      <c r="AE304" s="80" t="s">
        <v>2384</v>
      </c>
      <c r="AF304" s="75">
        <v>5</v>
      </c>
      <c r="AG304" s="75">
        <v>4</v>
      </c>
      <c r="AH304" s="75">
        <v>453</v>
      </c>
      <c r="AI304" s="75">
        <v>41</v>
      </c>
      <c r="AJ304" s="75"/>
      <c r="AK304" s="75" t="s">
        <v>2660</v>
      </c>
      <c r="AL304" s="75"/>
      <c r="AM304" s="75"/>
      <c r="AN304" s="75"/>
      <c r="AO304" s="77">
        <v>44749.60053240741</v>
      </c>
      <c r="AP304" s="82" t="str">
        <f>HYPERLINK("https://pbs.twimg.com/profile_banners/1545051120426356737/1657727739")</f>
        <v>https://pbs.twimg.com/profile_banners/1545051120426356737/1657727739</v>
      </c>
      <c r="AQ304" s="75" t="b">
        <v>1</v>
      </c>
      <c r="AR304" s="75" t="b">
        <v>0</v>
      </c>
      <c r="AS304" s="75" t="b">
        <v>1</v>
      </c>
      <c r="AT304" s="75"/>
      <c r="AU304" s="75">
        <v>0</v>
      </c>
      <c r="AV304" s="75"/>
      <c r="AW304" s="75" t="b">
        <v>0</v>
      </c>
      <c r="AX304" s="75" t="s">
        <v>2845</v>
      </c>
      <c r="AY304" s="82" t="str">
        <f>HYPERLINK("https://twitter.com/godandtrump114")</f>
        <v>https://twitter.com/godandtrump114</v>
      </c>
      <c r="AZ304" s="75" t="s">
        <v>66</v>
      </c>
      <c r="BA304" s="75" t="str">
        <f>REPLACE(INDEX(GroupVertices[Group],MATCH(Vertices[[#This Row],[Vertex]],GroupVertices[Vertex],0)),1,1,"")</f>
        <v>31</v>
      </c>
      <c r="BB304" s="45">
        <v>0</v>
      </c>
      <c r="BC304" s="46">
        <v>0</v>
      </c>
      <c r="BD304" s="45">
        <v>2</v>
      </c>
      <c r="BE304" s="46">
        <v>14.285714285714286</v>
      </c>
      <c r="BF304" s="45">
        <v>0</v>
      </c>
      <c r="BG304" s="46">
        <v>0</v>
      </c>
      <c r="BH304" s="45">
        <v>12</v>
      </c>
      <c r="BI304" s="46">
        <v>85.71428571428571</v>
      </c>
      <c r="BJ304" s="45">
        <v>14</v>
      </c>
      <c r="BK304" s="45"/>
      <c r="BL304" s="45"/>
      <c r="BM304" s="45"/>
      <c r="BN304" s="45"/>
      <c r="BO304" s="45" t="s">
        <v>795</v>
      </c>
      <c r="BP304" s="45" t="s">
        <v>795</v>
      </c>
      <c r="BQ304" s="110" t="s">
        <v>4533</v>
      </c>
      <c r="BR304" s="110" t="s">
        <v>4533</v>
      </c>
      <c r="BS304" s="110" t="s">
        <v>4648</v>
      </c>
      <c r="BT304" s="110" t="s">
        <v>4648</v>
      </c>
      <c r="BU304" s="2"/>
    </row>
    <row r="305" spans="1:73" ht="15">
      <c r="A305" s="61" t="s">
        <v>565</v>
      </c>
      <c r="B305" s="62"/>
      <c r="C305" s="62"/>
      <c r="D305" s="63">
        <v>100</v>
      </c>
      <c r="E305" s="65"/>
      <c r="F305" s="99" t="str">
        <f>HYPERLINK("https://pbs.twimg.com/profile_images/1509704577217671169/okz1mvb-_normal.jpg")</f>
        <v>https://pbs.twimg.com/profile_images/1509704577217671169/okz1mvb-_normal.jpg</v>
      </c>
      <c r="G305" s="62"/>
      <c r="H305" s="66" t="s">
        <v>565</v>
      </c>
      <c r="I305" s="67"/>
      <c r="J305" s="67"/>
      <c r="K305" s="66" t="s">
        <v>3147</v>
      </c>
      <c r="L305" s="70">
        <v>1</v>
      </c>
      <c r="M305" s="71">
        <v>7767.515625</v>
      </c>
      <c r="N305" s="71">
        <v>5854.115234375</v>
      </c>
      <c r="O305" s="72"/>
      <c r="P305" s="73"/>
      <c r="Q305" s="73"/>
      <c r="R305" s="85"/>
      <c r="S305" s="45">
        <v>1</v>
      </c>
      <c r="T305" s="45">
        <v>0</v>
      </c>
      <c r="U305" s="46">
        <v>0</v>
      </c>
      <c r="V305" s="46">
        <v>0.004077</v>
      </c>
      <c r="W305" s="46">
        <v>0</v>
      </c>
      <c r="X305" s="46">
        <v>0.00285</v>
      </c>
      <c r="Y305" s="46">
        <v>0</v>
      </c>
      <c r="Z305" s="46">
        <v>0</v>
      </c>
      <c r="AA305" s="68">
        <v>305</v>
      </c>
      <c r="AB305" s="68"/>
      <c r="AC305" s="69"/>
      <c r="AD305" s="75" t="s">
        <v>2137</v>
      </c>
      <c r="AE305" s="80" t="s">
        <v>2385</v>
      </c>
      <c r="AF305" s="75">
        <v>2894</v>
      </c>
      <c r="AG305" s="75">
        <v>1621</v>
      </c>
      <c r="AH305" s="75">
        <v>80246</v>
      </c>
      <c r="AI305" s="75">
        <v>97222</v>
      </c>
      <c r="AJ305" s="75"/>
      <c r="AK305" s="75"/>
      <c r="AL305" s="75"/>
      <c r="AM305" s="75"/>
      <c r="AN305" s="75"/>
      <c r="AO305" s="77">
        <v>42194.05128472222</v>
      </c>
      <c r="AP305" s="75"/>
      <c r="AQ305" s="75" t="b">
        <v>1</v>
      </c>
      <c r="AR305" s="75" t="b">
        <v>0</v>
      </c>
      <c r="AS305" s="75" t="b">
        <v>0</v>
      </c>
      <c r="AT305" s="75"/>
      <c r="AU305" s="75">
        <v>1</v>
      </c>
      <c r="AV305" s="82" t="str">
        <f>HYPERLINK("https://abs.twimg.com/images/themes/theme1/bg.png")</f>
        <v>https://abs.twimg.com/images/themes/theme1/bg.png</v>
      </c>
      <c r="AW305" s="75" t="b">
        <v>0</v>
      </c>
      <c r="AX305" s="75" t="s">
        <v>2845</v>
      </c>
      <c r="AY305" s="82" t="str">
        <f>HYPERLINK("https://twitter.com/minniem96252794")</f>
        <v>https://twitter.com/minniem96252794</v>
      </c>
      <c r="AZ305" s="75" t="s">
        <v>65</v>
      </c>
      <c r="BA305" s="75" t="str">
        <f>REPLACE(INDEX(GroupVertices[Group],MATCH(Vertices[[#This Row],[Vertex]],GroupVertices[Vertex],0)),1,1,"")</f>
        <v>31</v>
      </c>
      <c r="BB305" s="45"/>
      <c r="BC305" s="46"/>
      <c r="BD305" s="45"/>
      <c r="BE305" s="46"/>
      <c r="BF305" s="45"/>
      <c r="BG305" s="46"/>
      <c r="BH305" s="45"/>
      <c r="BI305" s="46"/>
      <c r="BJ305" s="45"/>
      <c r="BK305" s="45"/>
      <c r="BL305" s="45"/>
      <c r="BM305" s="45"/>
      <c r="BN305" s="45"/>
      <c r="BO305" s="45"/>
      <c r="BP305" s="45"/>
      <c r="BQ305" s="45"/>
      <c r="BR305" s="45"/>
      <c r="BS305" s="45"/>
      <c r="BT305" s="45"/>
      <c r="BU305" s="2"/>
    </row>
    <row r="306" spans="1:73" ht="15">
      <c r="A306" s="61" t="s">
        <v>566</v>
      </c>
      <c r="B306" s="62"/>
      <c r="C306" s="62"/>
      <c r="D306" s="63">
        <v>100</v>
      </c>
      <c r="E306" s="65"/>
      <c r="F306" s="99" t="str">
        <f>HYPERLINK("https://pbs.twimg.com/profile_images/1547526176310165504/iulS2wV6_normal.jpg")</f>
        <v>https://pbs.twimg.com/profile_images/1547526176310165504/iulS2wV6_normal.jpg</v>
      </c>
      <c r="G306" s="62"/>
      <c r="H306" s="66" t="s">
        <v>566</v>
      </c>
      <c r="I306" s="67"/>
      <c r="J306" s="67"/>
      <c r="K306" s="66" t="s">
        <v>3148</v>
      </c>
      <c r="L306" s="70">
        <v>1</v>
      </c>
      <c r="M306" s="71">
        <v>7767.515625</v>
      </c>
      <c r="N306" s="71">
        <v>5512.26904296875</v>
      </c>
      <c r="O306" s="72"/>
      <c r="P306" s="73"/>
      <c r="Q306" s="73"/>
      <c r="R306" s="85"/>
      <c r="S306" s="45">
        <v>1</v>
      </c>
      <c r="T306" s="45">
        <v>0</v>
      </c>
      <c r="U306" s="46">
        <v>0</v>
      </c>
      <c r="V306" s="46">
        <v>0.004077</v>
      </c>
      <c r="W306" s="46">
        <v>0</v>
      </c>
      <c r="X306" s="46">
        <v>0.00285</v>
      </c>
      <c r="Y306" s="46">
        <v>0</v>
      </c>
      <c r="Z306" s="46">
        <v>0</v>
      </c>
      <c r="AA306" s="68">
        <v>306</v>
      </c>
      <c r="AB306" s="68"/>
      <c r="AC306" s="69"/>
      <c r="AD306" s="75" t="s">
        <v>2138</v>
      </c>
      <c r="AE306" s="80" t="s">
        <v>1755</v>
      </c>
      <c r="AF306" s="75">
        <v>647</v>
      </c>
      <c r="AG306" s="75">
        <v>49812</v>
      </c>
      <c r="AH306" s="75">
        <v>9466</v>
      </c>
      <c r="AI306" s="75">
        <v>10961</v>
      </c>
      <c r="AJ306" s="75"/>
      <c r="AK306" s="75"/>
      <c r="AL306" s="75"/>
      <c r="AM306" s="75"/>
      <c r="AN306" s="75"/>
      <c r="AO306" s="77">
        <v>44559.948483796295</v>
      </c>
      <c r="AP306" s="75"/>
      <c r="AQ306" s="75" t="b">
        <v>1</v>
      </c>
      <c r="AR306" s="75" t="b">
        <v>0</v>
      </c>
      <c r="AS306" s="75" t="b">
        <v>0</v>
      </c>
      <c r="AT306" s="75"/>
      <c r="AU306" s="75">
        <v>156</v>
      </c>
      <c r="AV306" s="75"/>
      <c r="AW306" s="75" t="b">
        <v>0</v>
      </c>
      <c r="AX306" s="75" t="s">
        <v>2845</v>
      </c>
      <c r="AY306" s="82" t="str">
        <f>HYPERLINK("https://twitter.com/ronin19217435")</f>
        <v>https://twitter.com/ronin19217435</v>
      </c>
      <c r="AZ306" s="75" t="s">
        <v>65</v>
      </c>
      <c r="BA306" s="75" t="str">
        <f>REPLACE(INDEX(GroupVertices[Group],MATCH(Vertices[[#This Row],[Vertex]],GroupVertices[Vertex],0)),1,1,"")</f>
        <v>31</v>
      </c>
      <c r="BB306" s="45"/>
      <c r="BC306" s="46"/>
      <c r="BD306" s="45"/>
      <c r="BE306" s="46"/>
      <c r="BF306" s="45"/>
      <c r="BG306" s="46"/>
      <c r="BH306" s="45"/>
      <c r="BI306" s="46"/>
      <c r="BJ306" s="45"/>
      <c r="BK306" s="45"/>
      <c r="BL306" s="45"/>
      <c r="BM306" s="45"/>
      <c r="BN306" s="45"/>
      <c r="BO306" s="45"/>
      <c r="BP306" s="45"/>
      <c r="BQ306" s="45"/>
      <c r="BR306" s="45"/>
      <c r="BS306" s="45"/>
      <c r="BT306" s="45"/>
      <c r="BU306" s="2"/>
    </row>
    <row r="307" spans="1:73" ht="15">
      <c r="A307" s="61" t="s">
        <v>567</v>
      </c>
      <c r="B307" s="62"/>
      <c r="C307" s="62"/>
      <c r="D307" s="63">
        <v>100</v>
      </c>
      <c r="E307" s="65"/>
      <c r="F307" s="99" t="str">
        <f>HYPERLINK("https://pbs.twimg.com/profile_images/1006082318400917505/aP1h2aCk_normal.jpg")</f>
        <v>https://pbs.twimg.com/profile_images/1006082318400917505/aP1h2aCk_normal.jpg</v>
      </c>
      <c r="G307" s="62"/>
      <c r="H307" s="66" t="s">
        <v>567</v>
      </c>
      <c r="I307" s="67"/>
      <c r="J307" s="67"/>
      <c r="K307" s="66" t="s">
        <v>3149</v>
      </c>
      <c r="L307" s="70">
        <v>1</v>
      </c>
      <c r="M307" s="71">
        <v>6828.58544921875</v>
      </c>
      <c r="N307" s="71">
        <v>7883.8271484375</v>
      </c>
      <c r="O307" s="72"/>
      <c r="P307" s="73"/>
      <c r="Q307" s="73"/>
      <c r="R307" s="85"/>
      <c r="S307" s="45">
        <v>2</v>
      </c>
      <c r="T307" s="45">
        <v>0</v>
      </c>
      <c r="U307" s="46">
        <v>0</v>
      </c>
      <c r="V307" s="46">
        <v>0.008155</v>
      </c>
      <c r="W307" s="46">
        <v>0</v>
      </c>
      <c r="X307" s="46">
        <v>0.002958</v>
      </c>
      <c r="Y307" s="46">
        <v>0.5</v>
      </c>
      <c r="Z307" s="46">
        <v>0</v>
      </c>
      <c r="AA307" s="68">
        <v>307</v>
      </c>
      <c r="AB307" s="68"/>
      <c r="AC307" s="69"/>
      <c r="AD307" s="75" t="s">
        <v>2139</v>
      </c>
      <c r="AE307" s="80" t="s">
        <v>1756</v>
      </c>
      <c r="AF307" s="75">
        <v>529</v>
      </c>
      <c r="AG307" s="75">
        <v>6537</v>
      </c>
      <c r="AH307" s="75">
        <v>23766</v>
      </c>
      <c r="AI307" s="75">
        <v>59017</v>
      </c>
      <c r="AJ307" s="75"/>
      <c r="AK307" s="75" t="s">
        <v>2661</v>
      </c>
      <c r="AL307" s="75" t="s">
        <v>2834</v>
      </c>
      <c r="AM307" s="75"/>
      <c r="AN307" s="75"/>
      <c r="AO307" s="77">
        <v>43262.328368055554</v>
      </c>
      <c r="AP307" s="82" t="str">
        <f>HYPERLINK("https://pbs.twimg.com/profile_banners/1006081814849576960/1528703852")</f>
        <v>https://pbs.twimg.com/profile_banners/1006081814849576960/1528703852</v>
      </c>
      <c r="AQ307" s="75" t="b">
        <v>0</v>
      </c>
      <c r="AR307" s="75" t="b">
        <v>0</v>
      </c>
      <c r="AS307" s="75" t="b">
        <v>0</v>
      </c>
      <c r="AT307" s="75"/>
      <c r="AU307" s="75">
        <v>71</v>
      </c>
      <c r="AV307" s="82" t="str">
        <f>HYPERLINK("https://abs.twimg.com/images/themes/theme1/bg.png")</f>
        <v>https://abs.twimg.com/images/themes/theme1/bg.png</v>
      </c>
      <c r="AW307" s="75" t="b">
        <v>0</v>
      </c>
      <c r="AX307" s="75" t="s">
        <v>2845</v>
      </c>
      <c r="AY307" s="82" t="str">
        <f>HYPERLINK("https://twitter.com/jacquesfrre2")</f>
        <v>https://twitter.com/jacquesfrre2</v>
      </c>
      <c r="AZ307" s="75" t="s">
        <v>65</v>
      </c>
      <c r="BA307" s="75" t="str">
        <f>REPLACE(INDEX(GroupVertices[Group],MATCH(Vertices[[#This Row],[Vertex]],GroupVertices[Vertex],0)),1,1,"")</f>
        <v>15</v>
      </c>
      <c r="BB307" s="45"/>
      <c r="BC307" s="46"/>
      <c r="BD307" s="45"/>
      <c r="BE307" s="46"/>
      <c r="BF307" s="45"/>
      <c r="BG307" s="46"/>
      <c r="BH307" s="45"/>
      <c r="BI307" s="46"/>
      <c r="BJ307" s="45"/>
      <c r="BK307" s="45"/>
      <c r="BL307" s="45"/>
      <c r="BM307" s="45"/>
      <c r="BN307" s="45"/>
      <c r="BO307" s="45"/>
      <c r="BP307" s="45"/>
      <c r="BQ307" s="45"/>
      <c r="BR307" s="45"/>
      <c r="BS307" s="45"/>
      <c r="BT307" s="45"/>
      <c r="BU307" s="2"/>
    </row>
    <row r="308" spans="1:73" ht="15">
      <c r="A308" s="61" t="s">
        <v>422</v>
      </c>
      <c r="B308" s="62"/>
      <c r="C308" s="62"/>
      <c r="D308" s="63">
        <v>100</v>
      </c>
      <c r="E308" s="65"/>
      <c r="F308" s="99" t="str">
        <f>HYPERLINK("https://pbs.twimg.com/profile_images/1491225511716139015/TUVUa4rD_normal.jpg")</f>
        <v>https://pbs.twimg.com/profile_images/1491225511716139015/TUVUa4rD_normal.jpg</v>
      </c>
      <c r="G308" s="62"/>
      <c r="H308" s="66" t="s">
        <v>422</v>
      </c>
      <c r="I308" s="67"/>
      <c r="J308" s="67"/>
      <c r="K308" s="66" t="s">
        <v>3150</v>
      </c>
      <c r="L308" s="70">
        <v>1</v>
      </c>
      <c r="M308" s="71">
        <v>6774.21240234375</v>
      </c>
      <c r="N308" s="71">
        <v>8314.37890625</v>
      </c>
      <c r="O308" s="72"/>
      <c r="P308" s="73"/>
      <c r="Q308" s="73"/>
      <c r="R308" s="85"/>
      <c r="S308" s="45">
        <v>0</v>
      </c>
      <c r="T308" s="45">
        <v>2</v>
      </c>
      <c r="U308" s="46">
        <v>0</v>
      </c>
      <c r="V308" s="46">
        <v>0.008155</v>
      </c>
      <c r="W308" s="46">
        <v>0</v>
      </c>
      <c r="X308" s="46">
        <v>0.002958</v>
      </c>
      <c r="Y308" s="46">
        <v>0.5</v>
      </c>
      <c r="Z308" s="46">
        <v>0</v>
      </c>
      <c r="AA308" s="68">
        <v>308</v>
      </c>
      <c r="AB308" s="68"/>
      <c r="AC308" s="69"/>
      <c r="AD308" s="75" t="s">
        <v>2140</v>
      </c>
      <c r="AE308" s="80" t="s">
        <v>2386</v>
      </c>
      <c r="AF308" s="75">
        <v>5984</v>
      </c>
      <c r="AG308" s="75">
        <v>5797</v>
      </c>
      <c r="AH308" s="75">
        <v>17768</v>
      </c>
      <c r="AI308" s="75">
        <v>25978</v>
      </c>
      <c r="AJ308" s="75"/>
      <c r="AK308" s="75" t="s">
        <v>2662</v>
      </c>
      <c r="AL308" s="75" t="s">
        <v>2835</v>
      </c>
      <c r="AM308" s="82" t="str">
        <f>HYPERLINK("https://t.co/nhhiRTP9uG")</f>
        <v>https://t.co/nhhiRTP9uG</v>
      </c>
      <c r="AN308" s="75"/>
      <c r="AO308" s="77">
        <v>44601.06872685185</v>
      </c>
      <c r="AP308" s="82" t="str">
        <f>HYPERLINK("https://pbs.twimg.com/profile_banners/1491224931354431490/1644973462")</f>
        <v>https://pbs.twimg.com/profile_banners/1491224931354431490/1644973462</v>
      </c>
      <c r="AQ308" s="75" t="b">
        <v>1</v>
      </c>
      <c r="AR308" s="75" t="b">
        <v>0</v>
      </c>
      <c r="AS308" s="75" t="b">
        <v>0</v>
      </c>
      <c r="AT308" s="75"/>
      <c r="AU308" s="75">
        <v>14</v>
      </c>
      <c r="AV308" s="75"/>
      <c r="AW308" s="75" t="b">
        <v>0</v>
      </c>
      <c r="AX308" s="75" t="s">
        <v>2845</v>
      </c>
      <c r="AY308" s="82" t="str">
        <f>HYPERLINK("https://twitter.com/m_degage")</f>
        <v>https://twitter.com/m_degage</v>
      </c>
      <c r="AZ308" s="75" t="s">
        <v>66</v>
      </c>
      <c r="BA308" s="75" t="str">
        <f>REPLACE(INDEX(GroupVertices[Group],MATCH(Vertices[[#This Row],[Vertex]],GroupVertices[Vertex],0)),1,1,"")</f>
        <v>15</v>
      </c>
      <c r="BB308" s="45">
        <v>0</v>
      </c>
      <c r="BC308" s="46">
        <v>0</v>
      </c>
      <c r="BD308" s="45">
        <v>0</v>
      </c>
      <c r="BE308" s="46">
        <v>0</v>
      </c>
      <c r="BF308" s="45">
        <v>0</v>
      </c>
      <c r="BG308" s="46">
        <v>0</v>
      </c>
      <c r="BH308" s="45">
        <v>2</v>
      </c>
      <c r="BI308" s="46">
        <v>100</v>
      </c>
      <c r="BJ308" s="45">
        <v>2</v>
      </c>
      <c r="BK308" s="45"/>
      <c r="BL308" s="45"/>
      <c r="BM308" s="45"/>
      <c r="BN308" s="45"/>
      <c r="BO308" s="45" t="s">
        <v>795</v>
      </c>
      <c r="BP308" s="45" t="s">
        <v>795</v>
      </c>
      <c r="BQ308" s="110" t="s">
        <v>4534</v>
      </c>
      <c r="BR308" s="110" t="s">
        <v>4534</v>
      </c>
      <c r="BS308" s="110" t="s">
        <v>4649</v>
      </c>
      <c r="BT308" s="110" t="s">
        <v>4649</v>
      </c>
      <c r="BU308" s="2"/>
    </row>
    <row r="309" spans="1:73" ht="15">
      <c r="A309" s="61" t="s">
        <v>423</v>
      </c>
      <c r="B309" s="62"/>
      <c r="C309" s="62"/>
      <c r="D309" s="63">
        <v>100</v>
      </c>
      <c r="E309" s="65"/>
      <c r="F309" s="99" t="str">
        <f>HYPERLINK("https://abs.twimg.com/sticky/default_profile_images/default_profile_normal.png")</f>
        <v>https://abs.twimg.com/sticky/default_profile_images/default_profile_normal.png</v>
      </c>
      <c r="G309" s="62"/>
      <c r="H309" s="66" t="s">
        <v>423</v>
      </c>
      <c r="I309" s="67"/>
      <c r="J309" s="67"/>
      <c r="K309" s="66" t="s">
        <v>3151</v>
      </c>
      <c r="L309" s="70">
        <v>1</v>
      </c>
      <c r="M309" s="71">
        <v>664.5676879882812</v>
      </c>
      <c r="N309" s="71">
        <v>2403.605712890625</v>
      </c>
      <c r="O309" s="72"/>
      <c r="P309" s="73"/>
      <c r="Q309" s="73"/>
      <c r="R309" s="85"/>
      <c r="S309" s="45">
        <v>1</v>
      </c>
      <c r="T309" s="45">
        <v>1</v>
      </c>
      <c r="U309" s="46">
        <v>0</v>
      </c>
      <c r="V309" s="46">
        <v>0</v>
      </c>
      <c r="W309" s="46">
        <v>0</v>
      </c>
      <c r="X309" s="46">
        <v>0.003049</v>
      </c>
      <c r="Y309" s="46">
        <v>0</v>
      </c>
      <c r="Z309" s="46">
        <v>0</v>
      </c>
      <c r="AA309" s="68">
        <v>309</v>
      </c>
      <c r="AB309" s="68"/>
      <c r="AC309" s="69"/>
      <c r="AD309" s="75" t="s">
        <v>2141</v>
      </c>
      <c r="AE309" s="80" t="s">
        <v>2387</v>
      </c>
      <c r="AF309" s="75">
        <v>53</v>
      </c>
      <c r="AG309" s="75">
        <v>2</v>
      </c>
      <c r="AH309" s="75">
        <v>1251</v>
      </c>
      <c r="AI309" s="75">
        <v>0</v>
      </c>
      <c r="AJ309" s="75"/>
      <c r="AK309" s="75" t="s">
        <v>2663</v>
      </c>
      <c r="AL309" s="75" t="s">
        <v>15</v>
      </c>
      <c r="AM309" s="75"/>
      <c r="AN309" s="75"/>
      <c r="AO309" s="77">
        <v>44759.55280092593</v>
      </c>
      <c r="AP309" s="75"/>
      <c r="AQ309" s="75" t="b">
        <v>1</v>
      </c>
      <c r="AR309" s="75" t="b">
        <v>1</v>
      </c>
      <c r="AS309" s="75" t="b">
        <v>0</v>
      </c>
      <c r="AT309" s="75"/>
      <c r="AU309" s="75">
        <v>0</v>
      </c>
      <c r="AV309" s="75"/>
      <c r="AW309" s="75" t="b">
        <v>0</v>
      </c>
      <c r="AX309" s="75" t="s">
        <v>2845</v>
      </c>
      <c r="AY309" s="82" t="str">
        <f>HYPERLINK("https://twitter.com/reinbow05061512")</f>
        <v>https://twitter.com/reinbow05061512</v>
      </c>
      <c r="AZ309" s="75" t="s">
        <v>66</v>
      </c>
      <c r="BA309" s="75" t="str">
        <f>REPLACE(INDEX(GroupVertices[Group],MATCH(Vertices[[#This Row],[Vertex]],GroupVertices[Vertex],0)),1,1,"")</f>
        <v>2</v>
      </c>
      <c r="BB309" s="45">
        <v>9</v>
      </c>
      <c r="BC309" s="46">
        <v>1.3931888544891642</v>
      </c>
      <c r="BD309" s="45">
        <v>0</v>
      </c>
      <c r="BE309" s="46">
        <v>0</v>
      </c>
      <c r="BF309" s="45">
        <v>0</v>
      </c>
      <c r="BG309" s="46">
        <v>0</v>
      </c>
      <c r="BH309" s="45">
        <v>637</v>
      </c>
      <c r="BI309" s="46">
        <v>98.60681114551083</v>
      </c>
      <c r="BJ309" s="45">
        <v>646</v>
      </c>
      <c r="BK309" s="45" t="s">
        <v>4401</v>
      </c>
      <c r="BL309" s="45" t="s">
        <v>4401</v>
      </c>
      <c r="BM309" s="45" t="s">
        <v>4405</v>
      </c>
      <c r="BN309" s="45" t="s">
        <v>4407</v>
      </c>
      <c r="BO309" s="45" t="s">
        <v>4421</v>
      </c>
      <c r="BP309" s="45" t="s">
        <v>4440</v>
      </c>
      <c r="BQ309" s="110" t="s">
        <v>4535</v>
      </c>
      <c r="BR309" s="110" t="s">
        <v>4562</v>
      </c>
      <c r="BS309" s="110" t="s">
        <v>4241</v>
      </c>
      <c r="BT309" s="110" t="s">
        <v>4664</v>
      </c>
      <c r="BU309" s="2"/>
    </row>
    <row r="310" spans="1:73" ht="15">
      <c r="A310" s="61" t="s">
        <v>424</v>
      </c>
      <c r="B310" s="62"/>
      <c r="C310" s="62"/>
      <c r="D310" s="63">
        <v>100</v>
      </c>
      <c r="E310" s="65"/>
      <c r="F310" s="99" t="str">
        <f>HYPERLINK("https://pbs.twimg.com/profile_images/1569281397663088644/iik1SL15_normal.jpg")</f>
        <v>https://pbs.twimg.com/profile_images/1569281397663088644/iik1SL15_normal.jpg</v>
      </c>
      <c r="G310" s="62"/>
      <c r="H310" s="66" t="s">
        <v>424</v>
      </c>
      <c r="I310" s="67"/>
      <c r="J310" s="67"/>
      <c r="K310" s="66" t="s">
        <v>3152</v>
      </c>
      <c r="L310" s="70">
        <v>1</v>
      </c>
      <c r="M310" s="71">
        <v>9499.0498046875</v>
      </c>
      <c r="N310" s="71">
        <v>9037.5576171875</v>
      </c>
      <c r="O310" s="72"/>
      <c r="P310" s="73"/>
      <c r="Q310" s="73"/>
      <c r="R310" s="85"/>
      <c r="S310" s="45">
        <v>0</v>
      </c>
      <c r="T310" s="45">
        <v>1</v>
      </c>
      <c r="U310" s="46">
        <v>0</v>
      </c>
      <c r="V310" s="46">
        <v>0.005505</v>
      </c>
      <c r="W310" s="46">
        <v>0</v>
      </c>
      <c r="X310" s="46">
        <v>0.00274</v>
      </c>
      <c r="Y310" s="46">
        <v>0</v>
      </c>
      <c r="Z310" s="46">
        <v>0</v>
      </c>
      <c r="AA310" s="68">
        <v>310</v>
      </c>
      <c r="AB310" s="68"/>
      <c r="AC310" s="69"/>
      <c r="AD310" s="75" t="s">
        <v>2142</v>
      </c>
      <c r="AE310" s="80" t="s">
        <v>2388</v>
      </c>
      <c r="AF310" s="75">
        <v>1141</v>
      </c>
      <c r="AG310" s="75">
        <v>1184</v>
      </c>
      <c r="AH310" s="75">
        <v>12822</v>
      </c>
      <c r="AI310" s="75">
        <v>11888</v>
      </c>
      <c r="AJ310" s="75"/>
      <c r="AK310" s="75" t="s">
        <v>2664</v>
      </c>
      <c r="AL310" s="75" t="s">
        <v>2836</v>
      </c>
      <c r="AM310" s="75"/>
      <c r="AN310" s="75"/>
      <c r="AO310" s="77">
        <v>44659.72075231482</v>
      </c>
      <c r="AP310" s="82" t="str">
        <f>HYPERLINK("https://pbs.twimg.com/profile_banners/1512479613439684608/1651518544")</f>
        <v>https://pbs.twimg.com/profile_banners/1512479613439684608/1651518544</v>
      </c>
      <c r="AQ310" s="75" t="b">
        <v>1</v>
      </c>
      <c r="AR310" s="75" t="b">
        <v>0</v>
      </c>
      <c r="AS310" s="75" t="b">
        <v>0</v>
      </c>
      <c r="AT310" s="75"/>
      <c r="AU310" s="75">
        <v>4</v>
      </c>
      <c r="AV310" s="75"/>
      <c r="AW310" s="75" t="b">
        <v>0</v>
      </c>
      <c r="AX310" s="75" t="s">
        <v>2845</v>
      </c>
      <c r="AY310" s="82" t="str">
        <f>HYPERLINK("https://twitter.com/34berkut")</f>
        <v>https://twitter.com/34berkut</v>
      </c>
      <c r="AZ310" s="75" t="s">
        <v>66</v>
      </c>
      <c r="BA310" s="75" t="str">
        <f>REPLACE(INDEX(GroupVertices[Group],MATCH(Vertices[[#This Row],[Vertex]],GroupVertices[Vertex],0)),1,1,"")</f>
        <v>20</v>
      </c>
      <c r="BB310" s="45">
        <v>0</v>
      </c>
      <c r="BC310" s="46">
        <v>0</v>
      </c>
      <c r="BD310" s="45">
        <v>0</v>
      </c>
      <c r="BE310" s="46">
        <v>0</v>
      </c>
      <c r="BF310" s="45">
        <v>0</v>
      </c>
      <c r="BG310" s="46">
        <v>0</v>
      </c>
      <c r="BH310" s="45">
        <v>13</v>
      </c>
      <c r="BI310" s="46">
        <v>100</v>
      </c>
      <c r="BJ310" s="45">
        <v>13</v>
      </c>
      <c r="BK310" s="45"/>
      <c r="BL310" s="45"/>
      <c r="BM310" s="45"/>
      <c r="BN310" s="45"/>
      <c r="BO310" s="45" t="s">
        <v>795</v>
      </c>
      <c r="BP310" s="45" t="s">
        <v>795</v>
      </c>
      <c r="BQ310" s="110" t="s">
        <v>4120</v>
      </c>
      <c r="BR310" s="110" t="s">
        <v>4120</v>
      </c>
      <c r="BS310" s="110" t="s">
        <v>4258</v>
      </c>
      <c r="BT310" s="110" t="s">
        <v>4258</v>
      </c>
      <c r="BU310" s="2"/>
    </row>
    <row r="311" spans="1:73" ht="15">
      <c r="A311" s="61" t="s">
        <v>425</v>
      </c>
      <c r="B311" s="62"/>
      <c r="C311" s="62"/>
      <c r="D311" s="63">
        <v>109.0909090909091</v>
      </c>
      <c r="E311" s="65"/>
      <c r="F311" s="99" t="str">
        <f>HYPERLINK("https://pbs.twimg.com/profile_images/1470318334973554689/eMXqrQAK_normal.jpg")</f>
        <v>https://pbs.twimg.com/profile_images/1470318334973554689/eMXqrQAK_normal.jpg</v>
      </c>
      <c r="G311" s="62"/>
      <c r="H311" s="66" t="s">
        <v>425</v>
      </c>
      <c r="I311" s="67"/>
      <c r="J311" s="67"/>
      <c r="K311" s="66" t="s">
        <v>3153</v>
      </c>
      <c r="L311" s="70">
        <v>14.335615190445607</v>
      </c>
      <c r="M311" s="71">
        <v>9084.45703125</v>
      </c>
      <c r="N311" s="71">
        <v>8396.595703125</v>
      </c>
      <c r="O311" s="72"/>
      <c r="P311" s="73"/>
      <c r="Q311" s="73"/>
      <c r="R311" s="85"/>
      <c r="S311" s="45">
        <v>0</v>
      </c>
      <c r="T311" s="45">
        <v>3</v>
      </c>
      <c r="U311" s="46">
        <v>6</v>
      </c>
      <c r="V311" s="46">
        <v>0.009174</v>
      </c>
      <c r="W311" s="46">
        <v>0</v>
      </c>
      <c r="X311" s="46">
        <v>0.003844</v>
      </c>
      <c r="Y311" s="46">
        <v>0</v>
      </c>
      <c r="Z311" s="46">
        <v>0</v>
      </c>
      <c r="AA311" s="68">
        <v>311</v>
      </c>
      <c r="AB311" s="68"/>
      <c r="AC311" s="69"/>
      <c r="AD311" s="75" t="s">
        <v>2143</v>
      </c>
      <c r="AE311" s="80" t="s">
        <v>2389</v>
      </c>
      <c r="AF311" s="75">
        <v>71</v>
      </c>
      <c r="AG311" s="75">
        <v>498</v>
      </c>
      <c r="AH311" s="75">
        <v>6144</v>
      </c>
      <c r="AI311" s="75">
        <v>24763</v>
      </c>
      <c r="AJ311" s="75"/>
      <c r="AK311" s="75" t="s">
        <v>2665</v>
      </c>
      <c r="AL311" s="75"/>
      <c r="AM311" s="75"/>
      <c r="AN311" s="75"/>
      <c r="AO311" s="77">
        <v>44543.37658564815</v>
      </c>
      <c r="AP311" s="75"/>
      <c r="AQ311" s="75" t="b">
        <v>1</v>
      </c>
      <c r="AR311" s="75" t="b">
        <v>0</v>
      </c>
      <c r="AS311" s="75" t="b">
        <v>0</v>
      </c>
      <c r="AT311" s="75"/>
      <c r="AU311" s="75">
        <v>0</v>
      </c>
      <c r="AV311" s="75"/>
      <c r="AW311" s="75" t="b">
        <v>0</v>
      </c>
      <c r="AX311" s="75" t="s">
        <v>2845</v>
      </c>
      <c r="AY311" s="82" t="str">
        <f>HYPERLINK("https://twitter.com/valer2valerie")</f>
        <v>https://twitter.com/valer2valerie</v>
      </c>
      <c r="AZ311" s="75" t="s">
        <v>66</v>
      </c>
      <c r="BA311" s="75" t="str">
        <f>REPLACE(INDEX(GroupVertices[Group],MATCH(Vertices[[#This Row],[Vertex]],GroupVertices[Vertex],0)),1,1,"")</f>
        <v>21</v>
      </c>
      <c r="BB311" s="45">
        <v>0</v>
      </c>
      <c r="BC311" s="46">
        <v>0</v>
      </c>
      <c r="BD311" s="45">
        <v>0</v>
      </c>
      <c r="BE311" s="46">
        <v>0</v>
      </c>
      <c r="BF311" s="45">
        <v>0</v>
      </c>
      <c r="BG311" s="46">
        <v>0</v>
      </c>
      <c r="BH311" s="45">
        <v>50</v>
      </c>
      <c r="BI311" s="46">
        <v>100</v>
      </c>
      <c r="BJ311" s="45">
        <v>50</v>
      </c>
      <c r="BK311" s="45"/>
      <c r="BL311" s="45"/>
      <c r="BM311" s="45"/>
      <c r="BN311" s="45"/>
      <c r="BO311" s="45" t="s">
        <v>4085</v>
      </c>
      <c r="BP311" s="45" t="s">
        <v>4441</v>
      </c>
      <c r="BQ311" s="110" t="s">
        <v>4536</v>
      </c>
      <c r="BR311" s="110" t="s">
        <v>4563</v>
      </c>
      <c r="BS311" s="110" t="s">
        <v>4650</v>
      </c>
      <c r="BT311" s="110" t="s">
        <v>4650</v>
      </c>
      <c r="BU311" s="2"/>
    </row>
    <row r="312" spans="1:73" ht="15">
      <c r="A312" s="61" t="s">
        <v>568</v>
      </c>
      <c r="B312" s="62"/>
      <c r="C312" s="62"/>
      <c r="D312" s="63">
        <v>100</v>
      </c>
      <c r="E312" s="65"/>
      <c r="F312" s="99" t="str">
        <f>HYPERLINK("https://pbs.twimg.com/profile_images/1435222363264671749/FJuVFUwl_normal.jpg")</f>
        <v>https://pbs.twimg.com/profile_images/1435222363264671749/FJuVFUwl_normal.jpg</v>
      </c>
      <c r="G312" s="62"/>
      <c r="H312" s="66" t="s">
        <v>568</v>
      </c>
      <c r="I312" s="67"/>
      <c r="J312" s="67"/>
      <c r="K312" s="66" t="s">
        <v>3154</v>
      </c>
      <c r="L312" s="70">
        <v>1</v>
      </c>
      <c r="M312" s="71">
        <v>9084.45703125</v>
      </c>
      <c r="N312" s="71">
        <v>9037.5576171875</v>
      </c>
      <c r="O312" s="72"/>
      <c r="P312" s="73"/>
      <c r="Q312" s="73"/>
      <c r="R312" s="85"/>
      <c r="S312" s="45">
        <v>1</v>
      </c>
      <c r="T312" s="45">
        <v>0</v>
      </c>
      <c r="U312" s="46">
        <v>0</v>
      </c>
      <c r="V312" s="46">
        <v>0.005505</v>
      </c>
      <c r="W312" s="46">
        <v>0</v>
      </c>
      <c r="X312" s="46">
        <v>0.002784</v>
      </c>
      <c r="Y312" s="46">
        <v>0</v>
      </c>
      <c r="Z312" s="46">
        <v>0</v>
      </c>
      <c r="AA312" s="68">
        <v>312</v>
      </c>
      <c r="AB312" s="68"/>
      <c r="AC312" s="69"/>
      <c r="AD312" s="75" t="s">
        <v>2144</v>
      </c>
      <c r="AE312" s="80" t="s">
        <v>1757</v>
      </c>
      <c r="AF312" s="75">
        <v>195</v>
      </c>
      <c r="AG312" s="75">
        <v>131935</v>
      </c>
      <c r="AH312" s="75">
        <v>7284</v>
      </c>
      <c r="AI312" s="75">
        <v>388</v>
      </c>
      <c r="AJ312" s="75"/>
      <c r="AK312" s="75" t="s">
        <v>2666</v>
      </c>
      <c r="AL312" s="75" t="s">
        <v>2837</v>
      </c>
      <c r="AM312" s="82" t="str">
        <f>HYPERLINK("https://t.co/RZ1pSDvgpz")</f>
        <v>https://t.co/RZ1pSDvgpz</v>
      </c>
      <c r="AN312" s="75"/>
      <c r="AO312" s="77">
        <v>41303.95679398148</v>
      </c>
      <c r="AP312" s="82" t="str">
        <f>HYPERLINK("https://pbs.twimg.com/profile_banners/1132342340/1631018652")</f>
        <v>https://pbs.twimg.com/profile_banners/1132342340/1631018652</v>
      </c>
      <c r="AQ312" s="75" t="b">
        <v>1</v>
      </c>
      <c r="AR312" s="75" t="b">
        <v>0</v>
      </c>
      <c r="AS312" s="75" t="b">
        <v>0</v>
      </c>
      <c r="AT312" s="75"/>
      <c r="AU312" s="75">
        <v>619</v>
      </c>
      <c r="AV312" s="82" t="str">
        <f>HYPERLINK("https://abs.twimg.com/images/themes/theme1/bg.png")</f>
        <v>https://abs.twimg.com/images/themes/theme1/bg.png</v>
      </c>
      <c r="AW312" s="75" t="b">
        <v>1</v>
      </c>
      <c r="AX312" s="75" t="s">
        <v>2845</v>
      </c>
      <c r="AY312" s="82" t="str">
        <f>HYPERLINK("https://twitter.com/robertmenardfr")</f>
        <v>https://twitter.com/robertmenardfr</v>
      </c>
      <c r="AZ312" s="75" t="s">
        <v>65</v>
      </c>
      <c r="BA312" s="75" t="str">
        <f>REPLACE(INDEX(GroupVertices[Group],MATCH(Vertices[[#This Row],[Vertex]],GroupVertices[Vertex],0)),1,1,"")</f>
        <v>21</v>
      </c>
      <c r="BB312" s="45"/>
      <c r="BC312" s="46"/>
      <c r="BD312" s="45"/>
      <c r="BE312" s="46"/>
      <c r="BF312" s="45"/>
      <c r="BG312" s="46"/>
      <c r="BH312" s="45"/>
      <c r="BI312" s="46"/>
      <c r="BJ312" s="45"/>
      <c r="BK312" s="45"/>
      <c r="BL312" s="45"/>
      <c r="BM312" s="45"/>
      <c r="BN312" s="45"/>
      <c r="BO312" s="45"/>
      <c r="BP312" s="45"/>
      <c r="BQ312" s="45"/>
      <c r="BR312" s="45"/>
      <c r="BS312" s="45"/>
      <c r="BT312" s="45"/>
      <c r="BU312" s="2"/>
    </row>
    <row r="313" spans="1:73" ht="15">
      <c r="A313" s="61" t="s">
        <v>569</v>
      </c>
      <c r="B313" s="62"/>
      <c r="C313" s="62"/>
      <c r="D313" s="63">
        <v>100</v>
      </c>
      <c r="E313" s="65"/>
      <c r="F313" s="99" t="str">
        <f>HYPERLINK("https://pbs.twimg.com/profile_images/1221066956146724870/xuScv1Gh_normal.jpg")</f>
        <v>https://pbs.twimg.com/profile_images/1221066956146724870/xuScv1Gh_normal.jpg</v>
      </c>
      <c r="G313" s="62"/>
      <c r="H313" s="66" t="s">
        <v>569</v>
      </c>
      <c r="I313" s="67"/>
      <c r="J313" s="67"/>
      <c r="K313" s="66" t="s">
        <v>3155</v>
      </c>
      <c r="L313" s="70">
        <v>1</v>
      </c>
      <c r="M313" s="71">
        <v>8913.7431640625</v>
      </c>
      <c r="N313" s="71">
        <v>9037.5576171875</v>
      </c>
      <c r="O313" s="72"/>
      <c r="P313" s="73"/>
      <c r="Q313" s="73"/>
      <c r="R313" s="85"/>
      <c r="S313" s="45">
        <v>1</v>
      </c>
      <c r="T313" s="45">
        <v>0</v>
      </c>
      <c r="U313" s="46">
        <v>0</v>
      </c>
      <c r="V313" s="46">
        <v>0.005505</v>
      </c>
      <c r="W313" s="46">
        <v>0</v>
      </c>
      <c r="X313" s="46">
        <v>0.002784</v>
      </c>
      <c r="Y313" s="46">
        <v>0</v>
      </c>
      <c r="Z313" s="46">
        <v>0</v>
      </c>
      <c r="AA313" s="68">
        <v>313</v>
      </c>
      <c r="AB313" s="68"/>
      <c r="AC313" s="69"/>
      <c r="AD313" s="75" t="s">
        <v>2145</v>
      </c>
      <c r="AE313" s="80" t="s">
        <v>2390</v>
      </c>
      <c r="AF313" s="75">
        <v>71</v>
      </c>
      <c r="AG313" s="75">
        <v>15043</v>
      </c>
      <c r="AH313" s="75">
        <v>394</v>
      </c>
      <c r="AI313" s="75">
        <v>202</v>
      </c>
      <c r="AJ313" s="75"/>
      <c r="AK313" s="75" t="s">
        <v>2667</v>
      </c>
      <c r="AL313" s="75" t="s">
        <v>2711</v>
      </c>
      <c r="AM313" s="75"/>
      <c r="AN313" s="75"/>
      <c r="AO313" s="77">
        <v>42393.59837962963</v>
      </c>
      <c r="AP313" s="82" t="str">
        <f>HYPERLINK("https://pbs.twimg.com/profile_banners/4842119213/1579960025")</f>
        <v>https://pbs.twimg.com/profile_banners/4842119213/1579960025</v>
      </c>
      <c r="AQ313" s="75" t="b">
        <v>1</v>
      </c>
      <c r="AR313" s="75" t="b">
        <v>0</v>
      </c>
      <c r="AS313" s="75" t="b">
        <v>0</v>
      </c>
      <c r="AT313" s="75"/>
      <c r="AU313" s="75">
        <v>13</v>
      </c>
      <c r="AV313" s="75"/>
      <c r="AW313" s="75" t="b">
        <v>0</v>
      </c>
      <c r="AX313" s="75" t="s">
        <v>2845</v>
      </c>
      <c r="AY313" s="82" t="str">
        <f>HYPERLINK("https://twitter.com/vladpoutine_fr")</f>
        <v>https://twitter.com/vladpoutine_fr</v>
      </c>
      <c r="AZ313" s="75" t="s">
        <v>65</v>
      </c>
      <c r="BA313" s="75" t="str">
        <f>REPLACE(INDEX(GroupVertices[Group],MATCH(Vertices[[#This Row],[Vertex]],GroupVertices[Vertex],0)),1,1,"")</f>
        <v>21</v>
      </c>
      <c r="BB313" s="45"/>
      <c r="BC313" s="46"/>
      <c r="BD313" s="45"/>
      <c r="BE313" s="46"/>
      <c r="BF313" s="45"/>
      <c r="BG313" s="46"/>
      <c r="BH313" s="45"/>
      <c r="BI313" s="46"/>
      <c r="BJ313" s="45"/>
      <c r="BK313" s="45"/>
      <c r="BL313" s="45"/>
      <c r="BM313" s="45"/>
      <c r="BN313" s="45"/>
      <c r="BO313" s="45"/>
      <c r="BP313" s="45"/>
      <c r="BQ313" s="45"/>
      <c r="BR313" s="45"/>
      <c r="BS313" s="45"/>
      <c r="BT313" s="45"/>
      <c r="BU313" s="2"/>
    </row>
    <row r="314" spans="1:73" ht="15">
      <c r="A314" s="61" t="s">
        <v>570</v>
      </c>
      <c r="B314" s="62"/>
      <c r="C314" s="62"/>
      <c r="D314" s="63">
        <v>100</v>
      </c>
      <c r="E314" s="65"/>
      <c r="F314" s="99" t="str">
        <f>HYPERLINK("https://pbs.twimg.com/profile_images/1376551706289393667/FDuw3L5D_normal.jpg")</f>
        <v>https://pbs.twimg.com/profile_images/1376551706289393667/FDuw3L5D_normal.jpg</v>
      </c>
      <c r="G314" s="62"/>
      <c r="H314" s="66" t="s">
        <v>570</v>
      </c>
      <c r="I314" s="67"/>
      <c r="J314" s="67"/>
      <c r="K314" s="66" t="s">
        <v>3156</v>
      </c>
      <c r="L314" s="70">
        <v>1</v>
      </c>
      <c r="M314" s="71">
        <v>8913.7431640625</v>
      </c>
      <c r="N314" s="71">
        <v>8396.595703125</v>
      </c>
      <c r="O314" s="72"/>
      <c r="P314" s="73"/>
      <c r="Q314" s="73"/>
      <c r="R314" s="85"/>
      <c r="S314" s="45">
        <v>1</v>
      </c>
      <c r="T314" s="45">
        <v>0</v>
      </c>
      <c r="U314" s="46">
        <v>0</v>
      </c>
      <c r="V314" s="46">
        <v>0.005505</v>
      </c>
      <c r="W314" s="46">
        <v>0</v>
      </c>
      <c r="X314" s="46">
        <v>0.002784</v>
      </c>
      <c r="Y314" s="46">
        <v>0</v>
      </c>
      <c r="Z314" s="46">
        <v>0</v>
      </c>
      <c r="AA314" s="68">
        <v>314</v>
      </c>
      <c r="AB314" s="68"/>
      <c r="AC314" s="69"/>
      <c r="AD314" s="75" t="s">
        <v>2146</v>
      </c>
      <c r="AE314" s="80" t="s">
        <v>1758</v>
      </c>
      <c r="AF314" s="75">
        <v>743</v>
      </c>
      <c r="AG314" s="75">
        <v>2200116</v>
      </c>
      <c r="AH314" s="75">
        <v>312421</v>
      </c>
      <c r="AI314" s="75">
        <v>401</v>
      </c>
      <c r="AJ314" s="75"/>
      <c r="AK314" s="75" t="s">
        <v>2668</v>
      </c>
      <c r="AL314" s="75" t="s">
        <v>2685</v>
      </c>
      <c r="AM314" s="82" t="str">
        <f>HYPERLINK("https://t.co/d7yvs3XJCk")</f>
        <v>https://t.co/d7yvs3XJCk</v>
      </c>
      <c r="AN314" s="75"/>
      <c r="AO314" s="77">
        <v>39808.921898148146</v>
      </c>
      <c r="AP314" s="82" t="str">
        <f>HYPERLINK("https://pbs.twimg.com/profile_banners/18396319/1622480694")</f>
        <v>https://pbs.twimg.com/profile_banners/18396319/1622480694</v>
      </c>
      <c r="AQ314" s="75" t="b">
        <v>0</v>
      </c>
      <c r="AR314" s="75" t="b">
        <v>0</v>
      </c>
      <c r="AS314" s="75" t="b">
        <v>1</v>
      </c>
      <c r="AT314" s="75"/>
      <c r="AU314" s="75">
        <v>6939</v>
      </c>
      <c r="AV314" s="82" t="str">
        <f>HYPERLINK("https://abs.twimg.com/images/themes/theme1/bg.png")</f>
        <v>https://abs.twimg.com/images/themes/theme1/bg.png</v>
      </c>
      <c r="AW314" s="75" t="b">
        <v>1</v>
      </c>
      <c r="AX314" s="75" t="s">
        <v>2845</v>
      </c>
      <c r="AY314" s="82" t="str">
        <f>HYPERLINK("https://twitter.com/cnews")</f>
        <v>https://twitter.com/cnews</v>
      </c>
      <c r="AZ314" s="75" t="s">
        <v>65</v>
      </c>
      <c r="BA314" s="75" t="str">
        <f>REPLACE(INDEX(GroupVertices[Group],MATCH(Vertices[[#This Row],[Vertex]],GroupVertices[Vertex],0)),1,1,"")</f>
        <v>21</v>
      </c>
      <c r="BB314" s="45"/>
      <c r="BC314" s="46"/>
      <c r="BD314" s="45"/>
      <c r="BE314" s="46"/>
      <c r="BF314" s="45"/>
      <c r="BG314" s="46"/>
      <c r="BH314" s="45"/>
      <c r="BI314" s="46"/>
      <c r="BJ314" s="45"/>
      <c r="BK314" s="45"/>
      <c r="BL314" s="45"/>
      <c r="BM314" s="45"/>
      <c r="BN314" s="45"/>
      <c r="BO314" s="45"/>
      <c r="BP314" s="45"/>
      <c r="BQ314" s="45"/>
      <c r="BR314" s="45"/>
      <c r="BS314" s="45"/>
      <c r="BT314" s="45"/>
      <c r="BU314" s="2"/>
    </row>
    <row r="315" spans="1:73" ht="15">
      <c r="A315" s="61" t="s">
        <v>427</v>
      </c>
      <c r="B315" s="62"/>
      <c r="C315" s="62"/>
      <c r="D315" s="63">
        <v>100</v>
      </c>
      <c r="E315" s="65"/>
      <c r="F315" s="99" t="str">
        <f>HYPERLINK("https://pbs.twimg.com/profile_images/1511341335483138048/b5Ql3Mzm_normal.jpg")</f>
        <v>https://pbs.twimg.com/profile_images/1511341335483138048/b5Ql3Mzm_normal.jpg</v>
      </c>
      <c r="G315" s="62"/>
      <c r="H315" s="66" t="s">
        <v>427</v>
      </c>
      <c r="I315" s="67"/>
      <c r="J315" s="67"/>
      <c r="K315" s="66" t="s">
        <v>3157</v>
      </c>
      <c r="L315" s="70">
        <v>1</v>
      </c>
      <c r="M315" s="71">
        <v>9499.0498046875</v>
      </c>
      <c r="N315" s="71">
        <v>8396.595703125</v>
      </c>
      <c r="O315" s="72"/>
      <c r="P315" s="73"/>
      <c r="Q315" s="73"/>
      <c r="R315" s="85"/>
      <c r="S315" s="45">
        <v>0</v>
      </c>
      <c r="T315" s="45">
        <v>1</v>
      </c>
      <c r="U315" s="46">
        <v>0</v>
      </c>
      <c r="V315" s="46">
        <v>0.005505</v>
      </c>
      <c r="W315" s="46">
        <v>0</v>
      </c>
      <c r="X315" s="46">
        <v>0.00274</v>
      </c>
      <c r="Y315" s="46">
        <v>0</v>
      </c>
      <c r="Z315" s="46">
        <v>0</v>
      </c>
      <c r="AA315" s="68">
        <v>315</v>
      </c>
      <c r="AB315" s="68"/>
      <c r="AC315" s="69"/>
      <c r="AD315" s="75" t="s">
        <v>2147</v>
      </c>
      <c r="AE315" s="80" t="s">
        <v>2391</v>
      </c>
      <c r="AF315" s="75">
        <v>445</v>
      </c>
      <c r="AG315" s="75">
        <v>587</v>
      </c>
      <c r="AH315" s="75">
        <v>17919</v>
      </c>
      <c r="AI315" s="75">
        <v>16908</v>
      </c>
      <c r="AJ315" s="75"/>
      <c r="AK315" s="75" t="s">
        <v>2669</v>
      </c>
      <c r="AL315" s="75" t="s">
        <v>2821</v>
      </c>
      <c r="AM315" s="75"/>
      <c r="AN315" s="75"/>
      <c r="AO315" s="77">
        <v>43187.32334490741</v>
      </c>
      <c r="AP315" s="82" t="str">
        <f>HYPERLINK("https://pbs.twimg.com/profile_banners/978900906254233601/1649167173")</f>
        <v>https://pbs.twimg.com/profile_banners/978900906254233601/1649167173</v>
      </c>
      <c r="AQ315" s="75" t="b">
        <v>1</v>
      </c>
      <c r="AR315" s="75" t="b">
        <v>0</v>
      </c>
      <c r="AS315" s="75" t="b">
        <v>0</v>
      </c>
      <c r="AT315" s="75"/>
      <c r="AU315" s="75">
        <v>5</v>
      </c>
      <c r="AV315" s="75"/>
      <c r="AW315" s="75" t="b">
        <v>0</v>
      </c>
      <c r="AX315" s="75" t="s">
        <v>2845</v>
      </c>
      <c r="AY315" s="82" t="str">
        <f>HYPERLINK("https://twitter.com/mnogomama4170")</f>
        <v>https://twitter.com/mnogomama4170</v>
      </c>
      <c r="AZ315" s="75" t="s">
        <v>66</v>
      </c>
      <c r="BA315" s="75" t="str">
        <f>REPLACE(INDEX(GroupVertices[Group],MATCH(Vertices[[#This Row],[Vertex]],GroupVertices[Vertex],0)),1,1,"")</f>
        <v>20</v>
      </c>
      <c r="BB315" s="45">
        <v>0</v>
      </c>
      <c r="BC315" s="46">
        <v>0</v>
      </c>
      <c r="BD315" s="45">
        <v>0</v>
      </c>
      <c r="BE315" s="46">
        <v>0</v>
      </c>
      <c r="BF315" s="45">
        <v>0</v>
      </c>
      <c r="BG315" s="46">
        <v>0</v>
      </c>
      <c r="BH315" s="45">
        <v>13</v>
      </c>
      <c r="BI315" s="46">
        <v>100</v>
      </c>
      <c r="BJ315" s="45">
        <v>13</v>
      </c>
      <c r="BK315" s="45"/>
      <c r="BL315" s="45"/>
      <c r="BM315" s="45"/>
      <c r="BN315" s="45"/>
      <c r="BO315" s="45" t="s">
        <v>795</v>
      </c>
      <c r="BP315" s="45" t="s">
        <v>795</v>
      </c>
      <c r="BQ315" s="110" t="s">
        <v>4120</v>
      </c>
      <c r="BR315" s="110" t="s">
        <v>4120</v>
      </c>
      <c r="BS315" s="110" t="s">
        <v>4258</v>
      </c>
      <c r="BT315" s="110" t="s">
        <v>4258</v>
      </c>
      <c r="BU315" s="2"/>
    </row>
    <row r="316" spans="1:73" ht="15">
      <c r="A316" s="61" t="s">
        <v>571</v>
      </c>
      <c r="B316" s="62"/>
      <c r="C316" s="62"/>
      <c r="D316" s="63">
        <v>100</v>
      </c>
      <c r="E316" s="65"/>
      <c r="F316" s="99" t="str">
        <f>HYPERLINK("https://pbs.twimg.com/profile_images/1421076205864894465/TvDL9fHg_normal.jpg")</f>
        <v>https://pbs.twimg.com/profile_images/1421076205864894465/TvDL9fHg_normal.jpg</v>
      </c>
      <c r="G316" s="62"/>
      <c r="H316" s="66" t="s">
        <v>571</v>
      </c>
      <c r="I316" s="67"/>
      <c r="J316" s="67"/>
      <c r="K316" s="66" t="s">
        <v>3158</v>
      </c>
      <c r="L316" s="70">
        <v>1</v>
      </c>
      <c r="M316" s="71">
        <v>912.4718017578125</v>
      </c>
      <c r="N316" s="71">
        <v>8202.91015625</v>
      </c>
      <c r="O316" s="72"/>
      <c r="P316" s="73"/>
      <c r="Q316" s="73"/>
      <c r="R316" s="85"/>
      <c r="S316" s="45">
        <v>1</v>
      </c>
      <c r="T316" s="45">
        <v>0</v>
      </c>
      <c r="U316" s="46">
        <v>0</v>
      </c>
      <c r="V316" s="46">
        <v>0.085759</v>
      </c>
      <c r="W316" s="46">
        <v>0.111635</v>
      </c>
      <c r="X316" s="46">
        <v>0.002654</v>
      </c>
      <c r="Y316" s="46">
        <v>0</v>
      </c>
      <c r="Z316" s="46">
        <v>0</v>
      </c>
      <c r="AA316" s="68">
        <v>316</v>
      </c>
      <c r="AB316" s="68"/>
      <c r="AC316" s="69"/>
      <c r="AD316" s="75" t="s">
        <v>2148</v>
      </c>
      <c r="AE316" s="80" t="s">
        <v>1759</v>
      </c>
      <c r="AF316" s="75">
        <v>1725</v>
      </c>
      <c r="AG316" s="75">
        <v>6391</v>
      </c>
      <c r="AH316" s="75">
        <v>3113</v>
      </c>
      <c r="AI316" s="75">
        <v>2183</v>
      </c>
      <c r="AJ316" s="75"/>
      <c r="AK316" s="75" t="s">
        <v>2670</v>
      </c>
      <c r="AL316" s="75" t="s">
        <v>2690</v>
      </c>
      <c r="AM316" s="82" t="str">
        <f>HYPERLINK("https://t.co/GD1elx7jgF")</f>
        <v>https://t.co/GD1elx7jgF</v>
      </c>
      <c r="AN316" s="75"/>
      <c r="AO316" s="77">
        <v>40828.8653587963</v>
      </c>
      <c r="AP316" s="82" t="str">
        <f>HYPERLINK("https://pbs.twimg.com/profile_banners/389682667/1650607204")</f>
        <v>https://pbs.twimg.com/profile_banners/389682667/1650607204</v>
      </c>
      <c r="AQ316" s="75" t="b">
        <v>1</v>
      </c>
      <c r="AR316" s="75" t="b">
        <v>0</v>
      </c>
      <c r="AS316" s="75" t="b">
        <v>1</v>
      </c>
      <c r="AT316" s="75"/>
      <c r="AU316" s="75">
        <v>198</v>
      </c>
      <c r="AV316" s="82" t="str">
        <f>HYPERLINK("https://abs.twimg.com/images/themes/theme1/bg.png")</f>
        <v>https://abs.twimg.com/images/themes/theme1/bg.png</v>
      </c>
      <c r="AW316" s="75" t="b">
        <v>1</v>
      </c>
      <c r="AX316" s="75" t="s">
        <v>2845</v>
      </c>
      <c r="AY316" s="82" t="str">
        <f>HYPERLINK("https://twitter.com/jowadephul")</f>
        <v>https://twitter.com/jowadephul</v>
      </c>
      <c r="AZ316" s="75" t="s">
        <v>65</v>
      </c>
      <c r="BA316" s="75" t="str">
        <f>REPLACE(INDEX(GroupVertices[Group],MATCH(Vertices[[#This Row],[Vertex]],GroupVertices[Vertex],0)),1,1,"")</f>
        <v>1</v>
      </c>
      <c r="BB316" s="45"/>
      <c r="BC316" s="46"/>
      <c r="BD316" s="45"/>
      <c r="BE316" s="46"/>
      <c r="BF316" s="45"/>
      <c r="BG316" s="46"/>
      <c r="BH316" s="45"/>
      <c r="BI316" s="46"/>
      <c r="BJ316" s="45"/>
      <c r="BK316" s="45"/>
      <c r="BL316" s="45"/>
      <c r="BM316" s="45"/>
      <c r="BN316" s="45"/>
      <c r="BO316" s="45"/>
      <c r="BP316" s="45"/>
      <c r="BQ316" s="45"/>
      <c r="BR316" s="45"/>
      <c r="BS316" s="45"/>
      <c r="BT316" s="45"/>
      <c r="BU316" s="2"/>
    </row>
    <row r="317" spans="1:73" ht="15">
      <c r="A317" s="61" t="s">
        <v>572</v>
      </c>
      <c r="B317" s="62"/>
      <c r="C317" s="62"/>
      <c r="D317" s="63">
        <v>100</v>
      </c>
      <c r="E317" s="65"/>
      <c r="F317" s="99" t="str">
        <f>HYPERLINK("https://pbs.twimg.com/profile_images/1530061394619600896/GR0eYnkX_normal.jpg")</f>
        <v>https://pbs.twimg.com/profile_images/1530061394619600896/GR0eYnkX_normal.jpg</v>
      </c>
      <c r="G317" s="62"/>
      <c r="H317" s="66" t="s">
        <v>572</v>
      </c>
      <c r="I317" s="67"/>
      <c r="J317" s="67"/>
      <c r="K317" s="66" t="s">
        <v>3159</v>
      </c>
      <c r="L317" s="70">
        <v>1</v>
      </c>
      <c r="M317" s="71">
        <v>496.57342529296875</v>
      </c>
      <c r="N317" s="71">
        <v>7358.73095703125</v>
      </c>
      <c r="O317" s="72"/>
      <c r="P317" s="73"/>
      <c r="Q317" s="73"/>
      <c r="R317" s="85"/>
      <c r="S317" s="45">
        <v>1</v>
      </c>
      <c r="T317" s="45">
        <v>0</v>
      </c>
      <c r="U317" s="46">
        <v>0</v>
      </c>
      <c r="V317" s="46">
        <v>0.085759</v>
      </c>
      <c r="W317" s="46">
        <v>0.111635</v>
      </c>
      <c r="X317" s="46">
        <v>0.002654</v>
      </c>
      <c r="Y317" s="46">
        <v>0</v>
      </c>
      <c r="Z317" s="46">
        <v>0</v>
      </c>
      <c r="AA317" s="68">
        <v>317</v>
      </c>
      <c r="AB317" s="68"/>
      <c r="AC317" s="69"/>
      <c r="AD317" s="75" t="s">
        <v>2149</v>
      </c>
      <c r="AE317" s="80" t="s">
        <v>1760</v>
      </c>
      <c r="AF317" s="75">
        <v>4043</v>
      </c>
      <c r="AG317" s="75">
        <v>416208</v>
      </c>
      <c r="AH317" s="75">
        <v>69046</v>
      </c>
      <c r="AI317" s="75">
        <v>51690</v>
      </c>
      <c r="AJ317" s="75"/>
      <c r="AK317" s="75" t="s">
        <v>2671</v>
      </c>
      <c r="AL317" s="75" t="s">
        <v>2745</v>
      </c>
      <c r="AM317" s="82" t="str">
        <f>HYPERLINK("https://t.co/eltojulQCY")</f>
        <v>https://t.co/eltojulQCY</v>
      </c>
      <c r="AN317" s="75"/>
      <c r="AO317" s="77">
        <v>39738.70508101852</v>
      </c>
      <c r="AP317" s="82" t="str">
        <f>HYPERLINK("https://pbs.twimg.com/profile_banners/16827148/1595775749")</f>
        <v>https://pbs.twimg.com/profile_banners/16827148/1595775749</v>
      </c>
      <c r="AQ317" s="75" t="b">
        <v>0</v>
      </c>
      <c r="AR317" s="75" t="b">
        <v>0</v>
      </c>
      <c r="AS317" s="75" t="b">
        <v>1</v>
      </c>
      <c r="AT317" s="75"/>
      <c r="AU317" s="75">
        <v>10180</v>
      </c>
      <c r="AV317" s="82" t="str">
        <f>HYPERLINK("https://abs.twimg.com/images/themes/theme9/bg.gif")</f>
        <v>https://abs.twimg.com/images/themes/theme9/bg.gif</v>
      </c>
      <c r="AW317" s="75" t="b">
        <v>1</v>
      </c>
      <c r="AX317" s="75" t="s">
        <v>2845</v>
      </c>
      <c r="AY317" s="82" t="str">
        <f>HYPERLINK("https://twitter.com/christopherjm")</f>
        <v>https://twitter.com/christopherjm</v>
      </c>
      <c r="AZ317" s="75" t="s">
        <v>65</v>
      </c>
      <c r="BA317" s="75" t="str">
        <f>REPLACE(INDEX(GroupVertices[Group],MATCH(Vertices[[#This Row],[Vertex]],GroupVertices[Vertex],0)),1,1,"")</f>
        <v>1</v>
      </c>
      <c r="BB317" s="45"/>
      <c r="BC317" s="46"/>
      <c r="BD317" s="45"/>
      <c r="BE317" s="46"/>
      <c r="BF317" s="45"/>
      <c r="BG317" s="46"/>
      <c r="BH317" s="45"/>
      <c r="BI317" s="46"/>
      <c r="BJ317" s="45"/>
      <c r="BK317" s="45"/>
      <c r="BL317" s="45"/>
      <c r="BM317" s="45"/>
      <c r="BN317" s="45"/>
      <c r="BO317" s="45"/>
      <c r="BP317" s="45"/>
      <c r="BQ317" s="45"/>
      <c r="BR317" s="45"/>
      <c r="BS317" s="45"/>
      <c r="BT317" s="45"/>
      <c r="BU317" s="2"/>
    </row>
    <row r="318" spans="1:73" ht="15">
      <c r="A318" s="61" t="s">
        <v>573</v>
      </c>
      <c r="B318" s="62"/>
      <c r="C318" s="62"/>
      <c r="D318" s="63">
        <v>100</v>
      </c>
      <c r="E318" s="65"/>
      <c r="F318" s="99" t="str">
        <f>HYPERLINK("https://pbs.twimg.com/profile_images/901201196920320000/zONVh_ti_normal.jpg")</f>
        <v>https://pbs.twimg.com/profile_images/901201196920320000/zONVh_ti_normal.jpg</v>
      </c>
      <c r="G318" s="62"/>
      <c r="H318" s="66" t="s">
        <v>573</v>
      </c>
      <c r="I318" s="67"/>
      <c r="J318" s="67"/>
      <c r="K318" s="66" t="s">
        <v>3160</v>
      </c>
      <c r="L318" s="70">
        <v>1</v>
      </c>
      <c r="M318" s="71">
        <v>380.6575012207031</v>
      </c>
      <c r="N318" s="71">
        <v>7604.8935546875</v>
      </c>
      <c r="O318" s="72"/>
      <c r="P318" s="73"/>
      <c r="Q318" s="73"/>
      <c r="R318" s="85"/>
      <c r="S318" s="45">
        <v>1</v>
      </c>
      <c r="T318" s="45">
        <v>0</v>
      </c>
      <c r="U318" s="46">
        <v>0</v>
      </c>
      <c r="V318" s="46">
        <v>0.085759</v>
      </c>
      <c r="W318" s="46">
        <v>0.111635</v>
      </c>
      <c r="X318" s="46">
        <v>0.002654</v>
      </c>
      <c r="Y318" s="46">
        <v>0</v>
      </c>
      <c r="Z318" s="46">
        <v>0</v>
      </c>
      <c r="AA318" s="68">
        <v>318</v>
      </c>
      <c r="AB318" s="68"/>
      <c r="AC318" s="69"/>
      <c r="AD318" s="75" t="s">
        <v>2150</v>
      </c>
      <c r="AE318" s="80" t="s">
        <v>2392</v>
      </c>
      <c r="AF318" s="75">
        <v>247</v>
      </c>
      <c r="AG318" s="75">
        <v>711402</v>
      </c>
      <c r="AH318" s="75">
        <v>56797</v>
      </c>
      <c r="AI318" s="75">
        <v>4392</v>
      </c>
      <c r="AJ318" s="75"/>
      <c r="AK318" s="75" t="s">
        <v>2672</v>
      </c>
      <c r="AL318" s="75"/>
      <c r="AM318" s="82" t="str">
        <f>HYPERLINK("https://t.co/5pAqOzc1o5")</f>
        <v>https://t.co/5pAqOzc1o5</v>
      </c>
      <c r="AN318" s="75"/>
      <c r="AO318" s="77">
        <v>39908.38385416667</v>
      </c>
      <c r="AP318" s="82" t="str">
        <f>HYPERLINK("https://pbs.twimg.com/profile_banners/28964208/1617256614")</f>
        <v>https://pbs.twimg.com/profile_banners/28964208/1617256614</v>
      </c>
      <c r="AQ318" s="75" t="b">
        <v>0</v>
      </c>
      <c r="AR318" s="75" t="b">
        <v>0</v>
      </c>
      <c r="AS318" s="75" t="b">
        <v>0</v>
      </c>
      <c r="AT318" s="75"/>
      <c r="AU318" s="75">
        <v>2022</v>
      </c>
      <c r="AV318" s="82" t="str">
        <f>HYPERLINK("https://abs.twimg.com/images/themes/theme1/bg.png")</f>
        <v>https://abs.twimg.com/images/themes/theme1/bg.png</v>
      </c>
      <c r="AW318" s="75" t="b">
        <v>1</v>
      </c>
      <c r="AX318" s="75" t="s">
        <v>2845</v>
      </c>
      <c r="AY318" s="82" t="str">
        <f>HYPERLINK("https://twitter.com/daserste")</f>
        <v>https://twitter.com/daserste</v>
      </c>
      <c r="AZ318" s="75" t="s">
        <v>65</v>
      </c>
      <c r="BA318" s="75" t="str">
        <f>REPLACE(INDEX(GroupVertices[Group],MATCH(Vertices[[#This Row],[Vertex]],GroupVertices[Vertex],0)),1,1,"")</f>
        <v>1</v>
      </c>
      <c r="BB318" s="45"/>
      <c r="BC318" s="46"/>
      <c r="BD318" s="45"/>
      <c r="BE318" s="46"/>
      <c r="BF318" s="45"/>
      <c r="BG318" s="46"/>
      <c r="BH318" s="45"/>
      <c r="BI318" s="46"/>
      <c r="BJ318" s="45"/>
      <c r="BK318" s="45"/>
      <c r="BL318" s="45"/>
      <c r="BM318" s="45"/>
      <c r="BN318" s="45"/>
      <c r="BO318" s="45"/>
      <c r="BP318" s="45"/>
      <c r="BQ318" s="45"/>
      <c r="BR318" s="45"/>
      <c r="BS318" s="45"/>
      <c r="BT318" s="45"/>
      <c r="BU318" s="2"/>
    </row>
    <row r="319" spans="1:73" ht="15">
      <c r="A319" s="61" t="s">
        <v>574</v>
      </c>
      <c r="B319" s="62"/>
      <c r="C319" s="62"/>
      <c r="D319" s="63">
        <v>100</v>
      </c>
      <c r="E319" s="65"/>
      <c r="F319" s="99" t="str">
        <f>HYPERLINK("https://pbs.twimg.com/profile_images/1477617068237275139/0GoQF1pV_normal.jpg")</f>
        <v>https://pbs.twimg.com/profile_images/1477617068237275139/0GoQF1pV_normal.jpg</v>
      </c>
      <c r="G319" s="62"/>
      <c r="H319" s="66" t="s">
        <v>574</v>
      </c>
      <c r="I319" s="67"/>
      <c r="J319" s="67"/>
      <c r="K319" s="66" t="s">
        <v>3161</v>
      </c>
      <c r="L319" s="70">
        <v>1</v>
      </c>
      <c r="M319" s="71">
        <v>572.9362182617188</v>
      </c>
      <c r="N319" s="71">
        <v>6762.93896484375</v>
      </c>
      <c r="O319" s="72"/>
      <c r="P319" s="73"/>
      <c r="Q319" s="73"/>
      <c r="R319" s="85"/>
      <c r="S319" s="45">
        <v>1</v>
      </c>
      <c r="T319" s="45">
        <v>0</v>
      </c>
      <c r="U319" s="46">
        <v>0</v>
      </c>
      <c r="V319" s="46">
        <v>0.085759</v>
      </c>
      <c r="W319" s="46">
        <v>0.111635</v>
      </c>
      <c r="X319" s="46">
        <v>0.002654</v>
      </c>
      <c r="Y319" s="46">
        <v>0</v>
      </c>
      <c r="Z319" s="46">
        <v>0</v>
      </c>
      <c r="AA319" s="68">
        <v>319</v>
      </c>
      <c r="AB319" s="68"/>
      <c r="AC319" s="69"/>
      <c r="AD319" s="75" t="s">
        <v>2151</v>
      </c>
      <c r="AE319" s="80" t="s">
        <v>2393</v>
      </c>
      <c r="AF319" s="75">
        <v>879</v>
      </c>
      <c r="AG319" s="75">
        <v>87846</v>
      </c>
      <c r="AH319" s="75">
        <v>20668</v>
      </c>
      <c r="AI319" s="75">
        <v>106262</v>
      </c>
      <c r="AJ319" s="75"/>
      <c r="AK319" s="75" t="s">
        <v>2673</v>
      </c>
      <c r="AL319" s="75" t="s">
        <v>2838</v>
      </c>
      <c r="AM319" s="82" t="str">
        <f>HYPERLINK("https://t.co/lHxUrwNxbF")</f>
        <v>https://t.co/lHxUrwNxbF</v>
      </c>
      <c r="AN319" s="75"/>
      <c r="AO319" s="77">
        <v>41095.56673611111</v>
      </c>
      <c r="AP319" s="82" t="str">
        <f>HYPERLINK("https://pbs.twimg.com/profile_banners/627394798/1661238690")</f>
        <v>https://pbs.twimg.com/profile_banners/627394798/1661238690</v>
      </c>
      <c r="AQ319" s="75" t="b">
        <v>1</v>
      </c>
      <c r="AR319" s="75" t="b">
        <v>0</v>
      </c>
      <c r="AS319" s="75" t="b">
        <v>1</v>
      </c>
      <c r="AT319" s="75"/>
      <c r="AU319" s="75">
        <v>621</v>
      </c>
      <c r="AV319" s="82" t="str">
        <f>HYPERLINK("https://abs.twimg.com/images/themes/theme1/bg.png")</f>
        <v>https://abs.twimg.com/images/themes/theme1/bg.png</v>
      </c>
      <c r="AW319" s="75" t="b">
        <v>1</v>
      </c>
      <c r="AX319" s="75" t="s">
        <v>2845</v>
      </c>
      <c r="AY319" s="82" t="str">
        <f>HYPERLINK("https://twitter.com/carlomasala1")</f>
        <v>https://twitter.com/carlomasala1</v>
      </c>
      <c r="AZ319" s="75" t="s">
        <v>65</v>
      </c>
      <c r="BA319" s="75" t="str">
        <f>REPLACE(INDEX(GroupVertices[Group],MATCH(Vertices[[#This Row],[Vertex]],GroupVertices[Vertex],0)),1,1,"")</f>
        <v>1</v>
      </c>
      <c r="BB319" s="45"/>
      <c r="BC319" s="46"/>
      <c r="BD319" s="45"/>
      <c r="BE319" s="46"/>
      <c r="BF319" s="45"/>
      <c r="BG319" s="46"/>
      <c r="BH319" s="45"/>
      <c r="BI319" s="46"/>
      <c r="BJ319" s="45"/>
      <c r="BK319" s="45"/>
      <c r="BL319" s="45"/>
      <c r="BM319" s="45"/>
      <c r="BN319" s="45"/>
      <c r="BO319" s="45"/>
      <c r="BP319" s="45"/>
      <c r="BQ319" s="45"/>
      <c r="BR319" s="45"/>
      <c r="BS319" s="45"/>
      <c r="BT319" s="45"/>
      <c r="BU319" s="2"/>
    </row>
    <row r="320" spans="1:73" ht="15">
      <c r="A320" s="61" t="s">
        <v>575</v>
      </c>
      <c r="B320" s="62"/>
      <c r="C320" s="62"/>
      <c r="D320" s="63">
        <v>100</v>
      </c>
      <c r="E320" s="65"/>
      <c r="F320" s="99" t="str">
        <f>HYPERLINK("https://pbs.twimg.com/profile_images/1500392701048631296/G3aekpU0_normal.jpg")</f>
        <v>https://pbs.twimg.com/profile_images/1500392701048631296/G3aekpU0_normal.jpg</v>
      </c>
      <c r="G320" s="62"/>
      <c r="H320" s="66" t="s">
        <v>575</v>
      </c>
      <c r="I320" s="67"/>
      <c r="J320" s="67"/>
      <c r="K320" s="66" t="s">
        <v>3162</v>
      </c>
      <c r="L320" s="70">
        <v>1</v>
      </c>
      <c r="M320" s="71">
        <v>862.0221557617188</v>
      </c>
      <c r="N320" s="71">
        <v>7772.99853515625</v>
      </c>
      <c r="O320" s="72"/>
      <c r="P320" s="73"/>
      <c r="Q320" s="73"/>
      <c r="R320" s="85"/>
      <c r="S320" s="45">
        <v>1</v>
      </c>
      <c r="T320" s="45">
        <v>0</v>
      </c>
      <c r="U320" s="46">
        <v>0</v>
      </c>
      <c r="V320" s="46">
        <v>0.085759</v>
      </c>
      <c r="W320" s="46">
        <v>0.111635</v>
      </c>
      <c r="X320" s="46">
        <v>0.002654</v>
      </c>
      <c r="Y320" s="46">
        <v>0</v>
      </c>
      <c r="Z320" s="46">
        <v>0</v>
      </c>
      <c r="AA320" s="68">
        <v>320</v>
      </c>
      <c r="AB320" s="68"/>
      <c r="AC320" s="69"/>
      <c r="AD320" s="75" t="s">
        <v>2152</v>
      </c>
      <c r="AE320" s="80" t="s">
        <v>2394</v>
      </c>
      <c r="AF320" s="75">
        <v>70</v>
      </c>
      <c r="AG320" s="75">
        <v>143152</v>
      </c>
      <c r="AH320" s="75">
        <v>10225</v>
      </c>
      <c r="AI320" s="75">
        <v>8129</v>
      </c>
      <c r="AJ320" s="75"/>
      <c r="AK320" s="75" t="s">
        <v>2674</v>
      </c>
      <c r="AL320" s="75" t="s">
        <v>2839</v>
      </c>
      <c r="AM320" s="82" t="str">
        <f>HYPERLINK("https://t.co/9z7QHbaPty")</f>
        <v>https://t.co/9z7QHbaPty</v>
      </c>
      <c r="AN320" s="75"/>
      <c r="AO320" s="77">
        <v>42007.86015046296</v>
      </c>
      <c r="AP320" s="82" t="str">
        <f>HYPERLINK("https://pbs.twimg.com/profile_banners/2959037001/1590093342")</f>
        <v>https://pbs.twimg.com/profile_banners/2959037001/1590093342</v>
      </c>
      <c r="AQ320" s="75" t="b">
        <v>0</v>
      </c>
      <c r="AR320" s="75" t="b">
        <v>0</v>
      </c>
      <c r="AS320" s="75" t="b">
        <v>0</v>
      </c>
      <c r="AT320" s="75"/>
      <c r="AU320" s="75">
        <v>1015</v>
      </c>
      <c r="AV320" s="82" t="str">
        <f>HYPERLINK("https://abs.twimg.com/images/themes/theme1/bg.png")</f>
        <v>https://abs.twimg.com/images/themes/theme1/bg.png</v>
      </c>
      <c r="AW320" s="75" t="b">
        <v>1</v>
      </c>
      <c r="AX320" s="75" t="s">
        <v>2845</v>
      </c>
      <c r="AY320" s="82" t="str">
        <f>HYPERLINK("https://twitter.com/melnykandrij")</f>
        <v>https://twitter.com/melnykandrij</v>
      </c>
      <c r="AZ320" s="75" t="s">
        <v>65</v>
      </c>
      <c r="BA320" s="75" t="str">
        <f>REPLACE(INDEX(GroupVertices[Group],MATCH(Vertices[[#This Row],[Vertex]],GroupVertices[Vertex],0)),1,1,"")</f>
        <v>1</v>
      </c>
      <c r="BB320" s="45"/>
      <c r="BC320" s="46"/>
      <c r="BD320" s="45"/>
      <c r="BE320" s="46"/>
      <c r="BF320" s="45"/>
      <c r="BG320" s="46"/>
      <c r="BH320" s="45"/>
      <c r="BI320" s="46"/>
      <c r="BJ320" s="45"/>
      <c r="BK320" s="45"/>
      <c r="BL320" s="45"/>
      <c r="BM320" s="45"/>
      <c r="BN320" s="45"/>
      <c r="BO320" s="45"/>
      <c r="BP320" s="45"/>
      <c r="BQ320" s="45"/>
      <c r="BR320" s="45"/>
      <c r="BS320" s="45"/>
      <c r="BT320" s="45"/>
      <c r="BU320" s="2"/>
    </row>
    <row r="321" spans="1:73" ht="15">
      <c r="A321" s="61" t="s">
        <v>576</v>
      </c>
      <c r="B321" s="62"/>
      <c r="C321" s="62"/>
      <c r="D321" s="63">
        <v>100</v>
      </c>
      <c r="E321" s="65"/>
      <c r="F321" s="99" t="str">
        <f>HYPERLINK("https://pbs.twimg.com/profile_images/1518891023908360192/4uCgTsyL_normal.jpg")</f>
        <v>https://pbs.twimg.com/profile_images/1518891023908360192/4uCgTsyL_normal.jpg</v>
      </c>
      <c r="G321" s="62"/>
      <c r="H321" s="66" t="s">
        <v>576</v>
      </c>
      <c r="I321" s="67"/>
      <c r="J321" s="67"/>
      <c r="K321" s="66" t="s">
        <v>3163</v>
      </c>
      <c r="L321" s="70">
        <v>1</v>
      </c>
      <c r="M321" s="71">
        <v>1008.31103515625</v>
      </c>
      <c r="N321" s="71">
        <v>7846.86767578125</v>
      </c>
      <c r="O321" s="72"/>
      <c r="P321" s="73"/>
      <c r="Q321" s="73"/>
      <c r="R321" s="85"/>
      <c r="S321" s="45">
        <v>1</v>
      </c>
      <c r="T321" s="45">
        <v>0</v>
      </c>
      <c r="U321" s="46">
        <v>0</v>
      </c>
      <c r="V321" s="46">
        <v>0.085759</v>
      </c>
      <c r="W321" s="46">
        <v>0.111635</v>
      </c>
      <c r="X321" s="46">
        <v>0.002654</v>
      </c>
      <c r="Y321" s="46">
        <v>0</v>
      </c>
      <c r="Z321" s="46">
        <v>0</v>
      </c>
      <c r="AA321" s="68">
        <v>321</v>
      </c>
      <c r="AB321" s="68"/>
      <c r="AC321" s="69"/>
      <c r="AD321" s="75" t="s">
        <v>2153</v>
      </c>
      <c r="AE321" s="80" t="s">
        <v>1761</v>
      </c>
      <c r="AF321" s="75">
        <v>632</v>
      </c>
      <c r="AG321" s="75">
        <v>72482</v>
      </c>
      <c r="AH321" s="75">
        <v>7438</v>
      </c>
      <c r="AI321" s="75">
        <v>939</v>
      </c>
      <c r="AJ321" s="75"/>
      <c r="AK321" s="75" t="s">
        <v>2675</v>
      </c>
      <c r="AL321" s="75" t="s">
        <v>2840</v>
      </c>
      <c r="AM321" s="82" t="str">
        <f>HYPERLINK("https://t.co/929YE4LXy2")</f>
        <v>https://t.co/929YE4LXy2</v>
      </c>
      <c r="AN321" s="75"/>
      <c r="AO321" s="77">
        <v>41530.50378472222</v>
      </c>
      <c r="AP321" s="82" t="str">
        <f>HYPERLINK("https://pbs.twimg.com/profile_banners/1860407786/1652364513")</f>
        <v>https://pbs.twimg.com/profile_banners/1860407786/1652364513</v>
      </c>
      <c r="AQ321" s="75" t="b">
        <v>0</v>
      </c>
      <c r="AR321" s="75" t="b">
        <v>0</v>
      </c>
      <c r="AS321" s="75" t="b">
        <v>0</v>
      </c>
      <c r="AT321" s="75"/>
      <c r="AU321" s="75">
        <v>457</v>
      </c>
      <c r="AV321" s="82" t="str">
        <f>HYPERLINK("https://abs.twimg.com/images/themes/theme15/bg.png")</f>
        <v>https://abs.twimg.com/images/themes/theme15/bg.png</v>
      </c>
      <c r="AW321" s="75" t="b">
        <v>1</v>
      </c>
      <c r="AX321" s="75" t="s">
        <v>2845</v>
      </c>
      <c r="AY321" s="82" t="str">
        <f>HYPERLINK("https://twitter.com/maischberger")</f>
        <v>https://twitter.com/maischberger</v>
      </c>
      <c r="AZ321" s="75" t="s">
        <v>65</v>
      </c>
      <c r="BA321" s="75" t="str">
        <f>REPLACE(INDEX(GroupVertices[Group],MATCH(Vertices[[#This Row],[Vertex]],GroupVertices[Vertex],0)),1,1,"")</f>
        <v>1</v>
      </c>
      <c r="BB321" s="45"/>
      <c r="BC321" s="46"/>
      <c r="BD321" s="45"/>
      <c r="BE321" s="46"/>
      <c r="BF321" s="45"/>
      <c r="BG321" s="46"/>
      <c r="BH321" s="45"/>
      <c r="BI321" s="46"/>
      <c r="BJ321" s="45"/>
      <c r="BK321" s="45"/>
      <c r="BL321" s="45"/>
      <c r="BM321" s="45"/>
      <c r="BN321" s="45"/>
      <c r="BO321" s="45"/>
      <c r="BP321" s="45"/>
      <c r="BQ321" s="45"/>
      <c r="BR321" s="45"/>
      <c r="BS321" s="45"/>
      <c r="BT321" s="45"/>
      <c r="BU321" s="2"/>
    </row>
    <row r="322" spans="1:73" ht="15">
      <c r="A322" s="61" t="s">
        <v>577</v>
      </c>
      <c r="B322" s="62"/>
      <c r="C322" s="62"/>
      <c r="D322" s="63">
        <v>100</v>
      </c>
      <c r="E322" s="65"/>
      <c r="F322" s="99" t="str">
        <f>HYPERLINK("https://pbs.twimg.com/profile_images/1526917427543539713/ymw7B_Dq_normal.jpg")</f>
        <v>https://pbs.twimg.com/profile_images/1526917427543539713/ymw7B_Dq_normal.jpg</v>
      </c>
      <c r="G322" s="62"/>
      <c r="H322" s="66" t="s">
        <v>577</v>
      </c>
      <c r="I322" s="67"/>
      <c r="J322" s="67"/>
      <c r="K322" s="66" t="s">
        <v>3164</v>
      </c>
      <c r="L322" s="70">
        <v>1</v>
      </c>
      <c r="M322" s="71">
        <v>789.6162109375</v>
      </c>
      <c r="N322" s="71">
        <v>8143.1396484375</v>
      </c>
      <c r="O322" s="72"/>
      <c r="P322" s="73"/>
      <c r="Q322" s="73"/>
      <c r="R322" s="85"/>
      <c r="S322" s="45">
        <v>1</v>
      </c>
      <c r="T322" s="45">
        <v>0</v>
      </c>
      <c r="U322" s="46">
        <v>0</v>
      </c>
      <c r="V322" s="46">
        <v>0.085759</v>
      </c>
      <c r="W322" s="46">
        <v>0.111635</v>
      </c>
      <c r="X322" s="46">
        <v>0.002654</v>
      </c>
      <c r="Y322" s="46">
        <v>0</v>
      </c>
      <c r="Z322" s="46">
        <v>0</v>
      </c>
      <c r="AA322" s="68">
        <v>322</v>
      </c>
      <c r="AB322" s="68"/>
      <c r="AC322" s="69"/>
      <c r="AD322" s="75" t="s">
        <v>2154</v>
      </c>
      <c r="AE322" s="80" t="s">
        <v>1762</v>
      </c>
      <c r="AF322" s="75">
        <v>563</v>
      </c>
      <c r="AG322" s="75">
        <v>244135</v>
      </c>
      <c r="AH322" s="75">
        <v>1710</v>
      </c>
      <c r="AI322" s="75">
        <v>946</v>
      </c>
      <c r="AJ322" s="75"/>
      <c r="AK322" s="75" t="s">
        <v>2676</v>
      </c>
      <c r="AL322" s="75" t="s">
        <v>2718</v>
      </c>
      <c r="AM322" s="82" t="str">
        <f>HYPERLINK("https://t.co/DnqZZ9vN44")</f>
        <v>https://t.co/DnqZZ9vN44</v>
      </c>
      <c r="AN322" s="75"/>
      <c r="AO322" s="77">
        <v>43409.44679398148</v>
      </c>
      <c r="AP322" s="82" t="str">
        <f>HYPERLINK("https://pbs.twimg.com/profile_banners/1059395748289232896/1662628993")</f>
        <v>https://pbs.twimg.com/profile_banners/1059395748289232896/1662628993</v>
      </c>
      <c r="AQ322" s="75" t="b">
        <v>0</v>
      </c>
      <c r="AR322" s="75" t="b">
        <v>0</v>
      </c>
      <c r="AS322" s="75" t="b">
        <v>1</v>
      </c>
      <c r="AT322" s="75"/>
      <c r="AU322" s="75">
        <v>954</v>
      </c>
      <c r="AV322" s="82" t="str">
        <f>HYPERLINK("https://abs.twimg.com/images/themes/theme1/bg.png")</f>
        <v>https://abs.twimg.com/images/themes/theme1/bg.png</v>
      </c>
      <c r="AW322" s="75" t="b">
        <v>1</v>
      </c>
      <c r="AX322" s="75" t="s">
        <v>2845</v>
      </c>
      <c r="AY322" s="82" t="str">
        <f>HYPERLINK("https://twitter.com/_friedrichmerz")</f>
        <v>https://twitter.com/_friedrichmerz</v>
      </c>
      <c r="AZ322" s="75" t="s">
        <v>65</v>
      </c>
      <c r="BA322" s="75" t="str">
        <f>REPLACE(INDEX(GroupVertices[Group],MATCH(Vertices[[#This Row],[Vertex]],GroupVertices[Vertex],0)),1,1,"")</f>
        <v>1</v>
      </c>
      <c r="BB322" s="45"/>
      <c r="BC322" s="46"/>
      <c r="BD322" s="45"/>
      <c r="BE322" s="46"/>
      <c r="BF322" s="45"/>
      <c r="BG322" s="46"/>
      <c r="BH322" s="45"/>
      <c r="BI322" s="46"/>
      <c r="BJ322" s="45"/>
      <c r="BK322" s="45"/>
      <c r="BL322" s="45"/>
      <c r="BM322" s="45"/>
      <c r="BN322" s="45"/>
      <c r="BO322" s="45"/>
      <c r="BP322" s="45"/>
      <c r="BQ322" s="45"/>
      <c r="BR322" s="45"/>
      <c r="BS322" s="45"/>
      <c r="BT322" s="45"/>
      <c r="BU322" s="2"/>
    </row>
    <row r="323" spans="1:73" ht="15">
      <c r="A323" s="61" t="s">
        <v>578</v>
      </c>
      <c r="B323" s="62"/>
      <c r="C323" s="62"/>
      <c r="D323" s="63">
        <v>100</v>
      </c>
      <c r="E323" s="65"/>
      <c r="F323" s="99" t="str">
        <f>HYPERLINK("https://pbs.twimg.com/profile_images/775627854293954561/Y4iLEu_V_normal.jpg")</f>
        <v>https://pbs.twimg.com/profile_images/775627854293954561/Y4iLEu_V_normal.jpg</v>
      </c>
      <c r="G323" s="62"/>
      <c r="H323" s="66" t="s">
        <v>578</v>
      </c>
      <c r="I323" s="67"/>
      <c r="J323" s="67"/>
      <c r="K323" s="66" t="s">
        <v>3165</v>
      </c>
      <c r="L323" s="70">
        <v>1</v>
      </c>
      <c r="M323" s="71">
        <v>353.7345275878906</v>
      </c>
      <c r="N323" s="71">
        <v>7043.2548828125</v>
      </c>
      <c r="O323" s="72"/>
      <c r="P323" s="73"/>
      <c r="Q323" s="73"/>
      <c r="R323" s="85"/>
      <c r="S323" s="45">
        <v>1</v>
      </c>
      <c r="T323" s="45">
        <v>0</v>
      </c>
      <c r="U323" s="46">
        <v>0</v>
      </c>
      <c r="V323" s="46">
        <v>0.085759</v>
      </c>
      <c r="W323" s="46">
        <v>0.111635</v>
      </c>
      <c r="X323" s="46">
        <v>0.002654</v>
      </c>
      <c r="Y323" s="46">
        <v>0</v>
      </c>
      <c r="Z323" s="46">
        <v>0</v>
      </c>
      <c r="AA323" s="68">
        <v>323</v>
      </c>
      <c r="AB323" s="68"/>
      <c r="AC323" s="69"/>
      <c r="AD323" s="75" t="s">
        <v>2155</v>
      </c>
      <c r="AE323" s="80" t="s">
        <v>1763</v>
      </c>
      <c r="AF323" s="75">
        <v>273</v>
      </c>
      <c r="AG323" s="75">
        <v>1786151</v>
      </c>
      <c r="AH323" s="75">
        <v>552584</v>
      </c>
      <c r="AI323" s="75">
        <v>2087</v>
      </c>
      <c r="AJ323" s="75"/>
      <c r="AK323" s="75" t="s">
        <v>2677</v>
      </c>
      <c r="AL323" s="75" t="s">
        <v>2740</v>
      </c>
      <c r="AM323" s="82" t="str">
        <f>HYPERLINK("https://t.co/rHlq69bMgw")</f>
        <v>https://t.co/rHlq69bMgw</v>
      </c>
      <c r="AN323" s="75"/>
      <c r="AO323" s="77">
        <v>39332.42811342593</v>
      </c>
      <c r="AP323" s="82" t="str">
        <f>HYPERLINK("https://pbs.twimg.com/profile_banners/8720562/1610712960")</f>
        <v>https://pbs.twimg.com/profile_banners/8720562/1610712960</v>
      </c>
      <c r="AQ323" s="75" t="b">
        <v>0</v>
      </c>
      <c r="AR323" s="75" t="b">
        <v>0</v>
      </c>
      <c r="AS323" s="75" t="b">
        <v>1</v>
      </c>
      <c r="AT323" s="75"/>
      <c r="AU323" s="75">
        <v>7944</v>
      </c>
      <c r="AV323" s="82" t="str">
        <f>HYPERLINK("https://abs.twimg.com/images/themes/theme1/bg.png")</f>
        <v>https://abs.twimg.com/images/themes/theme1/bg.png</v>
      </c>
      <c r="AW323" s="75" t="b">
        <v>1</v>
      </c>
      <c r="AX323" s="75" t="s">
        <v>2845</v>
      </c>
      <c r="AY323" s="82" t="str">
        <f>HYPERLINK("https://twitter.com/welt")</f>
        <v>https://twitter.com/welt</v>
      </c>
      <c r="AZ323" s="75" t="s">
        <v>65</v>
      </c>
      <c r="BA323" s="75" t="str">
        <f>REPLACE(INDEX(GroupVertices[Group],MATCH(Vertices[[#This Row],[Vertex]],GroupVertices[Vertex],0)),1,1,"")</f>
        <v>1</v>
      </c>
      <c r="BB323" s="45"/>
      <c r="BC323" s="46"/>
      <c r="BD323" s="45"/>
      <c r="BE323" s="46"/>
      <c r="BF323" s="45"/>
      <c r="BG323" s="46"/>
      <c r="BH323" s="45"/>
      <c r="BI323" s="46"/>
      <c r="BJ323" s="45"/>
      <c r="BK323" s="45"/>
      <c r="BL323" s="45"/>
      <c r="BM323" s="45"/>
      <c r="BN323" s="45"/>
      <c r="BO323" s="45"/>
      <c r="BP323" s="45"/>
      <c r="BQ323" s="45"/>
      <c r="BR323" s="45"/>
      <c r="BS323" s="45"/>
      <c r="BT323" s="45"/>
      <c r="BU323" s="2"/>
    </row>
    <row r="324" spans="1:73" ht="15">
      <c r="A324" s="61" t="s">
        <v>579</v>
      </c>
      <c r="B324" s="62"/>
      <c r="C324" s="62"/>
      <c r="D324" s="63">
        <v>100</v>
      </c>
      <c r="E324" s="65"/>
      <c r="F324" s="99" t="str">
        <f>HYPERLINK("https://pbs.twimg.com/profile_images/1416428565697028102/fmJRr-OX_normal.jpg")</f>
        <v>https://pbs.twimg.com/profile_images/1416428565697028102/fmJRr-OX_normal.jpg</v>
      </c>
      <c r="G324" s="62"/>
      <c r="H324" s="66" t="s">
        <v>579</v>
      </c>
      <c r="I324" s="67"/>
      <c r="J324" s="67"/>
      <c r="K324" s="66" t="s">
        <v>3166</v>
      </c>
      <c r="L324" s="70">
        <v>1</v>
      </c>
      <c r="M324" s="71">
        <v>615.841796875</v>
      </c>
      <c r="N324" s="71">
        <v>7620.67236328125</v>
      </c>
      <c r="O324" s="72"/>
      <c r="P324" s="73"/>
      <c r="Q324" s="73"/>
      <c r="R324" s="85"/>
      <c r="S324" s="45">
        <v>1</v>
      </c>
      <c r="T324" s="45">
        <v>0</v>
      </c>
      <c r="U324" s="46">
        <v>0</v>
      </c>
      <c r="V324" s="46">
        <v>0.085759</v>
      </c>
      <c r="W324" s="46">
        <v>0.111635</v>
      </c>
      <c r="X324" s="46">
        <v>0.002654</v>
      </c>
      <c r="Y324" s="46">
        <v>0</v>
      </c>
      <c r="Z324" s="46">
        <v>0</v>
      </c>
      <c r="AA324" s="68">
        <v>324</v>
      </c>
      <c r="AB324" s="68"/>
      <c r="AC324" s="69"/>
      <c r="AD324" s="75" t="s">
        <v>2156</v>
      </c>
      <c r="AE324" s="80" t="s">
        <v>1764</v>
      </c>
      <c r="AF324" s="75">
        <v>884</v>
      </c>
      <c r="AG324" s="75">
        <v>10336</v>
      </c>
      <c r="AH324" s="75">
        <v>51971</v>
      </c>
      <c r="AI324" s="75">
        <v>184536</v>
      </c>
      <c r="AJ324" s="75"/>
      <c r="AK324" s="75" t="s">
        <v>2678</v>
      </c>
      <c r="AL324" s="75" t="s">
        <v>2841</v>
      </c>
      <c r="AM324" s="82" t="str">
        <f>HYPERLINK("https://t.co/lya4RWFxov")</f>
        <v>https://t.co/lya4RWFxov</v>
      </c>
      <c r="AN324" s="75"/>
      <c r="AO324" s="77">
        <v>40063.49605324074</v>
      </c>
      <c r="AP324" s="82" t="str">
        <f>HYPERLINK("https://pbs.twimg.com/profile_banners/72265312/1624222124")</f>
        <v>https://pbs.twimg.com/profile_banners/72265312/1624222124</v>
      </c>
      <c r="AQ324" s="75" t="b">
        <v>0</v>
      </c>
      <c r="AR324" s="75" t="b">
        <v>0</v>
      </c>
      <c r="AS324" s="75" t="b">
        <v>1</v>
      </c>
      <c r="AT324" s="75"/>
      <c r="AU324" s="75">
        <v>111</v>
      </c>
      <c r="AV324" s="82" t="str">
        <f>HYPERLINK("https://abs.twimg.com/images/themes/theme1/bg.png")</f>
        <v>https://abs.twimg.com/images/themes/theme1/bg.png</v>
      </c>
      <c r="AW324" s="75" t="b">
        <v>0</v>
      </c>
      <c r="AX324" s="75" t="s">
        <v>2845</v>
      </c>
      <c r="AY324" s="82" t="str">
        <f>HYPERLINK("https://twitter.com/stagerbn")</f>
        <v>https://twitter.com/stagerbn</v>
      </c>
      <c r="AZ324" s="75" t="s">
        <v>65</v>
      </c>
      <c r="BA324" s="75" t="str">
        <f>REPLACE(INDEX(GroupVertices[Group],MATCH(Vertices[[#This Row],[Vertex]],GroupVertices[Vertex],0)),1,1,"")</f>
        <v>1</v>
      </c>
      <c r="BB324" s="45"/>
      <c r="BC324" s="46"/>
      <c r="BD324" s="45"/>
      <c r="BE324" s="46"/>
      <c r="BF324" s="45"/>
      <c r="BG324" s="46"/>
      <c r="BH324" s="45"/>
      <c r="BI324" s="46"/>
      <c r="BJ324" s="45"/>
      <c r="BK324" s="45"/>
      <c r="BL324" s="45"/>
      <c r="BM324" s="45"/>
      <c r="BN324" s="45"/>
      <c r="BO324" s="45"/>
      <c r="BP324" s="45"/>
      <c r="BQ324" s="45"/>
      <c r="BR324" s="45"/>
      <c r="BS324" s="45"/>
      <c r="BT324" s="45"/>
      <c r="BU324" s="2"/>
    </row>
    <row r="325" spans="1:73" ht="15">
      <c r="A325" s="61" t="s">
        <v>580</v>
      </c>
      <c r="B325" s="62"/>
      <c r="C325" s="62"/>
      <c r="D325" s="63">
        <v>100</v>
      </c>
      <c r="E325" s="65"/>
      <c r="F325" s="99" t="str">
        <f>HYPERLINK("https://pbs.twimg.com/profile_images/1552365491104382977/Lsj1gANS_normal.png")</f>
        <v>https://pbs.twimg.com/profile_images/1552365491104382977/Lsj1gANS_normal.png</v>
      </c>
      <c r="G325" s="62"/>
      <c r="H325" s="66" t="s">
        <v>580</v>
      </c>
      <c r="I325" s="67"/>
      <c r="J325" s="67"/>
      <c r="K325" s="66" t="s">
        <v>3167</v>
      </c>
      <c r="L325" s="70">
        <v>1</v>
      </c>
      <c r="M325" s="71">
        <v>434.4273986816406</v>
      </c>
      <c r="N325" s="71">
        <v>6785.31494140625</v>
      </c>
      <c r="O325" s="72"/>
      <c r="P325" s="73"/>
      <c r="Q325" s="73"/>
      <c r="R325" s="85"/>
      <c r="S325" s="45">
        <v>1</v>
      </c>
      <c r="T325" s="45">
        <v>0</v>
      </c>
      <c r="U325" s="46">
        <v>0</v>
      </c>
      <c r="V325" s="46">
        <v>0.085759</v>
      </c>
      <c r="W325" s="46">
        <v>0.111635</v>
      </c>
      <c r="X325" s="46">
        <v>0.002654</v>
      </c>
      <c r="Y325" s="46">
        <v>0</v>
      </c>
      <c r="Z325" s="46">
        <v>0</v>
      </c>
      <c r="AA325" s="68">
        <v>325</v>
      </c>
      <c r="AB325" s="68"/>
      <c r="AC325" s="69"/>
      <c r="AD325" s="75" t="s">
        <v>2157</v>
      </c>
      <c r="AE325" s="80" t="s">
        <v>1765</v>
      </c>
      <c r="AF325" s="75">
        <v>108</v>
      </c>
      <c r="AG325" s="75">
        <v>671770</v>
      </c>
      <c r="AH325" s="75">
        <v>280680</v>
      </c>
      <c r="AI325" s="75">
        <v>4413</v>
      </c>
      <c r="AJ325" s="75"/>
      <c r="AK325" s="75" t="s">
        <v>2679</v>
      </c>
      <c r="AL325" s="75" t="s">
        <v>2718</v>
      </c>
      <c r="AM325" s="82" t="str">
        <f>HYPERLINK("https://t.co/VEGgqKGQaV")</f>
        <v>https://t.co/VEGgqKGQaV</v>
      </c>
      <c r="AN325" s="75"/>
      <c r="AO325" s="77">
        <v>39197.46943287037</v>
      </c>
      <c r="AP325" s="82" t="str">
        <f>HYPERLINK("https://pbs.twimg.com/profile_banners/5494392/1658947750")</f>
        <v>https://pbs.twimg.com/profile_banners/5494392/1658947750</v>
      </c>
      <c r="AQ325" s="75" t="b">
        <v>0</v>
      </c>
      <c r="AR325" s="75" t="b">
        <v>0</v>
      </c>
      <c r="AS325" s="75" t="b">
        <v>1</v>
      </c>
      <c r="AT325" s="75"/>
      <c r="AU325" s="75">
        <v>2541</v>
      </c>
      <c r="AV325" s="82" t="str">
        <f>HYPERLINK("https://abs.twimg.com/images/themes/theme1/bg.png")</f>
        <v>https://abs.twimg.com/images/themes/theme1/bg.png</v>
      </c>
      <c r="AW325" s="75" t="b">
        <v>1</v>
      </c>
      <c r="AX325" s="75" t="s">
        <v>2845</v>
      </c>
      <c r="AY325" s="82" t="str">
        <f>HYPERLINK("https://twitter.com/focusonline")</f>
        <v>https://twitter.com/focusonline</v>
      </c>
      <c r="AZ325" s="75" t="s">
        <v>65</v>
      </c>
      <c r="BA325" s="75" t="str">
        <f>REPLACE(INDEX(GroupVertices[Group],MATCH(Vertices[[#This Row],[Vertex]],GroupVertices[Vertex],0)),1,1,"")</f>
        <v>1</v>
      </c>
      <c r="BB325" s="45"/>
      <c r="BC325" s="46"/>
      <c r="BD325" s="45"/>
      <c r="BE325" s="46"/>
      <c r="BF325" s="45"/>
      <c r="BG325" s="46"/>
      <c r="BH325" s="45"/>
      <c r="BI325" s="46"/>
      <c r="BJ325" s="45"/>
      <c r="BK325" s="45"/>
      <c r="BL325" s="45"/>
      <c r="BM325" s="45"/>
      <c r="BN325" s="45"/>
      <c r="BO325" s="45"/>
      <c r="BP325" s="45"/>
      <c r="BQ325" s="45"/>
      <c r="BR325" s="45"/>
      <c r="BS325" s="45"/>
      <c r="BT325" s="45"/>
      <c r="BU325" s="2"/>
    </row>
    <row r="326" spans="1:73" ht="15">
      <c r="A326" s="61" t="s">
        <v>581</v>
      </c>
      <c r="B326" s="62"/>
      <c r="C326" s="62"/>
      <c r="D326" s="63">
        <v>100</v>
      </c>
      <c r="E326" s="65"/>
      <c r="F326" s="99" t="str">
        <f>HYPERLINK("https://pbs.twimg.com/profile_images/1562721815620984832/WqJQY0EN_normal.jpg")</f>
        <v>https://pbs.twimg.com/profile_images/1562721815620984832/WqJQY0EN_normal.jpg</v>
      </c>
      <c r="G326" s="62"/>
      <c r="H326" s="66" t="s">
        <v>581</v>
      </c>
      <c r="I326" s="67"/>
      <c r="J326" s="67"/>
      <c r="K326" s="66" t="s">
        <v>3168</v>
      </c>
      <c r="L326" s="70">
        <v>1</v>
      </c>
      <c r="M326" s="71">
        <v>477.0833435058594</v>
      </c>
      <c r="N326" s="71">
        <v>7816.43896484375</v>
      </c>
      <c r="O326" s="72"/>
      <c r="P326" s="73"/>
      <c r="Q326" s="73"/>
      <c r="R326" s="85"/>
      <c r="S326" s="45">
        <v>1</v>
      </c>
      <c r="T326" s="45">
        <v>0</v>
      </c>
      <c r="U326" s="46">
        <v>0</v>
      </c>
      <c r="V326" s="46">
        <v>0.085759</v>
      </c>
      <c r="W326" s="46">
        <v>0.111635</v>
      </c>
      <c r="X326" s="46">
        <v>0.002654</v>
      </c>
      <c r="Y326" s="46">
        <v>0</v>
      </c>
      <c r="Z326" s="46">
        <v>0</v>
      </c>
      <c r="AA326" s="68">
        <v>326</v>
      </c>
      <c r="AB326" s="68"/>
      <c r="AC326" s="69"/>
      <c r="AD326" s="75" t="s">
        <v>2158</v>
      </c>
      <c r="AE326" s="80" t="s">
        <v>1766</v>
      </c>
      <c r="AF326" s="75">
        <v>1605</v>
      </c>
      <c r="AG326" s="75">
        <v>60992</v>
      </c>
      <c r="AH326" s="75">
        <v>19433</v>
      </c>
      <c r="AI326" s="75">
        <v>14554</v>
      </c>
      <c r="AJ326" s="75"/>
      <c r="AK326" s="75" t="s">
        <v>2680</v>
      </c>
      <c r="AL326" s="75"/>
      <c r="AM326" s="82" t="str">
        <f>HYPERLINK("https://t.co/87I3eSRP7w")</f>
        <v>https://t.co/87I3eSRP7w</v>
      </c>
      <c r="AN326" s="75"/>
      <c r="AO326" s="77">
        <v>41297.6584375</v>
      </c>
      <c r="AP326" s="82" t="str">
        <f>HYPERLINK("https://pbs.twimg.com/profile_banners/1114675538/1661416901")</f>
        <v>https://pbs.twimg.com/profile_banners/1114675538/1661416901</v>
      </c>
      <c r="AQ326" s="75" t="b">
        <v>1</v>
      </c>
      <c r="AR326" s="75" t="b">
        <v>0</v>
      </c>
      <c r="AS326" s="75" t="b">
        <v>1</v>
      </c>
      <c r="AT326" s="75"/>
      <c r="AU326" s="75">
        <v>825</v>
      </c>
      <c r="AV326" s="82" t="str">
        <f>HYPERLINK("https://abs.twimg.com/images/themes/theme1/bg.png")</f>
        <v>https://abs.twimg.com/images/themes/theme1/bg.png</v>
      </c>
      <c r="AW326" s="75" t="b">
        <v>1</v>
      </c>
      <c r="AX326" s="75" t="s">
        <v>2845</v>
      </c>
      <c r="AY326" s="82" t="str">
        <f>HYPERLINK("https://twitter.com/miro_spd")</f>
        <v>https://twitter.com/miro_spd</v>
      </c>
      <c r="AZ326" s="75" t="s">
        <v>65</v>
      </c>
      <c r="BA326" s="75" t="str">
        <f>REPLACE(INDEX(GroupVertices[Group],MATCH(Vertices[[#This Row],[Vertex]],GroupVertices[Vertex],0)),1,1,"")</f>
        <v>1</v>
      </c>
      <c r="BB326" s="45"/>
      <c r="BC326" s="46"/>
      <c r="BD326" s="45"/>
      <c r="BE326" s="46"/>
      <c r="BF326" s="45"/>
      <c r="BG326" s="46"/>
      <c r="BH326" s="45"/>
      <c r="BI326" s="46"/>
      <c r="BJ326" s="45"/>
      <c r="BK326" s="45"/>
      <c r="BL326" s="45"/>
      <c r="BM326" s="45"/>
      <c r="BN326" s="45"/>
      <c r="BO326" s="45"/>
      <c r="BP326" s="45"/>
      <c r="BQ326" s="45"/>
      <c r="BR326" s="45"/>
      <c r="BS326" s="45"/>
      <c r="BT326" s="45"/>
      <c r="BU326" s="2"/>
    </row>
    <row r="327" spans="1:73" ht="15">
      <c r="A327" s="61" t="s">
        <v>582</v>
      </c>
      <c r="B327" s="62"/>
      <c r="C327" s="62"/>
      <c r="D327" s="63">
        <v>100</v>
      </c>
      <c r="E327" s="65"/>
      <c r="F327" s="99" t="str">
        <f>HYPERLINK("https://pbs.twimg.com/profile_images/1429670575312707589/nhVXMh47_normal.jpg")</f>
        <v>https://pbs.twimg.com/profile_images/1429670575312707589/nhVXMh47_normal.jpg</v>
      </c>
      <c r="G327" s="62"/>
      <c r="H327" s="66" t="s">
        <v>582</v>
      </c>
      <c r="I327" s="67"/>
      <c r="J327" s="67"/>
      <c r="K327" s="66" t="s">
        <v>3169</v>
      </c>
      <c r="L327" s="70">
        <v>1</v>
      </c>
      <c r="M327" s="71">
        <v>1021.12255859375</v>
      </c>
      <c r="N327" s="71">
        <v>8093.07861328125</v>
      </c>
      <c r="O327" s="72"/>
      <c r="P327" s="73"/>
      <c r="Q327" s="73"/>
      <c r="R327" s="85"/>
      <c r="S327" s="45">
        <v>1</v>
      </c>
      <c r="T327" s="45">
        <v>0</v>
      </c>
      <c r="U327" s="46">
        <v>0</v>
      </c>
      <c r="V327" s="46">
        <v>0.085759</v>
      </c>
      <c r="W327" s="46">
        <v>0.111635</v>
      </c>
      <c r="X327" s="46">
        <v>0.002654</v>
      </c>
      <c r="Y327" s="46">
        <v>0</v>
      </c>
      <c r="Z327" s="46">
        <v>0</v>
      </c>
      <c r="AA327" s="68">
        <v>327</v>
      </c>
      <c r="AB327" s="68"/>
      <c r="AC327" s="69"/>
      <c r="AD327" s="75" t="s">
        <v>2159</v>
      </c>
      <c r="AE327" s="80" t="s">
        <v>2395</v>
      </c>
      <c r="AF327" s="75">
        <v>84</v>
      </c>
      <c r="AG327" s="75">
        <v>108972</v>
      </c>
      <c r="AH327" s="75">
        <v>1666</v>
      </c>
      <c r="AI327" s="75">
        <v>303</v>
      </c>
      <c r="AJ327" s="75"/>
      <c r="AK327" s="75" t="s">
        <v>2681</v>
      </c>
      <c r="AL327" s="75" t="s">
        <v>2819</v>
      </c>
      <c r="AM327" s="75"/>
      <c r="AN327" s="75"/>
      <c r="AO327" s="77">
        <v>43903.65894675926</v>
      </c>
      <c r="AP327" s="82" t="str">
        <f>HYPERLINK("https://pbs.twimg.com/profile_banners/1238492109897895937/1598163531")</f>
        <v>https://pbs.twimg.com/profile_banners/1238492109897895937/1598163531</v>
      </c>
      <c r="AQ327" s="75" t="b">
        <v>1</v>
      </c>
      <c r="AR327" s="75" t="b">
        <v>0</v>
      </c>
      <c r="AS327" s="75" t="b">
        <v>0</v>
      </c>
      <c r="AT327" s="75"/>
      <c r="AU327" s="75">
        <v>997</v>
      </c>
      <c r="AV327" s="75"/>
      <c r="AW327" s="75" t="b">
        <v>1</v>
      </c>
      <c r="AX327" s="75" t="s">
        <v>2845</v>
      </c>
      <c r="AY327" s="82" t="str">
        <f>HYPERLINK("https://twitter.com/denys_shmyhal")</f>
        <v>https://twitter.com/denys_shmyhal</v>
      </c>
      <c r="AZ327" s="75" t="s">
        <v>65</v>
      </c>
      <c r="BA327" s="75" t="str">
        <f>REPLACE(INDEX(GroupVertices[Group],MATCH(Vertices[[#This Row],[Vertex]],GroupVertices[Vertex],0)),1,1,"")</f>
        <v>1</v>
      </c>
      <c r="BB327" s="45"/>
      <c r="BC327" s="46"/>
      <c r="BD327" s="45"/>
      <c r="BE327" s="46"/>
      <c r="BF327" s="45"/>
      <c r="BG327" s="46"/>
      <c r="BH327" s="45"/>
      <c r="BI327" s="46"/>
      <c r="BJ327" s="45"/>
      <c r="BK327" s="45"/>
      <c r="BL327" s="45"/>
      <c r="BM327" s="45"/>
      <c r="BN327" s="45"/>
      <c r="BO327" s="45"/>
      <c r="BP327" s="45"/>
      <c r="BQ327" s="45"/>
      <c r="BR327" s="45"/>
      <c r="BS327" s="45"/>
      <c r="BT327" s="45"/>
      <c r="BU327" s="2"/>
    </row>
    <row r="328" spans="1:73" ht="15">
      <c r="A328" s="61" t="s">
        <v>583</v>
      </c>
      <c r="B328" s="62"/>
      <c r="C328" s="62"/>
      <c r="D328" s="63">
        <v>100</v>
      </c>
      <c r="E328" s="65"/>
      <c r="F328" s="99" t="str">
        <f>HYPERLINK("https://pbs.twimg.com/profile_images/1556715732523782149/R-Dzg3Eg_normal.jpg")</f>
        <v>https://pbs.twimg.com/profile_images/1556715732523782149/R-Dzg3Eg_normal.jpg</v>
      </c>
      <c r="G328" s="62"/>
      <c r="H328" s="66" t="s">
        <v>583</v>
      </c>
      <c r="I328" s="67"/>
      <c r="J328" s="67"/>
      <c r="K328" s="66" t="s">
        <v>3170</v>
      </c>
      <c r="L328" s="70">
        <v>1</v>
      </c>
      <c r="M328" s="71">
        <v>509.02545166015625</v>
      </c>
      <c r="N328" s="71">
        <v>7022.14501953125</v>
      </c>
      <c r="O328" s="72"/>
      <c r="P328" s="73"/>
      <c r="Q328" s="73"/>
      <c r="R328" s="85"/>
      <c r="S328" s="45">
        <v>1</v>
      </c>
      <c r="T328" s="45">
        <v>0</v>
      </c>
      <c r="U328" s="46">
        <v>0</v>
      </c>
      <c r="V328" s="46">
        <v>0.085759</v>
      </c>
      <c r="W328" s="46">
        <v>0.111635</v>
      </c>
      <c r="X328" s="46">
        <v>0.002654</v>
      </c>
      <c r="Y328" s="46">
        <v>0</v>
      </c>
      <c r="Z328" s="46">
        <v>0</v>
      </c>
      <c r="AA328" s="68">
        <v>328</v>
      </c>
      <c r="AB328" s="68"/>
      <c r="AC328" s="69"/>
      <c r="AD328" s="75" t="s">
        <v>2160</v>
      </c>
      <c r="AE328" s="80" t="s">
        <v>1768</v>
      </c>
      <c r="AF328" s="75">
        <v>228</v>
      </c>
      <c r="AG328" s="75">
        <v>26</v>
      </c>
      <c r="AH328" s="75">
        <v>5360</v>
      </c>
      <c r="AI328" s="75">
        <v>19358</v>
      </c>
      <c r="AJ328" s="75"/>
      <c r="AK328" s="75"/>
      <c r="AL328" s="75" t="s">
        <v>2842</v>
      </c>
      <c r="AM328" s="75"/>
      <c r="AN328" s="75"/>
      <c r="AO328" s="77">
        <v>40090.39900462963</v>
      </c>
      <c r="AP328" s="82" t="str">
        <f>HYPERLINK("https://pbs.twimg.com/profile_banners/79695689/1660853158")</f>
        <v>https://pbs.twimg.com/profile_banners/79695689/1660853158</v>
      </c>
      <c r="AQ328" s="75" t="b">
        <v>1</v>
      </c>
      <c r="AR328" s="75" t="b">
        <v>0</v>
      </c>
      <c r="AS328" s="75" t="b">
        <v>0</v>
      </c>
      <c r="AT328" s="75"/>
      <c r="AU328" s="75">
        <v>0</v>
      </c>
      <c r="AV328" s="82" t="str">
        <f>HYPERLINK("https://abs.twimg.com/images/themes/theme1/bg.png")</f>
        <v>https://abs.twimg.com/images/themes/theme1/bg.png</v>
      </c>
      <c r="AW328" s="75" t="b">
        <v>0</v>
      </c>
      <c r="AX328" s="75" t="s">
        <v>2845</v>
      </c>
      <c r="AY328" s="82" t="str">
        <f>HYPERLINK("https://twitter.com/smartdecoro")</f>
        <v>https://twitter.com/smartdecoro</v>
      </c>
      <c r="AZ328" s="75" t="s">
        <v>65</v>
      </c>
      <c r="BA328" s="75" t="str">
        <f>REPLACE(INDEX(GroupVertices[Group],MATCH(Vertices[[#This Row],[Vertex]],GroupVertices[Vertex],0)),1,1,"")</f>
        <v>1</v>
      </c>
      <c r="BB328" s="45"/>
      <c r="BC328" s="46"/>
      <c r="BD328" s="45"/>
      <c r="BE328" s="46"/>
      <c r="BF328" s="45"/>
      <c r="BG328" s="46"/>
      <c r="BH328" s="45"/>
      <c r="BI328" s="46"/>
      <c r="BJ328" s="45"/>
      <c r="BK328" s="45"/>
      <c r="BL328" s="45"/>
      <c r="BM328" s="45"/>
      <c r="BN328" s="45"/>
      <c r="BO328" s="45"/>
      <c r="BP328" s="45"/>
      <c r="BQ328" s="45"/>
      <c r="BR328" s="45"/>
      <c r="BS328" s="45"/>
      <c r="BT328" s="45"/>
      <c r="BU328" s="2"/>
    </row>
    <row r="329" spans="1:73" ht="15">
      <c r="A329" s="61" t="s">
        <v>584</v>
      </c>
      <c r="B329" s="62"/>
      <c r="C329" s="62"/>
      <c r="D329" s="63">
        <v>100</v>
      </c>
      <c r="E329" s="65"/>
      <c r="F329" s="99" t="str">
        <f>HYPERLINK("https://pbs.twimg.com/profile_images/531688614640365568/U84uXoIT_normal.png")</f>
        <v>https://pbs.twimg.com/profile_images/531688614640365568/U84uXoIT_normal.png</v>
      </c>
      <c r="G329" s="62"/>
      <c r="H329" s="66" t="s">
        <v>584</v>
      </c>
      <c r="I329" s="67"/>
      <c r="J329" s="67"/>
      <c r="K329" s="66" t="s">
        <v>3171</v>
      </c>
      <c r="L329" s="70">
        <v>1</v>
      </c>
      <c r="M329" s="71">
        <v>684.434326171875</v>
      </c>
      <c r="N329" s="71">
        <v>7913.2978515625</v>
      </c>
      <c r="O329" s="72"/>
      <c r="P329" s="73"/>
      <c r="Q329" s="73"/>
      <c r="R329" s="85"/>
      <c r="S329" s="45">
        <v>1</v>
      </c>
      <c r="T329" s="45">
        <v>0</v>
      </c>
      <c r="U329" s="46">
        <v>0</v>
      </c>
      <c r="V329" s="46">
        <v>0.085759</v>
      </c>
      <c r="W329" s="46">
        <v>0.111635</v>
      </c>
      <c r="X329" s="46">
        <v>0.002654</v>
      </c>
      <c r="Y329" s="46">
        <v>0</v>
      </c>
      <c r="Z329" s="46">
        <v>0</v>
      </c>
      <c r="AA329" s="68">
        <v>329</v>
      </c>
      <c r="AB329" s="68"/>
      <c r="AC329" s="69"/>
      <c r="AD329" s="75" t="s">
        <v>584</v>
      </c>
      <c r="AE329" s="80" t="s">
        <v>1769</v>
      </c>
      <c r="AF329" s="75">
        <v>325</v>
      </c>
      <c r="AG329" s="75">
        <v>3772599</v>
      </c>
      <c r="AH329" s="75">
        <v>233112</v>
      </c>
      <c r="AI329" s="75">
        <v>3511</v>
      </c>
      <c r="AJ329" s="75"/>
      <c r="AK329" s="75" t="s">
        <v>2682</v>
      </c>
      <c r="AL329" s="75" t="s">
        <v>2843</v>
      </c>
      <c r="AM329" s="82" t="str">
        <f>HYPERLINK("https://t.co/a6ctO2BwCG")</f>
        <v>https://t.co/a6ctO2BwCG</v>
      </c>
      <c r="AN329" s="75"/>
      <c r="AO329" s="77">
        <v>39205.36298611111</v>
      </c>
      <c r="AP329" s="82" t="str">
        <f>HYPERLINK("https://pbs.twimg.com/profile_banners/5734902/1619599201")</f>
        <v>https://pbs.twimg.com/profile_banners/5734902/1619599201</v>
      </c>
      <c r="AQ329" s="75" t="b">
        <v>0</v>
      </c>
      <c r="AR329" s="75" t="b">
        <v>0</v>
      </c>
      <c r="AS329" s="75" t="b">
        <v>1</v>
      </c>
      <c r="AT329" s="75"/>
      <c r="AU329" s="75">
        <v>10301</v>
      </c>
      <c r="AV329" s="82" t="str">
        <f>HYPERLINK("https://abs.twimg.com/images/themes/theme1/bg.png")</f>
        <v>https://abs.twimg.com/images/themes/theme1/bg.png</v>
      </c>
      <c r="AW329" s="75" t="b">
        <v>1</v>
      </c>
      <c r="AX329" s="75" t="s">
        <v>2845</v>
      </c>
      <c r="AY329" s="82" t="str">
        <f>HYPERLINK("https://twitter.com/tagesschau")</f>
        <v>https://twitter.com/tagesschau</v>
      </c>
      <c r="AZ329" s="75" t="s">
        <v>65</v>
      </c>
      <c r="BA329" s="75" t="str">
        <f>REPLACE(INDEX(GroupVertices[Group],MATCH(Vertices[[#This Row],[Vertex]],GroupVertices[Vertex],0)),1,1,"")</f>
        <v>1</v>
      </c>
      <c r="BB329" s="45"/>
      <c r="BC329" s="46"/>
      <c r="BD329" s="45"/>
      <c r="BE329" s="46"/>
      <c r="BF329" s="45"/>
      <c r="BG329" s="46"/>
      <c r="BH329" s="45"/>
      <c r="BI329" s="46"/>
      <c r="BJ329" s="45"/>
      <c r="BK329" s="45"/>
      <c r="BL329" s="45"/>
      <c r="BM329" s="45"/>
      <c r="BN329" s="45"/>
      <c r="BO329" s="45"/>
      <c r="BP329" s="45"/>
      <c r="BQ329" s="45"/>
      <c r="BR329" s="45"/>
      <c r="BS329" s="45"/>
      <c r="BT329" s="45"/>
      <c r="BU329" s="2"/>
    </row>
    <row r="330" spans="1:73" ht="15">
      <c r="A330" s="86" t="s">
        <v>429</v>
      </c>
      <c r="B330" s="87"/>
      <c r="C330" s="87"/>
      <c r="D330" s="88">
        <v>100</v>
      </c>
      <c r="E330" s="89"/>
      <c r="F330" s="100" t="str">
        <f>HYPERLINK("https://pbs.twimg.com/profile_images/1562847904611590144/NpHjdfpG_normal.jpg")</f>
        <v>https://pbs.twimg.com/profile_images/1562847904611590144/NpHjdfpG_normal.jpg</v>
      </c>
      <c r="G330" s="87"/>
      <c r="H330" s="90" t="s">
        <v>429</v>
      </c>
      <c r="I330" s="91"/>
      <c r="J330" s="91"/>
      <c r="K330" s="90" t="s">
        <v>3172</v>
      </c>
      <c r="L330" s="92">
        <v>1</v>
      </c>
      <c r="M330" s="93">
        <v>945.0274658203125</v>
      </c>
      <c r="N330" s="93">
        <v>2403.605712890625</v>
      </c>
      <c r="O330" s="94"/>
      <c r="P330" s="95"/>
      <c r="Q330" s="95"/>
      <c r="R330" s="96"/>
      <c r="S330" s="45">
        <v>1</v>
      </c>
      <c r="T330" s="45">
        <v>1</v>
      </c>
      <c r="U330" s="46">
        <v>0</v>
      </c>
      <c r="V330" s="46">
        <v>0</v>
      </c>
      <c r="W330" s="46">
        <v>0</v>
      </c>
      <c r="X330" s="46">
        <v>0.003049</v>
      </c>
      <c r="Y330" s="46">
        <v>0</v>
      </c>
      <c r="Z330" s="46">
        <v>0</v>
      </c>
      <c r="AA330" s="97">
        <v>330</v>
      </c>
      <c r="AB330" s="97"/>
      <c r="AC330" s="98"/>
      <c r="AD330" s="75" t="s">
        <v>2161</v>
      </c>
      <c r="AE330" s="80" t="s">
        <v>2396</v>
      </c>
      <c r="AF330" s="75">
        <v>68</v>
      </c>
      <c r="AG330" s="75">
        <v>7</v>
      </c>
      <c r="AH330" s="75">
        <v>250</v>
      </c>
      <c r="AI330" s="75">
        <v>72</v>
      </c>
      <c r="AJ330" s="75"/>
      <c r="AK330" s="75" t="s">
        <v>2683</v>
      </c>
      <c r="AL330" s="75" t="s">
        <v>2844</v>
      </c>
      <c r="AM330" s="75"/>
      <c r="AN330" s="75"/>
      <c r="AO330" s="77">
        <v>44794.473587962966</v>
      </c>
      <c r="AP330" s="82" t="str">
        <f>HYPERLINK("https://pbs.twimg.com/profile_banners/1561312600658526210/1661446983")</f>
        <v>https://pbs.twimg.com/profile_banners/1561312600658526210/1661446983</v>
      </c>
      <c r="AQ330" s="75" t="b">
        <v>1</v>
      </c>
      <c r="AR330" s="75" t="b">
        <v>0</v>
      </c>
      <c r="AS330" s="75" t="b">
        <v>0</v>
      </c>
      <c r="AT330" s="75"/>
      <c r="AU330" s="75">
        <v>0</v>
      </c>
      <c r="AV330" s="75"/>
      <c r="AW330" s="75" t="b">
        <v>0</v>
      </c>
      <c r="AX330" s="75" t="s">
        <v>2845</v>
      </c>
      <c r="AY330" s="82" t="str">
        <f>HYPERLINK("https://twitter.com/seekingreader")</f>
        <v>https://twitter.com/seekingreader</v>
      </c>
      <c r="AZ330" s="75" t="s">
        <v>66</v>
      </c>
      <c r="BA330" s="75" t="str">
        <f>REPLACE(INDEX(GroupVertices[Group],MATCH(Vertices[[#This Row],[Vertex]],GroupVertices[Vertex],0)),1,1,"")</f>
        <v>2</v>
      </c>
      <c r="BB330" s="45">
        <v>0</v>
      </c>
      <c r="BC330" s="46">
        <v>0</v>
      </c>
      <c r="BD330" s="45">
        <v>0</v>
      </c>
      <c r="BE330" s="46">
        <v>0</v>
      </c>
      <c r="BF330" s="45">
        <v>0</v>
      </c>
      <c r="BG330" s="46">
        <v>0</v>
      </c>
      <c r="BH330" s="45">
        <v>32</v>
      </c>
      <c r="BI330" s="46">
        <v>100</v>
      </c>
      <c r="BJ330" s="45">
        <v>32</v>
      </c>
      <c r="BK330" s="45"/>
      <c r="BL330" s="45"/>
      <c r="BM330" s="45"/>
      <c r="BN330" s="45"/>
      <c r="BO330" s="45" t="s">
        <v>894</v>
      </c>
      <c r="BP330" s="45" t="s">
        <v>894</v>
      </c>
      <c r="BQ330" s="110" t="s">
        <v>4537</v>
      </c>
      <c r="BR330" s="110" t="s">
        <v>4537</v>
      </c>
      <c r="BS330" s="110" t="s">
        <v>4651</v>
      </c>
      <c r="BT330" s="110" t="s">
        <v>4651</v>
      </c>
      <c r="BU330"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3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30"/>
    <dataValidation allowBlank="1" showInputMessage="1" promptTitle="Vertex Tooltip" prompt="Enter optional text that will pop up when the mouse is hovered over the vertex." errorTitle="Invalid Vertex Image Key" sqref="K3:K3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30"/>
    <dataValidation allowBlank="1" showInputMessage="1" promptTitle="Vertex Label Fill Color" prompt="To select an optional fill color for the Label shape, right-click and select Select Color on the right-click menu." sqref="I3:I330"/>
    <dataValidation allowBlank="1" showInputMessage="1" promptTitle="Vertex Image File" prompt="Enter the path to an image file.  Hover over the column header for examples." errorTitle="Invalid Vertex Image Key" sqref="F3:F330"/>
    <dataValidation allowBlank="1" showInputMessage="1" promptTitle="Vertex Color" prompt="To select an optional vertex color, right-click and select Select Color on the right-click menu." sqref="B3:B330"/>
    <dataValidation allowBlank="1" showInputMessage="1" promptTitle="Vertex Opacity" prompt="Enter an optional vertex opacity between 0 (transparent) and 100 (opaque)." errorTitle="Invalid Vertex Opacity" error="The optional vertex opacity must be a whole number between 0 and 10." sqref="E3:E330"/>
    <dataValidation type="list" allowBlank="1" showInputMessage="1" showErrorMessage="1" promptTitle="Vertex Shape" prompt="Select an optional vertex shape." errorTitle="Invalid Vertex Shape" error="You have entered an invalid vertex shape.  Try selecting from the drop-down list instead." sqref="C3:C3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30">
      <formula1>ValidVertexLabelPositions</formula1>
    </dataValidation>
    <dataValidation allowBlank="1" showInputMessage="1" showErrorMessage="1" promptTitle="Vertex Name" prompt="Enter the name of the vertex." sqref="A3:A33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3909</v>
      </c>
      <c r="Z2" s="50" t="s">
        <v>3910</v>
      </c>
      <c r="AA2" s="50" t="s">
        <v>3911</v>
      </c>
      <c r="AB2" s="50" t="s">
        <v>3912</v>
      </c>
      <c r="AC2" s="50" t="s">
        <v>3913</v>
      </c>
      <c r="AD2" s="50" t="s">
        <v>3914</v>
      </c>
      <c r="AE2" s="50" t="s">
        <v>3915</v>
      </c>
      <c r="AF2" s="50" t="s">
        <v>3916</v>
      </c>
      <c r="AG2" s="50" t="s">
        <v>3919</v>
      </c>
      <c r="AH2" s="7" t="s">
        <v>3997</v>
      </c>
      <c r="AI2" s="7" t="s">
        <v>4019</v>
      </c>
      <c r="AJ2" s="7" t="s">
        <v>4073</v>
      </c>
      <c r="AK2" s="7" t="s">
        <v>4101</v>
      </c>
      <c r="AL2" s="7" t="s">
        <v>4239</v>
      </c>
      <c r="AM2" s="7" t="s">
        <v>4291</v>
      </c>
      <c r="AN2" s="7" t="s">
        <v>4305</v>
      </c>
      <c r="AO2" s="7" t="s">
        <v>4332</v>
      </c>
    </row>
    <row r="3" spans="1:41" ht="15">
      <c r="A3" s="61" t="s">
        <v>3176</v>
      </c>
      <c r="B3" s="62" t="s">
        <v>3235</v>
      </c>
      <c r="C3" s="62" t="s">
        <v>56</v>
      </c>
      <c r="D3" s="11"/>
      <c r="E3" s="11"/>
      <c r="F3" s="12" t="s">
        <v>4697</v>
      </c>
      <c r="G3" s="60"/>
      <c r="H3" s="60"/>
      <c r="I3" s="74">
        <v>3</v>
      </c>
      <c r="J3" s="47"/>
      <c r="K3" s="45">
        <v>41</v>
      </c>
      <c r="L3" s="45">
        <v>41</v>
      </c>
      <c r="M3" s="45">
        <v>19</v>
      </c>
      <c r="N3" s="45">
        <v>60</v>
      </c>
      <c r="O3" s="45">
        <v>1</v>
      </c>
      <c r="P3" s="46">
        <v>0</v>
      </c>
      <c r="Q3" s="46">
        <v>0</v>
      </c>
      <c r="R3" s="45">
        <v>1</v>
      </c>
      <c r="S3" s="45">
        <v>0</v>
      </c>
      <c r="T3" s="45">
        <v>41</v>
      </c>
      <c r="U3" s="45">
        <v>60</v>
      </c>
      <c r="V3" s="45">
        <v>8</v>
      </c>
      <c r="W3" s="46">
        <v>3.038667</v>
      </c>
      <c r="X3" s="46">
        <v>0.028658536585365855</v>
      </c>
      <c r="Y3" s="45">
        <v>10</v>
      </c>
      <c r="Z3" s="46">
        <v>1.2642225031605563</v>
      </c>
      <c r="AA3" s="45">
        <v>30</v>
      </c>
      <c r="AB3" s="46">
        <v>3.7926675094816686</v>
      </c>
      <c r="AC3" s="45">
        <v>0</v>
      </c>
      <c r="AD3" s="46">
        <v>0</v>
      </c>
      <c r="AE3" s="45">
        <v>751</v>
      </c>
      <c r="AF3" s="46">
        <v>94.94310998735777</v>
      </c>
      <c r="AG3" s="45">
        <v>791</v>
      </c>
      <c r="AH3" s="75" t="s">
        <v>3998</v>
      </c>
      <c r="AI3" s="75" t="s">
        <v>4020</v>
      </c>
      <c r="AJ3" s="75" t="s">
        <v>4074</v>
      </c>
      <c r="AK3" s="80" t="s">
        <v>4102</v>
      </c>
      <c r="AL3" s="80" t="s">
        <v>4240</v>
      </c>
      <c r="AM3" s="80" t="s">
        <v>4292</v>
      </c>
      <c r="AN3" s="80" t="s">
        <v>4306</v>
      </c>
      <c r="AO3" s="80" t="s">
        <v>4333</v>
      </c>
    </row>
    <row r="4" spans="1:41" ht="15">
      <c r="A4" s="61" t="s">
        <v>3177</v>
      </c>
      <c r="B4" s="62" t="s">
        <v>3236</v>
      </c>
      <c r="C4" s="62" t="s">
        <v>56</v>
      </c>
      <c r="D4" s="11"/>
      <c r="E4" s="11"/>
      <c r="F4" s="12" t="s">
        <v>4698</v>
      </c>
      <c r="G4" s="60"/>
      <c r="H4" s="60"/>
      <c r="I4" s="74">
        <v>4</v>
      </c>
      <c r="J4" s="74"/>
      <c r="K4" s="45">
        <v>24</v>
      </c>
      <c r="L4" s="45">
        <v>20</v>
      </c>
      <c r="M4" s="45">
        <v>56</v>
      </c>
      <c r="N4" s="45">
        <v>76</v>
      </c>
      <c r="O4" s="45">
        <v>76</v>
      </c>
      <c r="P4" s="46" t="s">
        <v>3250</v>
      </c>
      <c r="Q4" s="46" t="s">
        <v>3250</v>
      </c>
      <c r="R4" s="45">
        <v>24</v>
      </c>
      <c r="S4" s="45">
        <v>24</v>
      </c>
      <c r="T4" s="45">
        <v>1</v>
      </c>
      <c r="U4" s="45">
        <v>43</v>
      </c>
      <c r="V4" s="45">
        <v>0</v>
      </c>
      <c r="W4" s="46">
        <v>0</v>
      </c>
      <c r="X4" s="46">
        <v>0</v>
      </c>
      <c r="Y4" s="45">
        <v>14</v>
      </c>
      <c r="Z4" s="46">
        <v>1.2681159420289856</v>
      </c>
      <c r="AA4" s="45">
        <v>12</v>
      </c>
      <c r="AB4" s="46">
        <v>1.0869565217391304</v>
      </c>
      <c r="AC4" s="45">
        <v>0</v>
      </c>
      <c r="AD4" s="46">
        <v>0</v>
      </c>
      <c r="AE4" s="45">
        <v>1078</v>
      </c>
      <c r="AF4" s="46">
        <v>97.64492753623189</v>
      </c>
      <c r="AG4" s="45">
        <v>1104</v>
      </c>
      <c r="AH4" s="75" t="s">
        <v>3999</v>
      </c>
      <c r="AI4" s="75" t="s">
        <v>4021</v>
      </c>
      <c r="AJ4" s="75" t="s">
        <v>4075</v>
      </c>
      <c r="AK4" s="80" t="s">
        <v>4103</v>
      </c>
      <c r="AL4" s="80" t="s">
        <v>4241</v>
      </c>
      <c r="AM4" s="80" t="s">
        <v>3775</v>
      </c>
      <c r="AN4" s="80"/>
      <c r="AO4" s="80" t="s">
        <v>4334</v>
      </c>
    </row>
    <row r="5" spans="1:41" ht="15">
      <c r="A5" s="61" t="s">
        <v>3178</v>
      </c>
      <c r="B5" s="62" t="s">
        <v>3237</v>
      </c>
      <c r="C5" s="62" t="s">
        <v>56</v>
      </c>
      <c r="D5" s="11"/>
      <c r="E5" s="11"/>
      <c r="F5" s="12" t="s">
        <v>4699</v>
      </c>
      <c r="G5" s="60"/>
      <c r="H5" s="60"/>
      <c r="I5" s="74">
        <v>5</v>
      </c>
      <c r="J5" s="74"/>
      <c r="K5" s="45">
        <v>18</v>
      </c>
      <c r="L5" s="45">
        <v>15</v>
      </c>
      <c r="M5" s="45">
        <v>34</v>
      </c>
      <c r="N5" s="45">
        <v>49</v>
      </c>
      <c r="O5" s="45">
        <v>13</v>
      </c>
      <c r="P5" s="46">
        <v>0</v>
      </c>
      <c r="Q5" s="46">
        <v>0</v>
      </c>
      <c r="R5" s="45">
        <v>1</v>
      </c>
      <c r="S5" s="45">
        <v>0</v>
      </c>
      <c r="T5" s="45">
        <v>18</v>
      </c>
      <c r="U5" s="45">
        <v>49</v>
      </c>
      <c r="V5" s="45">
        <v>2</v>
      </c>
      <c r="W5" s="46">
        <v>1.771605</v>
      </c>
      <c r="X5" s="46">
        <v>0.06209150326797386</v>
      </c>
      <c r="Y5" s="45">
        <v>0</v>
      </c>
      <c r="Z5" s="46">
        <v>0</v>
      </c>
      <c r="AA5" s="45">
        <v>0</v>
      </c>
      <c r="AB5" s="46">
        <v>0</v>
      </c>
      <c r="AC5" s="45">
        <v>0</v>
      </c>
      <c r="AD5" s="46">
        <v>0</v>
      </c>
      <c r="AE5" s="45">
        <v>588</v>
      </c>
      <c r="AF5" s="46">
        <v>100</v>
      </c>
      <c r="AG5" s="45">
        <v>588</v>
      </c>
      <c r="AH5" s="75"/>
      <c r="AI5" s="75"/>
      <c r="AJ5" s="75" t="s">
        <v>4076</v>
      </c>
      <c r="AK5" s="80" t="s">
        <v>4104</v>
      </c>
      <c r="AL5" s="80" t="s">
        <v>4242</v>
      </c>
      <c r="AM5" s="80"/>
      <c r="AN5" s="80" t="s">
        <v>497</v>
      </c>
      <c r="AO5" s="80" t="s">
        <v>4335</v>
      </c>
    </row>
    <row r="6" spans="1:41" ht="15">
      <c r="A6" s="61" t="s">
        <v>3179</v>
      </c>
      <c r="B6" s="62" t="s">
        <v>3238</v>
      </c>
      <c r="C6" s="62" t="s">
        <v>56</v>
      </c>
      <c r="D6" s="11"/>
      <c r="E6" s="11"/>
      <c r="F6" s="12" t="s">
        <v>4700</v>
      </c>
      <c r="G6" s="60"/>
      <c r="H6" s="60"/>
      <c r="I6" s="74">
        <v>6</v>
      </c>
      <c r="J6" s="74"/>
      <c r="K6" s="45">
        <v>17</v>
      </c>
      <c r="L6" s="45">
        <v>14</v>
      </c>
      <c r="M6" s="45">
        <v>10</v>
      </c>
      <c r="N6" s="45">
        <v>24</v>
      </c>
      <c r="O6" s="45">
        <v>2</v>
      </c>
      <c r="P6" s="46">
        <v>0</v>
      </c>
      <c r="Q6" s="46">
        <v>0</v>
      </c>
      <c r="R6" s="45">
        <v>1</v>
      </c>
      <c r="S6" s="45">
        <v>0</v>
      </c>
      <c r="T6" s="45">
        <v>17</v>
      </c>
      <c r="U6" s="45">
        <v>24</v>
      </c>
      <c r="V6" s="45">
        <v>4</v>
      </c>
      <c r="W6" s="46">
        <v>2.041522</v>
      </c>
      <c r="X6" s="46">
        <v>0.0625</v>
      </c>
      <c r="Y6" s="45">
        <v>11</v>
      </c>
      <c r="Z6" s="46">
        <v>3.6184210526315788</v>
      </c>
      <c r="AA6" s="45">
        <v>3</v>
      </c>
      <c r="AB6" s="46">
        <v>0.9868421052631579</v>
      </c>
      <c r="AC6" s="45">
        <v>0</v>
      </c>
      <c r="AD6" s="46">
        <v>0</v>
      </c>
      <c r="AE6" s="45">
        <v>290</v>
      </c>
      <c r="AF6" s="46">
        <v>95.39473684210526</v>
      </c>
      <c r="AG6" s="45">
        <v>304</v>
      </c>
      <c r="AH6" s="75" t="s">
        <v>4000</v>
      </c>
      <c r="AI6" s="75" t="s">
        <v>783</v>
      </c>
      <c r="AJ6" s="75" t="s">
        <v>4077</v>
      </c>
      <c r="AK6" s="80" t="s">
        <v>4105</v>
      </c>
      <c r="AL6" s="80" t="s">
        <v>4243</v>
      </c>
      <c r="AM6" s="80" t="s">
        <v>4293</v>
      </c>
      <c r="AN6" s="80" t="s">
        <v>4307</v>
      </c>
      <c r="AO6" s="80" t="s">
        <v>4336</v>
      </c>
    </row>
    <row r="7" spans="1:41" ht="15">
      <c r="A7" s="61" t="s">
        <v>3180</v>
      </c>
      <c r="B7" s="62" t="s">
        <v>3239</v>
      </c>
      <c r="C7" s="62" t="s">
        <v>56</v>
      </c>
      <c r="D7" s="11"/>
      <c r="E7" s="11"/>
      <c r="F7" s="12" t="s">
        <v>4701</v>
      </c>
      <c r="G7" s="60"/>
      <c r="H7" s="60"/>
      <c r="I7" s="74">
        <v>7</v>
      </c>
      <c r="J7" s="74"/>
      <c r="K7" s="45">
        <v>17</v>
      </c>
      <c r="L7" s="45">
        <v>17</v>
      </c>
      <c r="M7" s="45">
        <v>0</v>
      </c>
      <c r="N7" s="45">
        <v>17</v>
      </c>
      <c r="O7" s="45">
        <v>1</v>
      </c>
      <c r="P7" s="46">
        <v>0</v>
      </c>
      <c r="Q7" s="46">
        <v>0</v>
      </c>
      <c r="R7" s="45">
        <v>1</v>
      </c>
      <c r="S7" s="45">
        <v>0</v>
      </c>
      <c r="T7" s="45">
        <v>17</v>
      </c>
      <c r="U7" s="45">
        <v>17</v>
      </c>
      <c r="V7" s="45">
        <v>2</v>
      </c>
      <c r="W7" s="46">
        <v>1.771626</v>
      </c>
      <c r="X7" s="46">
        <v>0.058823529411764705</v>
      </c>
      <c r="Y7" s="45">
        <v>17</v>
      </c>
      <c r="Z7" s="46">
        <v>2.5641025641025643</v>
      </c>
      <c r="AA7" s="45">
        <v>0</v>
      </c>
      <c r="AB7" s="46">
        <v>0</v>
      </c>
      <c r="AC7" s="45">
        <v>0</v>
      </c>
      <c r="AD7" s="46">
        <v>0</v>
      </c>
      <c r="AE7" s="45">
        <v>646</v>
      </c>
      <c r="AF7" s="46">
        <v>97.43589743589743</v>
      </c>
      <c r="AG7" s="45">
        <v>663</v>
      </c>
      <c r="AH7" s="75"/>
      <c r="AI7" s="75"/>
      <c r="AJ7" s="75" t="s">
        <v>808</v>
      </c>
      <c r="AK7" s="80" t="s">
        <v>4106</v>
      </c>
      <c r="AL7" s="80" t="s">
        <v>4244</v>
      </c>
      <c r="AM7" s="80"/>
      <c r="AN7" s="80"/>
      <c r="AO7" s="80" t="s">
        <v>4337</v>
      </c>
    </row>
    <row r="8" spans="1:41" ht="15">
      <c r="A8" s="61" t="s">
        <v>3181</v>
      </c>
      <c r="B8" s="62" t="s">
        <v>3240</v>
      </c>
      <c r="C8" s="62" t="s">
        <v>56</v>
      </c>
      <c r="D8" s="11"/>
      <c r="E8" s="11"/>
      <c r="F8" s="12" t="s">
        <v>4702</v>
      </c>
      <c r="G8" s="60"/>
      <c r="H8" s="60"/>
      <c r="I8" s="74">
        <v>8</v>
      </c>
      <c r="J8" s="74"/>
      <c r="K8" s="45">
        <v>12</v>
      </c>
      <c r="L8" s="45">
        <v>11</v>
      </c>
      <c r="M8" s="45">
        <v>0</v>
      </c>
      <c r="N8" s="45">
        <v>11</v>
      </c>
      <c r="O8" s="45">
        <v>0</v>
      </c>
      <c r="P8" s="46">
        <v>0</v>
      </c>
      <c r="Q8" s="46">
        <v>0</v>
      </c>
      <c r="R8" s="45">
        <v>1</v>
      </c>
      <c r="S8" s="45">
        <v>0</v>
      </c>
      <c r="T8" s="45">
        <v>12</v>
      </c>
      <c r="U8" s="45">
        <v>11</v>
      </c>
      <c r="V8" s="45">
        <v>2</v>
      </c>
      <c r="W8" s="46">
        <v>1.680556</v>
      </c>
      <c r="X8" s="46">
        <v>0.08333333333333333</v>
      </c>
      <c r="Y8" s="45">
        <v>1</v>
      </c>
      <c r="Z8" s="46">
        <v>5.2631578947368425</v>
      </c>
      <c r="AA8" s="45">
        <v>0</v>
      </c>
      <c r="AB8" s="46">
        <v>0</v>
      </c>
      <c r="AC8" s="45">
        <v>0</v>
      </c>
      <c r="AD8" s="46">
        <v>0</v>
      </c>
      <c r="AE8" s="45">
        <v>18</v>
      </c>
      <c r="AF8" s="46">
        <v>94.73684210526316</v>
      </c>
      <c r="AG8" s="45">
        <v>19</v>
      </c>
      <c r="AH8" s="75"/>
      <c r="AI8" s="75"/>
      <c r="AJ8" s="75" t="s">
        <v>795</v>
      </c>
      <c r="AK8" s="80" t="s">
        <v>1674</v>
      </c>
      <c r="AL8" s="80" t="s">
        <v>1674</v>
      </c>
      <c r="AM8" s="80" t="s">
        <v>445</v>
      </c>
      <c r="AN8" s="80" t="s">
        <v>4308</v>
      </c>
      <c r="AO8" s="80" t="s">
        <v>4338</v>
      </c>
    </row>
    <row r="9" spans="1:41" ht="15">
      <c r="A9" s="61" t="s">
        <v>3182</v>
      </c>
      <c r="B9" s="62" t="s">
        <v>3241</v>
      </c>
      <c r="C9" s="62" t="s">
        <v>56</v>
      </c>
      <c r="D9" s="11"/>
      <c r="E9" s="11"/>
      <c r="F9" s="12" t="s">
        <v>4703</v>
      </c>
      <c r="G9" s="60"/>
      <c r="H9" s="60"/>
      <c r="I9" s="74">
        <v>9</v>
      </c>
      <c r="J9" s="74"/>
      <c r="K9" s="45">
        <v>11</v>
      </c>
      <c r="L9" s="45">
        <v>10</v>
      </c>
      <c r="M9" s="45">
        <v>2</v>
      </c>
      <c r="N9" s="45">
        <v>12</v>
      </c>
      <c r="O9" s="45">
        <v>2</v>
      </c>
      <c r="P9" s="46">
        <v>0</v>
      </c>
      <c r="Q9" s="46">
        <v>0</v>
      </c>
      <c r="R9" s="45">
        <v>1</v>
      </c>
      <c r="S9" s="45">
        <v>0</v>
      </c>
      <c r="T9" s="45">
        <v>11</v>
      </c>
      <c r="U9" s="45">
        <v>12</v>
      </c>
      <c r="V9" s="45">
        <v>2</v>
      </c>
      <c r="W9" s="46">
        <v>1.652893</v>
      </c>
      <c r="X9" s="46">
        <v>0.09090909090909091</v>
      </c>
      <c r="Y9" s="45">
        <v>0</v>
      </c>
      <c r="Z9" s="46">
        <v>0</v>
      </c>
      <c r="AA9" s="45">
        <v>4</v>
      </c>
      <c r="AB9" s="46">
        <v>1.21580547112462</v>
      </c>
      <c r="AC9" s="45">
        <v>0</v>
      </c>
      <c r="AD9" s="46">
        <v>0</v>
      </c>
      <c r="AE9" s="45">
        <v>325</v>
      </c>
      <c r="AF9" s="46">
        <v>98.78419452887537</v>
      </c>
      <c r="AG9" s="45">
        <v>329</v>
      </c>
      <c r="AH9" s="75" t="s">
        <v>4001</v>
      </c>
      <c r="AI9" s="75" t="s">
        <v>4022</v>
      </c>
      <c r="AJ9" s="75" t="s">
        <v>4078</v>
      </c>
      <c r="AK9" s="80" t="s">
        <v>4107</v>
      </c>
      <c r="AL9" s="80" t="s">
        <v>4245</v>
      </c>
      <c r="AM9" s="80" t="s">
        <v>497</v>
      </c>
      <c r="AN9" s="80" t="s">
        <v>496</v>
      </c>
      <c r="AO9" s="80" t="s">
        <v>4339</v>
      </c>
    </row>
    <row r="10" spans="1:41" ht="14.25" customHeight="1">
      <c r="A10" s="61" t="s">
        <v>3183</v>
      </c>
      <c r="B10" s="62" t="s">
        <v>3242</v>
      </c>
      <c r="C10" s="62" t="s">
        <v>56</v>
      </c>
      <c r="D10" s="11"/>
      <c r="E10" s="11"/>
      <c r="F10" s="12" t="s">
        <v>4704</v>
      </c>
      <c r="G10" s="60"/>
      <c r="H10" s="60"/>
      <c r="I10" s="74">
        <v>10</v>
      </c>
      <c r="J10" s="74"/>
      <c r="K10" s="45">
        <v>10</v>
      </c>
      <c r="L10" s="45">
        <v>8</v>
      </c>
      <c r="M10" s="45">
        <v>4</v>
      </c>
      <c r="N10" s="45">
        <v>12</v>
      </c>
      <c r="O10" s="45">
        <v>2</v>
      </c>
      <c r="P10" s="46">
        <v>0</v>
      </c>
      <c r="Q10" s="46">
        <v>0</v>
      </c>
      <c r="R10" s="45">
        <v>1</v>
      </c>
      <c r="S10" s="45">
        <v>0</v>
      </c>
      <c r="T10" s="45">
        <v>10</v>
      </c>
      <c r="U10" s="45">
        <v>12</v>
      </c>
      <c r="V10" s="45">
        <v>2</v>
      </c>
      <c r="W10" s="46">
        <v>1.62</v>
      </c>
      <c r="X10" s="46">
        <v>0.1</v>
      </c>
      <c r="Y10" s="45">
        <v>1</v>
      </c>
      <c r="Z10" s="46">
        <v>0.6666666666666666</v>
      </c>
      <c r="AA10" s="45">
        <v>0</v>
      </c>
      <c r="AB10" s="46">
        <v>0</v>
      </c>
      <c r="AC10" s="45">
        <v>0</v>
      </c>
      <c r="AD10" s="46">
        <v>0</v>
      </c>
      <c r="AE10" s="45">
        <v>149</v>
      </c>
      <c r="AF10" s="46">
        <v>99.33333333333333</v>
      </c>
      <c r="AG10" s="45">
        <v>150</v>
      </c>
      <c r="AH10" s="75"/>
      <c r="AI10" s="75"/>
      <c r="AJ10" s="75" t="s">
        <v>4079</v>
      </c>
      <c r="AK10" s="80" t="s">
        <v>4108</v>
      </c>
      <c r="AL10" s="80" t="s">
        <v>4246</v>
      </c>
      <c r="AM10" s="80" t="s">
        <v>4294</v>
      </c>
      <c r="AN10" s="80" t="s">
        <v>4309</v>
      </c>
      <c r="AO10" s="80" t="s">
        <v>4340</v>
      </c>
    </row>
    <row r="11" spans="1:41" ht="15">
      <c r="A11" s="61" t="s">
        <v>3184</v>
      </c>
      <c r="B11" s="62" t="s">
        <v>3243</v>
      </c>
      <c r="C11" s="62" t="s">
        <v>56</v>
      </c>
      <c r="D11" s="11"/>
      <c r="E11" s="11"/>
      <c r="F11" s="12" t="s">
        <v>4705</v>
      </c>
      <c r="G11" s="60"/>
      <c r="H11" s="60"/>
      <c r="I11" s="74">
        <v>11</v>
      </c>
      <c r="J11" s="74"/>
      <c r="K11" s="45">
        <v>8</v>
      </c>
      <c r="L11" s="45">
        <v>6</v>
      </c>
      <c r="M11" s="45">
        <v>5</v>
      </c>
      <c r="N11" s="45">
        <v>11</v>
      </c>
      <c r="O11" s="45">
        <v>1</v>
      </c>
      <c r="P11" s="46">
        <v>0</v>
      </c>
      <c r="Q11" s="46">
        <v>0</v>
      </c>
      <c r="R11" s="45">
        <v>1</v>
      </c>
      <c r="S11" s="45">
        <v>0</v>
      </c>
      <c r="T11" s="45">
        <v>8</v>
      </c>
      <c r="U11" s="45">
        <v>11</v>
      </c>
      <c r="V11" s="45">
        <v>2</v>
      </c>
      <c r="W11" s="46">
        <v>1.53125</v>
      </c>
      <c r="X11" s="46">
        <v>0.125</v>
      </c>
      <c r="Y11" s="45">
        <v>0</v>
      </c>
      <c r="Z11" s="46">
        <v>0</v>
      </c>
      <c r="AA11" s="45">
        <v>0</v>
      </c>
      <c r="AB11" s="46">
        <v>0</v>
      </c>
      <c r="AC11" s="45">
        <v>0</v>
      </c>
      <c r="AD11" s="46">
        <v>0</v>
      </c>
      <c r="AE11" s="45">
        <v>47</v>
      </c>
      <c r="AF11" s="46">
        <v>100</v>
      </c>
      <c r="AG11" s="45">
        <v>47</v>
      </c>
      <c r="AH11" s="75"/>
      <c r="AI11" s="75"/>
      <c r="AJ11" s="75" t="s">
        <v>795</v>
      </c>
      <c r="AK11" s="80" t="s">
        <v>4109</v>
      </c>
      <c r="AL11" s="80" t="s">
        <v>4247</v>
      </c>
      <c r="AM11" s="80" t="s">
        <v>4295</v>
      </c>
      <c r="AN11" s="80" t="s">
        <v>4310</v>
      </c>
      <c r="AO11" s="80" t="s">
        <v>4341</v>
      </c>
    </row>
    <row r="12" spans="1:41" ht="15">
      <c r="A12" s="61" t="s">
        <v>3185</v>
      </c>
      <c r="B12" s="62" t="s">
        <v>3244</v>
      </c>
      <c r="C12" s="62" t="s">
        <v>56</v>
      </c>
      <c r="D12" s="11"/>
      <c r="E12" s="11"/>
      <c r="F12" s="12" t="s">
        <v>4706</v>
      </c>
      <c r="G12" s="60"/>
      <c r="H12" s="60"/>
      <c r="I12" s="74">
        <v>12</v>
      </c>
      <c r="J12" s="74"/>
      <c r="K12" s="45">
        <v>8</v>
      </c>
      <c r="L12" s="45">
        <v>19</v>
      </c>
      <c r="M12" s="45">
        <v>0</v>
      </c>
      <c r="N12" s="45">
        <v>19</v>
      </c>
      <c r="O12" s="45">
        <v>0</v>
      </c>
      <c r="P12" s="46">
        <v>0</v>
      </c>
      <c r="Q12" s="46">
        <v>0</v>
      </c>
      <c r="R12" s="45">
        <v>1</v>
      </c>
      <c r="S12" s="45">
        <v>0</v>
      </c>
      <c r="T12" s="45">
        <v>8</v>
      </c>
      <c r="U12" s="45">
        <v>19</v>
      </c>
      <c r="V12" s="45">
        <v>2</v>
      </c>
      <c r="W12" s="46">
        <v>1.15625</v>
      </c>
      <c r="X12" s="46">
        <v>0.3392857142857143</v>
      </c>
      <c r="Y12" s="45">
        <v>0</v>
      </c>
      <c r="Z12" s="46">
        <v>0</v>
      </c>
      <c r="AA12" s="45">
        <v>5</v>
      </c>
      <c r="AB12" s="46">
        <v>2.7777777777777777</v>
      </c>
      <c r="AC12" s="45">
        <v>0</v>
      </c>
      <c r="AD12" s="46">
        <v>0</v>
      </c>
      <c r="AE12" s="45">
        <v>175</v>
      </c>
      <c r="AF12" s="46">
        <v>97.22222222222223</v>
      </c>
      <c r="AG12" s="45">
        <v>180</v>
      </c>
      <c r="AH12" s="75"/>
      <c r="AI12" s="75"/>
      <c r="AJ12" s="75" t="s">
        <v>792</v>
      </c>
      <c r="AK12" s="80" t="s">
        <v>4110</v>
      </c>
      <c r="AL12" s="80" t="s">
        <v>4248</v>
      </c>
      <c r="AM12" s="80"/>
      <c r="AN12" s="80" t="s">
        <v>4311</v>
      </c>
      <c r="AO12" s="80" t="s">
        <v>4342</v>
      </c>
    </row>
    <row r="13" spans="1:41" ht="15">
      <c r="A13" s="61" t="s">
        <v>3186</v>
      </c>
      <c r="B13" s="62" t="s">
        <v>3245</v>
      </c>
      <c r="C13" s="62" t="s">
        <v>56</v>
      </c>
      <c r="D13" s="11"/>
      <c r="E13" s="11"/>
      <c r="F13" s="12" t="s">
        <v>4707</v>
      </c>
      <c r="G13" s="60"/>
      <c r="H13" s="60"/>
      <c r="I13" s="74">
        <v>13</v>
      </c>
      <c r="J13" s="74"/>
      <c r="K13" s="45">
        <v>8</v>
      </c>
      <c r="L13" s="45">
        <v>8</v>
      </c>
      <c r="M13" s="45">
        <v>0</v>
      </c>
      <c r="N13" s="45">
        <v>8</v>
      </c>
      <c r="O13" s="45">
        <v>1</v>
      </c>
      <c r="P13" s="46">
        <v>0</v>
      </c>
      <c r="Q13" s="46">
        <v>0</v>
      </c>
      <c r="R13" s="45">
        <v>1</v>
      </c>
      <c r="S13" s="45">
        <v>0</v>
      </c>
      <c r="T13" s="45">
        <v>8</v>
      </c>
      <c r="U13" s="45">
        <v>8</v>
      </c>
      <c r="V13" s="45">
        <v>4</v>
      </c>
      <c r="W13" s="46">
        <v>2.0625</v>
      </c>
      <c r="X13" s="46">
        <v>0.125</v>
      </c>
      <c r="Y13" s="45">
        <v>0</v>
      </c>
      <c r="Z13" s="46">
        <v>0</v>
      </c>
      <c r="AA13" s="45">
        <v>2</v>
      </c>
      <c r="AB13" s="46">
        <v>1.075268817204301</v>
      </c>
      <c r="AC13" s="45">
        <v>0</v>
      </c>
      <c r="AD13" s="46">
        <v>0</v>
      </c>
      <c r="AE13" s="45">
        <v>184</v>
      </c>
      <c r="AF13" s="46">
        <v>98.9247311827957</v>
      </c>
      <c r="AG13" s="45">
        <v>186</v>
      </c>
      <c r="AH13" s="75" t="s">
        <v>3964</v>
      </c>
      <c r="AI13" s="75" t="s">
        <v>784</v>
      </c>
      <c r="AJ13" s="75" t="s">
        <v>810</v>
      </c>
      <c r="AK13" s="80" t="s">
        <v>4111</v>
      </c>
      <c r="AL13" s="80" t="s">
        <v>4249</v>
      </c>
      <c r="AM13" s="80" t="s">
        <v>301</v>
      </c>
      <c r="AN13" s="80" t="s">
        <v>4312</v>
      </c>
      <c r="AO13" s="80" t="s">
        <v>4343</v>
      </c>
    </row>
    <row r="14" spans="1:41" ht="15">
      <c r="A14" s="61" t="s">
        <v>3187</v>
      </c>
      <c r="B14" s="62" t="s">
        <v>3246</v>
      </c>
      <c r="C14" s="62" t="s">
        <v>56</v>
      </c>
      <c r="D14" s="11"/>
      <c r="E14" s="11"/>
      <c r="F14" s="12" t="s">
        <v>4708</v>
      </c>
      <c r="G14" s="60"/>
      <c r="H14" s="60"/>
      <c r="I14" s="74">
        <v>14</v>
      </c>
      <c r="J14" s="74"/>
      <c r="K14" s="45">
        <v>7</v>
      </c>
      <c r="L14" s="45">
        <v>6</v>
      </c>
      <c r="M14" s="45">
        <v>0</v>
      </c>
      <c r="N14" s="45">
        <v>6</v>
      </c>
      <c r="O14" s="45">
        <v>0</v>
      </c>
      <c r="P14" s="46">
        <v>0</v>
      </c>
      <c r="Q14" s="46">
        <v>0</v>
      </c>
      <c r="R14" s="45">
        <v>1</v>
      </c>
      <c r="S14" s="45">
        <v>0</v>
      </c>
      <c r="T14" s="45">
        <v>7</v>
      </c>
      <c r="U14" s="45">
        <v>6</v>
      </c>
      <c r="V14" s="45">
        <v>2</v>
      </c>
      <c r="W14" s="46">
        <v>1.469388</v>
      </c>
      <c r="X14" s="46">
        <v>0.14285714285714285</v>
      </c>
      <c r="Y14" s="45">
        <v>0</v>
      </c>
      <c r="Z14" s="46">
        <v>0</v>
      </c>
      <c r="AA14" s="45">
        <v>0</v>
      </c>
      <c r="AB14" s="46">
        <v>0</v>
      </c>
      <c r="AC14" s="45">
        <v>0</v>
      </c>
      <c r="AD14" s="46">
        <v>0</v>
      </c>
      <c r="AE14" s="45">
        <v>86</v>
      </c>
      <c r="AF14" s="46">
        <v>100</v>
      </c>
      <c r="AG14" s="45">
        <v>86</v>
      </c>
      <c r="AH14" s="75"/>
      <c r="AI14" s="75"/>
      <c r="AJ14" s="75" t="s">
        <v>4080</v>
      </c>
      <c r="AK14" s="80" t="s">
        <v>4112</v>
      </c>
      <c r="AL14" s="80" t="s">
        <v>4250</v>
      </c>
      <c r="AM14" s="80" t="s">
        <v>4296</v>
      </c>
      <c r="AN14" s="80" t="s">
        <v>507</v>
      </c>
      <c r="AO14" s="80" t="s">
        <v>4344</v>
      </c>
    </row>
    <row r="15" spans="1:41" ht="15">
      <c r="A15" s="61" t="s">
        <v>3188</v>
      </c>
      <c r="B15" s="62" t="s">
        <v>3235</v>
      </c>
      <c r="C15" s="62" t="s">
        <v>59</v>
      </c>
      <c r="D15" s="11"/>
      <c r="E15" s="11"/>
      <c r="F15" s="12" t="s">
        <v>4709</v>
      </c>
      <c r="G15" s="60"/>
      <c r="H15" s="60"/>
      <c r="I15" s="74">
        <v>15</v>
      </c>
      <c r="J15" s="74"/>
      <c r="K15" s="45">
        <v>6</v>
      </c>
      <c r="L15" s="45">
        <v>11</v>
      </c>
      <c r="M15" s="45">
        <v>3</v>
      </c>
      <c r="N15" s="45">
        <v>14</v>
      </c>
      <c r="O15" s="45">
        <v>3</v>
      </c>
      <c r="P15" s="46">
        <v>0.1</v>
      </c>
      <c r="Q15" s="46">
        <v>0.18181818181818182</v>
      </c>
      <c r="R15" s="45">
        <v>1</v>
      </c>
      <c r="S15" s="45">
        <v>0</v>
      </c>
      <c r="T15" s="45">
        <v>6</v>
      </c>
      <c r="U15" s="45">
        <v>14</v>
      </c>
      <c r="V15" s="45">
        <v>2</v>
      </c>
      <c r="W15" s="46">
        <v>1.111111</v>
      </c>
      <c r="X15" s="46">
        <v>0.36666666666666664</v>
      </c>
      <c r="Y15" s="45">
        <v>8</v>
      </c>
      <c r="Z15" s="46">
        <v>4.49438202247191</v>
      </c>
      <c r="AA15" s="45">
        <v>4</v>
      </c>
      <c r="AB15" s="46">
        <v>2.247191011235955</v>
      </c>
      <c r="AC15" s="45">
        <v>0</v>
      </c>
      <c r="AD15" s="46">
        <v>0</v>
      </c>
      <c r="AE15" s="45">
        <v>166</v>
      </c>
      <c r="AF15" s="46">
        <v>93.25842696629213</v>
      </c>
      <c r="AG15" s="45">
        <v>178</v>
      </c>
      <c r="AH15" s="75" t="s">
        <v>4002</v>
      </c>
      <c r="AI15" s="75" t="s">
        <v>783</v>
      </c>
      <c r="AJ15" s="75" t="s">
        <v>4081</v>
      </c>
      <c r="AK15" s="80" t="s">
        <v>4113</v>
      </c>
      <c r="AL15" s="80" t="s">
        <v>4251</v>
      </c>
      <c r="AM15" s="80" t="s">
        <v>4297</v>
      </c>
      <c r="AN15" s="80" t="s">
        <v>526</v>
      </c>
      <c r="AO15" s="80" t="s">
        <v>4345</v>
      </c>
    </row>
    <row r="16" spans="1:41" ht="15">
      <c r="A16" s="61" t="s">
        <v>3189</v>
      </c>
      <c r="B16" s="62" t="s">
        <v>3236</v>
      </c>
      <c r="C16" s="62" t="s">
        <v>59</v>
      </c>
      <c r="D16" s="11"/>
      <c r="E16" s="11"/>
      <c r="F16" s="12" t="s">
        <v>4710</v>
      </c>
      <c r="G16" s="60"/>
      <c r="H16" s="60"/>
      <c r="I16" s="74">
        <v>16</v>
      </c>
      <c r="J16" s="74"/>
      <c r="K16" s="45">
        <v>6</v>
      </c>
      <c r="L16" s="45">
        <v>6</v>
      </c>
      <c r="M16" s="45">
        <v>0</v>
      </c>
      <c r="N16" s="45">
        <v>6</v>
      </c>
      <c r="O16" s="45">
        <v>1</v>
      </c>
      <c r="P16" s="46">
        <v>0</v>
      </c>
      <c r="Q16" s="46">
        <v>0</v>
      </c>
      <c r="R16" s="45">
        <v>1</v>
      </c>
      <c r="S16" s="45">
        <v>0</v>
      </c>
      <c r="T16" s="45">
        <v>6</v>
      </c>
      <c r="U16" s="45">
        <v>6</v>
      </c>
      <c r="V16" s="45">
        <v>2</v>
      </c>
      <c r="W16" s="46">
        <v>1.388889</v>
      </c>
      <c r="X16" s="46">
        <v>0.16666666666666666</v>
      </c>
      <c r="Y16" s="45">
        <v>0</v>
      </c>
      <c r="Z16" s="46">
        <v>0</v>
      </c>
      <c r="AA16" s="45">
        <v>0</v>
      </c>
      <c r="AB16" s="46">
        <v>0</v>
      </c>
      <c r="AC16" s="45">
        <v>0</v>
      </c>
      <c r="AD16" s="46">
        <v>0</v>
      </c>
      <c r="AE16" s="45">
        <v>40</v>
      </c>
      <c r="AF16" s="46">
        <v>100</v>
      </c>
      <c r="AG16" s="45">
        <v>40</v>
      </c>
      <c r="AH16" s="75"/>
      <c r="AI16" s="75"/>
      <c r="AJ16" s="75" t="s">
        <v>4082</v>
      </c>
      <c r="AK16" s="80" t="s">
        <v>4114</v>
      </c>
      <c r="AL16" s="80" t="s">
        <v>4252</v>
      </c>
      <c r="AM16" s="80" t="s">
        <v>4298</v>
      </c>
      <c r="AN16" s="80" t="s">
        <v>4313</v>
      </c>
      <c r="AO16" s="80" t="s">
        <v>4346</v>
      </c>
    </row>
    <row r="17" spans="1:41" ht="15">
      <c r="A17" s="61" t="s">
        <v>3190</v>
      </c>
      <c r="B17" s="62" t="s">
        <v>3237</v>
      </c>
      <c r="C17" s="62" t="s">
        <v>59</v>
      </c>
      <c r="D17" s="11"/>
      <c r="E17" s="11"/>
      <c r="F17" s="12" t="s">
        <v>4711</v>
      </c>
      <c r="G17" s="60"/>
      <c r="H17" s="60"/>
      <c r="I17" s="74">
        <v>17</v>
      </c>
      <c r="J17" s="74"/>
      <c r="K17" s="45">
        <v>5</v>
      </c>
      <c r="L17" s="45">
        <v>3</v>
      </c>
      <c r="M17" s="45">
        <v>7</v>
      </c>
      <c r="N17" s="45">
        <v>10</v>
      </c>
      <c r="O17" s="45">
        <v>0</v>
      </c>
      <c r="P17" s="46">
        <v>0</v>
      </c>
      <c r="Q17" s="46">
        <v>0</v>
      </c>
      <c r="R17" s="45">
        <v>1</v>
      </c>
      <c r="S17" s="45">
        <v>0</v>
      </c>
      <c r="T17" s="45">
        <v>5</v>
      </c>
      <c r="U17" s="45">
        <v>10</v>
      </c>
      <c r="V17" s="45">
        <v>2</v>
      </c>
      <c r="W17" s="46">
        <v>1.2</v>
      </c>
      <c r="X17" s="46">
        <v>0.25</v>
      </c>
      <c r="Y17" s="45">
        <v>0</v>
      </c>
      <c r="Z17" s="46">
        <v>0</v>
      </c>
      <c r="AA17" s="45">
        <v>0</v>
      </c>
      <c r="AB17" s="46">
        <v>0</v>
      </c>
      <c r="AC17" s="45">
        <v>0</v>
      </c>
      <c r="AD17" s="46">
        <v>0</v>
      </c>
      <c r="AE17" s="45">
        <v>18</v>
      </c>
      <c r="AF17" s="46">
        <v>100</v>
      </c>
      <c r="AG17" s="45">
        <v>18</v>
      </c>
      <c r="AH17" s="75"/>
      <c r="AI17" s="75"/>
      <c r="AJ17" s="75" t="s">
        <v>795</v>
      </c>
      <c r="AK17" s="80" t="s">
        <v>4115</v>
      </c>
      <c r="AL17" s="80" t="s">
        <v>4253</v>
      </c>
      <c r="AM17" s="80" t="s">
        <v>4299</v>
      </c>
      <c r="AN17" s="80"/>
      <c r="AO17" s="80" t="s">
        <v>4347</v>
      </c>
    </row>
    <row r="18" spans="1:41" ht="15">
      <c r="A18" s="61" t="s">
        <v>3191</v>
      </c>
      <c r="B18" s="62" t="s">
        <v>3238</v>
      </c>
      <c r="C18" s="62" t="s">
        <v>59</v>
      </c>
      <c r="D18" s="11"/>
      <c r="E18" s="11"/>
      <c r="F18" s="12" t="s">
        <v>4712</v>
      </c>
      <c r="G18" s="60"/>
      <c r="H18" s="60"/>
      <c r="I18" s="74">
        <v>18</v>
      </c>
      <c r="J18" s="74"/>
      <c r="K18" s="45">
        <v>5</v>
      </c>
      <c r="L18" s="45">
        <v>7</v>
      </c>
      <c r="M18" s="45">
        <v>0</v>
      </c>
      <c r="N18" s="45">
        <v>7</v>
      </c>
      <c r="O18" s="45">
        <v>0</v>
      </c>
      <c r="P18" s="46">
        <v>0</v>
      </c>
      <c r="Q18" s="46">
        <v>0</v>
      </c>
      <c r="R18" s="45">
        <v>1</v>
      </c>
      <c r="S18" s="45">
        <v>0</v>
      </c>
      <c r="T18" s="45">
        <v>5</v>
      </c>
      <c r="U18" s="45">
        <v>7</v>
      </c>
      <c r="V18" s="45">
        <v>2</v>
      </c>
      <c r="W18" s="46">
        <v>1.04</v>
      </c>
      <c r="X18" s="46">
        <v>0.35</v>
      </c>
      <c r="Y18" s="45">
        <v>0</v>
      </c>
      <c r="Z18" s="46">
        <v>0</v>
      </c>
      <c r="AA18" s="45">
        <v>2</v>
      </c>
      <c r="AB18" s="46">
        <v>6.25</v>
      </c>
      <c r="AC18" s="45">
        <v>0</v>
      </c>
      <c r="AD18" s="46">
        <v>0</v>
      </c>
      <c r="AE18" s="45">
        <v>30</v>
      </c>
      <c r="AF18" s="46">
        <v>93.75</v>
      </c>
      <c r="AG18" s="45">
        <v>32</v>
      </c>
      <c r="AH18" s="75"/>
      <c r="AI18" s="75"/>
      <c r="AJ18" s="75" t="s">
        <v>801</v>
      </c>
      <c r="AK18" s="80" t="s">
        <v>4116</v>
      </c>
      <c r="AL18" s="80" t="s">
        <v>4254</v>
      </c>
      <c r="AM18" s="80" t="s">
        <v>459</v>
      </c>
      <c r="AN18" s="80" t="s">
        <v>4314</v>
      </c>
      <c r="AO18" s="80" t="s">
        <v>4348</v>
      </c>
    </row>
    <row r="19" spans="1:41" ht="15">
      <c r="A19" s="61" t="s">
        <v>3192</v>
      </c>
      <c r="B19" s="62" t="s">
        <v>3239</v>
      </c>
      <c r="C19" s="62" t="s">
        <v>59</v>
      </c>
      <c r="D19" s="11"/>
      <c r="E19" s="11"/>
      <c r="F19" s="12" t="s">
        <v>4713</v>
      </c>
      <c r="G19" s="60"/>
      <c r="H19" s="60"/>
      <c r="I19" s="74">
        <v>19</v>
      </c>
      <c r="J19" s="74"/>
      <c r="K19" s="45">
        <v>5</v>
      </c>
      <c r="L19" s="45">
        <v>5</v>
      </c>
      <c r="M19" s="45">
        <v>0</v>
      </c>
      <c r="N19" s="45">
        <v>5</v>
      </c>
      <c r="O19" s="45">
        <v>1</v>
      </c>
      <c r="P19" s="46">
        <v>0</v>
      </c>
      <c r="Q19" s="46">
        <v>0</v>
      </c>
      <c r="R19" s="45">
        <v>1</v>
      </c>
      <c r="S19" s="45">
        <v>0</v>
      </c>
      <c r="T19" s="45">
        <v>5</v>
      </c>
      <c r="U19" s="45">
        <v>5</v>
      </c>
      <c r="V19" s="45">
        <v>2</v>
      </c>
      <c r="W19" s="46">
        <v>1.28</v>
      </c>
      <c r="X19" s="46">
        <v>0.2</v>
      </c>
      <c r="Y19" s="45">
        <v>4</v>
      </c>
      <c r="Z19" s="46">
        <v>2.3529411764705883</v>
      </c>
      <c r="AA19" s="45">
        <v>4</v>
      </c>
      <c r="AB19" s="46">
        <v>2.3529411764705883</v>
      </c>
      <c r="AC19" s="45">
        <v>0</v>
      </c>
      <c r="AD19" s="46">
        <v>0</v>
      </c>
      <c r="AE19" s="45">
        <v>162</v>
      </c>
      <c r="AF19" s="46">
        <v>95.29411764705883</v>
      </c>
      <c r="AG19" s="45">
        <v>170</v>
      </c>
      <c r="AH19" s="75" t="s">
        <v>3963</v>
      </c>
      <c r="AI19" s="75" t="s">
        <v>783</v>
      </c>
      <c r="AJ19" s="75" t="s">
        <v>4083</v>
      </c>
      <c r="AK19" s="80" t="s">
        <v>4117</v>
      </c>
      <c r="AL19" s="80" t="s">
        <v>4255</v>
      </c>
      <c r="AM19" s="80" t="s">
        <v>364</v>
      </c>
      <c r="AN19" s="80"/>
      <c r="AO19" s="80" t="s">
        <v>4349</v>
      </c>
    </row>
    <row r="20" spans="1:41" ht="15">
      <c r="A20" s="61" t="s">
        <v>3193</v>
      </c>
      <c r="B20" s="62" t="s">
        <v>3240</v>
      </c>
      <c r="C20" s="62" t="s">
        <v>59</v>
      </c>
      <c r="D20" s="11"/>
      <c r="E20" s="11"/>
      <c r="F20" s="12" t="s">
        <v>3193</v>
      </c>
      <c r="G20" s="60"/>
      <c r="H20" s="60"/>
      <c r="I20" s="74">
        <v>20</v>
      </c>
      <c r="J20" s="74"/>
      <c r="K20" s="45">
        <v>5</v>
      </c>
      <c r="L20" s="45">
        <v>4</v>
      </c>
      <c r="M20" s="45">
        <v>0</v>
      </c>
      <c r="N20" s="45">
        <v>4</v>
      </c>
      <c r="O20" s="45">
        <v>0</v>
      </c>
      <c r="P20" s="46">
        <v>0</v>
      </c>
      <c r="Q20" s="46">
        <v>0</v>
      </c>
      <c r="R20" s="45">
        <v>1</v>
      </c>
      <c r="S20" s="45">
        <v>0</v>
      </c>
      <c r="T20" s="45">
        <v>5</v>
      </c>
      <c r="U20" s="45">
        <v>4</v>
      </c>
      <c r="V20" s="45">
        <v>2</v>
      </c>
      <c r="W20" s="46">
        <v>1.28</v>
      </c>
      <c r="X20" s="46">
        <v>0.2</v>
      </c>
      <c r="Y20" s="45">
        <v>0</v>
      </c>
      <c r="Z20" s="46">
        <v>0</v>
      </c>
      <c r="AA20" s="45">
        <v>2</v>
      </c>
      <c r="AB20" s="46">
        <v>2.6666666666666665</v>
      </c>
      <c r="AC20" s="45">
        <v>0</v>
      </c>
      <c r="AD20" s="46">
        <v>0</v>
      </c>
      <c r="AE20" s="45">
        <v>73</v>
      </c>
      <c r="AF20" s="46">
        <v>97.33333333333333</v>
      </c>
      <c r="AG20" s="45">
        <v>75</v>
      </c>
      <c r="AH20" s="75"/>
      <c r="AI20" s="75"/>
      <c r="AJ20" s="75"/>
      <c r="AK20" s="80" t="s">
        <v>4118</v>
      </c>
      <c r="AL20" s="80" t="s">
        <v>4256</v>
      </c>
      <c r="AM20" s="80" t="s">
        <v>4300</v>
      </c>
      <c r="AN20" s="80" t="s">
        <v>4315</v>
      </c>
      <c r="AO20" s="80" t="s">
        <v>4350</v>
      </c>
    </row>
    <row r="21" spans="1:41" ht="15">
      <c r="A21" s="61" t="s">
        <v>3194</v>
      </c>
      <c r="B21" s="62" t="s">
        <v>3241</v>
      </c>
      <c r="C21" s="62" t="s">
        <v>59</v>
      </c>
      <c r="D21" s="11"/>
      <c r="E21" s="11"/>
      <c r="F21" s="12" t="s">
        <v>4714</v>
      </c>
      <c r="G21" s="60"/>
      <c r="H21" s="60"/>
      <c r="I21" s="74">
        <v>21</v>
      </c>
      <c r="J21" s="74"/>
      <c r="K21" s="45">
        <v>5</v>
      </c>
      <c r="L21" s="45">
        <v>4</v>
      </c>
      <c r="M21" s="45">
        <v>2</v>
      </c>
      <c r="N21" s="45">
        <v>6</v>
      </c>
      <c r="O21" s="45">
        <v>2</v>
      </c>
      <c r="P21" s="46">
        <v>0</v>
      </c>
      <c r="Q21" s="46">
        <v>0</v>
      </c>
      <c r="R21" s="45">
        <v>1</v>
      </c>
      <c r="S21" s="45">
        <v>0</v>
      </c>
      <c r="T21" s="45">
        <v>5</v>
      </c>
      <c r="U21" s="45">
        <v>6</v>
      </c>
      <c r="V21" s="45">
        <v>2</v>
      </c>
      <c r="W21" s="46">
        <v>1.28</v>
      </c>
      <c r="X21" s="46">
        <v>0.2</v>
      </c>
      <c r="Y21" s="45">
        <v>0</v>
      </c>
      <c r="Z21" s="46">
        <v>0</v>
      </c>
      <c r="AA21" s="45">
        <v>6</v>
      </c>
      <c r="AB21" s="46">
        <v>3.278688524590164</v>
      </c>
      <c r="AC21" s="45">
        <v>0</v>
      </c>
      <c r="AD21" s="46">
        <v>0</v>
      </c>
      <c r="AE21" s="45">
        <v>177</v>
      </c>
      <c r="AF21" s="46">
        <v>96.72131147540983</v>
      </c>
      <c r="AG21" s="45">
        <v>183</v>
      </c>
      <c r="AH21" s="75"/>
      <c r="AI21" s="75"/>
      <c r="AJ21" s="75" t="s">
        <v>4084</v>
      </c>
      <c r="AK21" s="80" t="s">
        <v>4119</v>
      </c>
      <c r="AL21" s="80" t="s">
        <v>4257</v>
      </c>
      <c r="AM21" s="80"/>
      <c r="AN21" s="80"/>
      <c r="AO21" s="80" t="s">
        <v>4351</v>
      </c>
    </row>
    <row r="22" spans="1:41" ht="15">
      <c r="A22" s="61" t="s">
        <v>3195</v>
      </c>
      <c r="B22" s="62" t="s">
        <v>3242</v>
      </c>
      <c r="C22" s="62" t="s">
        <v>59</v>
      </c>
      <c r="D22" s="11"/>
      <c r="E22" s="11"/>
      <c r="F22" s="12" t="s">
        <v>4715</v>
      </c>
      <c r="G22" s="60"/>
      <c r="H22" s="60"/>
      <c r="I22" s="74">
        <v>22</v>
      </c>
      <c r="J22" s="74"/>
      <c r="K22" s="45">
        <v>4</v>
      </c>
      <c r="L22" s="45">
        <v>4</v>
      </c>
      <c r="M22" s="45">
        <v>0</v>
      </c>
      <c r="N22" s="45">
        <v>4</v>
      </c>
      <c r="O22" s="45">
        <v>1</v>
      </c>
      <c r="P22" s="46">
        <v>0</v>
      </c>
      <c r="Q22" s="46">
        <v>0</v>
      </c>
      <c r="R22" s="45">
        <v>1</v>
      </c>
      <c r="S22" s="45">
        <v>0</v>
      </c>
      <c r="T22" s="45">
        <v>4</v>
      </c>
      <c r="U22" s="45">
        <v>4</v>
      </c>
      <c r="V22" s="45">
        <v>2</v>
      </c>
      <c r="W22" s="46">
        <v>1.125</v>
      </c>
      <c r="X22" s="46">
        <v>0.25</v>
      </c>
      <c r="Y22" s="45">
        <v>0</v>
      </c>
      <c r="Z22" s="46">
        <v>0</v>
      </c>
      <c r="AA22" s="45">
        <v>0</v>
      </c>
      <c r="AB22" s="46">
        <v>0</v>
      </c>
      <c r="AC22" s="45">
        <v>0</v>
      </c>
      <c r="AD22" s="46">
        <v>0</v>
      </c>
      <c r="AE22" s="45">
        <v>52</v>
      </c>
      <c r="AF22" s="46">
        <v>100</v>
      </c>
      <c r="AG22" s="45">
        <v>52</v>
      </c>
      <c r="AH22" s="75"/>
      <c r="AI22" s="75"/>
      <c r="AJ22" s="75" t="s">
        <v>795</v>
      </c>
      <c r="AK22" s="80" t="s">
        <v>4120</v>
      </c>
      <c r="AL22" s="80" t="s">
        <v>4258</v>
      </c>
      <c r="AM22" s="80"/>
      <c r="AN22" s="80"/>
      <c r="AO22" s="80" t="s">
        <v>4352</v>
      </c>
    </row>
    <row r="23" spans="1:41" ht="15">
      <c r="A23" s="61" t="s">
        <v>3196</v>
      </c>
      <c r="B23" s="62" t="s">
        <v>3243</v>
      </c>
      <c r="C23" s="62" t="s">
        <v>59</v>
      </c>
      <c r="D23" s="11"/>
      <c r="E23" s="11"/>
      <c r="F23" s="12" t="s">
        <v>4716</v>
      </c>
      <c r="G23" s="60"/>
      <c r="H23" s="60"/>
      <c r="I23" s="74">
        <v>23</v>
      </c>
      <c r="J23" s="74"/>
      <c r="K23" s="45">
        <v>4</v>
      </c>
      <c r="L23" s="45">
        <v>3</v>
      </c>
      <c r="M23" s="45">
        <v>0</v>
      </c>
      <c r="N23" s="45">
        <v>3</v>
      </c>
      <c r="O23" s="45">
        <v>0</v>
      </c>
      <c r="P23" s="46">
        <v>0</v>
      </c>
      <c r="Q23" s="46">
        <v>0</v>
      </c>
      <c r="R23" s="45">
        <v>1</v>
      </c>
      <c r="S23" s="45">
        <v>0</v>
      </c>
      <c r="T23" s="45">
        <v>4</v>
      </c>
      <c r="U23" s="45">
        <v>3</v>
      </c>
      <c r="V23" s="45">
        <v>2</v>
      </c>
      <c r="W23" s="46">
        <v>1.125</v>
      </c>
      <c r="X23" s="46">
        <v>0.25</v>
      </c>
      <c r="Y23" s="45">
        <v>0</v>
      </c>
      <c r="Z23" s="46">
        <v>0</v>
      </c>
      <c r="AA23" s="45">
        <v>0</v>
      </c>
      <c r="AB23" s="46">
        <v>0</v>
      </c>
      <c r="AC23" s="45">
        <v>0</v>
      </c>
      <c r="AD23" s="46">
        <v>0</v>
      </c>
      <c r="AE23" s="45">
        <v>50</v>
      </c>
      <c r="AF23" s="46">
        <v>100</v>
      </c>
      <c r="AG23" s="45">
        <v>50</v>
      </c>
      <c r="AH23" s="75"/>
      <c r="AI23" s="75"/>
      <c r="AJ23" s="75" t="s">
        <v>4085</v>
      </c>
      <c r="AK23" s="80" t="s">
        <v>4121</v>
      </c>
      <c r="AL23" s="80" t="s">
        <v>1674</v>
      </c>
      <c r="AM23" s="80" t="s">
        <v>4301</v>
      </c>
      <c r="AN23" s="80" t="s">
        <v>569</v>
      </c>
      <c r="AO23" s="80" t="s">
        <v>4353</v>
      </c>
    </row>
    <row r="24" spans="1:41" ht="15">
      <c r="A24" s="61" t="s">
        <v>3197</v>
      </c>
      <c r="B24" s="62" t="s">
        <v>3244</v>
      </c>
      <c r="C24" s="62" t="s">
        <v>59</v>
      </c>
      <c r="D24" s="11"/>
      <c r="E24" s="11"/>
      <c r="F24" s="12" t="s">
        <v>4717</v>
      </c>
      <c r="G24" s="60"/>
      <c r="H24" s="60"/>
      <c r="I24" s="74">
        <v>24</v>
      </c>
      <c r="J24" s="74"/>
      <c r="K24" s="45">
        <v>4</v>
      </c>
      <c r="L24" s="45">
        <v>3</v>
      </c>
      <c r="M24" s="45">
        <v>0</v>
      </c>
      <c r="N24" s="45">
        <v>3</v>
      </c>
      <c r="O24" s="45">
        <v>0</v>
      </c>
      <c r="P24" s="46">
        <v>0</v>
      </c>
      <c r="Q24" s="46">
        <v>0</v>
      </c>
      <c r="R24" s="45">
        <v>1</v>
      </c>
      <c r="S24" s="45">
        <v>0</v>
      </c>
      <c r="T24" s="45">
        <v>4</v>
      </c>
      <c r="U24" s="45">
        <v>3</v>
      </c>
      <c r="V24" s="45">
        <v>2</v>
      </c>
      <c r="W24" s="46">
        <v>1.125</v>
      </c>
      <c r="X24" s="46">
        <v>0.25</v>
      </c>
      <c r="Y24" s="45">
        <v>0</v>
      </c>
      <c r="Z24" s="46">
        <v>0</v>
      </c>
      <c r="AA24" s="45">
        <v>0</v>
      </c>
      <c r="AB24" s="46">
        <v>0</v>
      </c>
      <c r="AC24" s="45">
        <v>0</v>
      </c>
      <c r="AD24" s="46">
        <v>0</v>
      </c>
      <c r="AE24" s="45">
        <v>66</v>
      </c>
      <c r="AF24" s="46">
        <v>100</v>
      </c>
      <c r="AG24" s="45">
        <v>66</v>
      </c>
      <c r="AH24" s="75"/>
      <c r="AI24" s="75"/>
      <c r="AJ24" s="75" t="s">
        <v>795</v>
      </c>
      <c r="AK24" s="80" t="s">
        <v>4122</v>
      </c>
      <c r="AL24" s="80" t="s">
        <v>1674</v>
      </c>
      <c r="AM24" s="80" t="s">
        <v>4302</v>
      </c>
      <c r="AN24" s="80" t="s">
        <v>563</v>
      </c>
      <c r="AO24" s="80" t="s">
        <v>4354</v>
      </c>
    </row>
    <row r="25" spans="1:41" ht="15">
      <c r="A25" s="61" t="s">
        <v>3198</v>
      </c>
      <c r="B25" s="62" t="s">
        <v>3245</v>
      </c>
      <c r="C25" s="62" t="s">
        <v>59</v>
      </c>
      <c r="D25" s="11"/>
      <c r="E25" s="11"/>
      <c r="F25" s="12" t="s">
        <v>4718</v>
      </c>
      <c r="G25" s="60"/>
      <c r="H25" s="60"/>
      <c r="I25" s="74">
        <v>25</v>
      </c>
      <c r="J25" s="74"/>
      <c r="K25" s="45">
        <v>4</v>
      </c>
      <c r="L25" s="45">
        <v>5</v>
      </c>
      <c r="M25" s="45">
        <v>0</v>
      </c>
      <c r="N25" s="45">
        <v>5</v>
      </c>
      <c r="O25" s="45">
        <v>0</v>
      </c>
      <c r="P25" s="46">
        <v>0</v>
      </c>
      <c r="Q25" s="46">
        <v>0</v>
      </c>
      <c r="R25" s="45">
        <v>1</v>
      </c>
      <c r="S25" s="45">
        <v>0</v>
      </c>
      <c r="T25" s="45">
        <v>4</v>
      </c>
      <c r="U25" s="45">
        <v>5</v>
      </c>
      <c r="V25" s="45">
        <v>2</v>
      </c>
      <c r="W25" s="46">
        <v>0.875</v>
      </c>
      <c r="X25" s="46">
        <v>0.4166666666666667</v>
      </c>
      <c r="Y25" s="45">
        <v>0</v>
      </c>
      <c r="Z25" s="46">
        <v>0</v>
      </c>
      <c r="AA25" s="45">
        <v>0</v>
      </c>
      <c r="AB25" s="46">
        <v>0</v>
      </c>
      <c r="AC25" s="45">
        <v>0</v>
      </c>
      <c r="AD25" s="46">
        <v>0</v>
      </c>
      <c r="AE25" s="45">
        <v>24</v>
      </c>
      <c r="AF25" s="46">
        <v>100</v>
      </c>
      <c r="AG25" s="45">
        <v>24</v>
      </c>
      <c r="AH25" s="75"/>
      <c r="AI25" s="75"/>
      <c r="AJ25" s="75" t="s">
        <v>828</v>
      </c>
      <c r="AK25" s="80" t="s">
        <v>4123</v>
      </c>
      <c r="AL25" s="80" t="s">
        <v>4259</v>
      </c>
      <c r="AM25" s="80"/>
      <c r="AN25" s="80" t="s">
        <v>4316</v>
      </c>
      <c r="AO25" s="80" t="s">
        <v>4355</v>
      </c>
    </row>
    <row r="26" spans="1:41" ht="15">
      <c r="A26" s="61" t="s">
        <v>3199</v>
      </c>
      <c r="B26" s="62" t="s">
        <v>3246</v>
      </c>
      <c r="C26" s="62" t="s">
        <v>59</v>
      </c>
      <c r="D26" s="11"/>
      <c r="E26" s="11"/>
      <c r="F26" s="12" t="s">
        <v>4719</v>
      </c>
      <c r="G26" s="60"/>
      <c r="H26" s="60"/>
      <c r="I26" s="74">
        <v>26</v>
      </c>
      <c r="J26" s="74"/>
      <c r="K26" s="45">
        <v>4</v>
      </c>
      <c r="L26" s="45">
        <v>4</v>
      </c>
      <c r="M26" s="45">
        <v>0</v>
      </c>
      <c r="N26" s="45">
        <v>4</v>
      </c>
      <c r="O26" s="45">
        <v>1</v>
      </c>
      <c r="P26" s="46">
        <v>0</v>
      </c>
      <c r="Q26" s="46">
        <v>0</v>
      </c>
      <c r="R26" s="45">
        <v>1</v>
      </c>
      <c r="S26" s="45">
        <v>0</v>
      </c>
      <c r="T26" s="45">
        <v>4</v>
      </c>
      <c r="U26" s="45">
        <v>4</v>
      </c>
      <c r="V26" s="45">
        <v>2</v>
      </c>
      <c r="W26" s="46">
        <v>1.125</v>
      </c>
      <c r="X26" s="46">
        <v>0.25</v>
      </c>
      <c r="Y26" s="45">
        <v>1</v>
      </c>
      <c r="Z26" s="46">
        <v>1.1111111111111112</v>
      </c>
      <c r="AA26" s="45">
        <v>1</v>
      </c>
      <c r="AB26" s="46">
        <v>1.1111111111111112</v>
      </c>
      <c r="AC26" s="45">
        <v>0</v>
      </c>
      <c r="AD26" s="46">
        <v>0</v>
      </c>
      <c r="AE26" s="45">
        <v>88</v>
      </c>
      <c r="AF26" s="46">
        <v>97.77777777777777</v>
      </c>
      <c r="AG26" s="45">
        <v>90</v>
      </c>
      <c r="AH26" s="75" t="s">
        <v>4003</v>
      </c>
      <c r="AI26" s="75" t="s">
        <v>783</v>
      </c>
      <c r="AJ26" s="75" t="s">
        <v>795</v>
      </c>
      <c r="AK26" s="80" t="s">
        <v>4124</v>
      </c>
      <c r="AL26" s="80" t="s">
        <v>4260</v>
      </c>
      <c r="AM26" s="80" t="s">
        <v>4303</v>
      </c>
      <c r="AN26" s="80"/>
      <c r="AO26" s="80" t="s">
        <v>4356</v>
      </c>
    </row>
    <row r="27" spans="1:41" ht="15">
      <c r="A27" s="61" t="s">
        <v>3200</v>
      </c>
      <c r="B27" s="62" t="s">
        <v>3235</v>
      </c>
      <c r="C27" s="62" t="s">
        <v>61</v>
      </c>
      <c r="D27" s="11"/>
      <c r="E27" s="11"/>
      <c r="F27" s="12" t="s">
        <v>4720</v>
      </c>
      <c r="G27" s="60"/>
      <c r="H27" s="60"/>
      <c r="I27" s="74">
        <v>27</v>
      </c>
      <c r="J27" s="74"/>
      <c r="K27" s="45">
        <v>4</v>
      </c>
      <c r="L27" s="45">
        <v>3</v>
      </c>
      <c r="M27" s="45">
        <v>0</v>
      </c>
      <c r="N27" s="45">
        <v>3</v>
      </c>
      <c r="O27" s="45">
        <v>0</v>
      </c>
      <c r="P27" s="46">
        <v>0</v>
      </c>
      <c r="Q27" s="46">
        <v>0</v>
      </c>
      <c r="R27" s="45">
        <v>1</v>
      </c>
      <c r="S27" s="45">
        <v>0</v>
      </c>
      <c r="T27" s="45">
        <v>4</v>
      </c>
      <c r="U27" s="45">
        <v>3</v>
      </c>
      <c r="V27" s="45">
        <v>2</v>
      </c>
      <c r="W27" s="46">
        <v>1.125</v>
      </c>
      <c r="X27" s="46">
        <v>0.25</v>
      </c>
      <c r="Y27" s="45">
        <v>0</v>
      </c>
      <c r="Z27" s="46">
        <v>0</v>
      </c>
      <c r="AA27" s="45">
        <v>0</v>
      </c>
      <c r="AB27" s="46">
        <v>0</v>
      </c>
      <c r="AC27" s="45">
        <v>0</v>
      </c>
      <c r="AD27" s="46">
        <v>0</v>
      </c>
      <c r="AE27" s="45">
        <v>4</v>
      </c>
      <c r="AF27" s="46">
        <v>100</v>
      </c>
      <c r="AG27" s="45">
        <v>4</v>
      </c>
      <c r="AH27" s="75"/>
      <c r="AI27" s="75"/>
      <c r="AJ27" s="75" t="s">
        <v>795</v>
      </c>
      <c r="AK27" s="80" t="s">
        <v>1674</v>
      </c>
      <c r="AL27" s="80" t="s">
        <v>1674</v>
      </c>
      <c r="AM27" s="80" t="s">
        <v>477</v>
      </c>
      <c r="AN27" s="80" t="s">
        <v>4317</v>
      </c>
      <c r="AO27" s="80" t="s">
        <v>4357</v>
      </c>
    </row>
    <row r="28" spans="1:41" ht="15">
      <c r="A28" s="61" t="s">
        <v>3201</v>
      </c>
      <c r="B28" s="62" t="s">
        <v>3236</v>
      </c>
      <c r="C28" s="62" t="s">
        <v>61</v>
      </c>
      <c r="D28" s="11"/>
      <c r="E28" s="11"/>
      <c r="F28" s="12" t="s">
        <v>3201</v>
      </c>
      <c r="G28" s="60"/>
      <c r="H28" s="60"/>
      <c r="I28" s="74">
        <v>28</v>
      </c>
      <c r="J28" s="74"/>
      <c r="K28" s="45">
        <v>4</v>
      </c>
      <c r="L28" s="45">
        <v>3</v>
      </c>
      <c r="M28" s="45">
        <v>0</v>
      </c>
      <c r="N28" s="45">
        <v>3</v>
      </c>
      <c r="O28" s="45">
        <v>0</v>
      </c>
      <c r="P28" s="46">
        <v>0</v>
      </c>
      <c r="Q28" s="46">
        <v>0</v>
      </c>
      <c r="R28" s="45">
        <v>1</v>
      </c>
      <c r="S28" s="45">
        <v>0</v>
      </c>
      <c r="T28" s="45">
        <v>4</v>
      </c>
      <c r="U28" s="45">
        <v>3</v>
      </c>
      <c r="V28" s="45">
        <v>2</v>
      </c>
      <c r="W28" s="46">
        <v>1.125</v>
      </c>
      <c r="X28" s="46">
        <v>0.25</v>
      </c>
      <c r="Y28" s="45">
        <v>0</v>
      </c>
      <c r="Z28" s="46">
        <v>0</v>
      </c>
      <c r="AA28" s="45">
        <v>0</v>
      </c>
      <c r="AB28" s="46">
        <v>0</v>
      </c>
      <c r="AC28" s="45">
        <v>0</v>
      </c>
      <c r="AD28" s="46">
        <v>0</v>
      </c>
      <c r="AE28" s="45">
        <v>43</v>
      </c>
      <c r="AF28" s="46">
        <v>100</v>
      </c>
      <c r="AG28" s="45">
        <v>43</v>
      </c>
      <c r="AH28" s="75"/>
      <c r="AI28" s="75"/>
      <c r="AJ28" s="75"/>
      <c r="AK28" s="80" t="s">
        <v>4125</v>
      </c>
      <c r="AL28" s="80" t="s">
        <v>1674</v>
      </c>
      <c r="AM28" s="80" t="s">
        <v>517</v>
      </c>
      <c r="AN28" s="80" t="s">
        <v>4318</v>
      </c>
      <c r="AO28" s="80" t="s">
        <v>4358</v>
      </c>
    </row>
    <row r="29" spans="1:41" ht="15">
      <c r="A29" s="61" t="s">
        <v>3202</v>
      </c>
      <c r="B29" s="62" t="s">
        <v>3237</v>
      </c>
      <c r="C29" s="62" t="s">
        <v>61</v>
      </c>
      <c r="D29" s="11"/>
      <c r="E29" s="11"/>
      <c r="F29" s="12" t="s">
        <v>4721</v>
      </c>
      <c r="G29" s="60"/>
      <c r="H29" s="60"/>
      <c r="I29" s="74">
        <v>29</v>
      </c>
      <c r="J29" s="74"/>
      <c r="K29" s="45">
        <v>4</v>
      </c>
      <c r="L29" s="45">
        <v>3</v>
      </c>
      <c r="M29" s="45">
        <v>2</v>
      </c>
      <c r="N29" s="45">
        <v>5</v>
      </c>
      <c r="O29" s="45">
        <v>2</v>
      </c>
      <c r="P29" s="46">
        <v>0</v>
      </c>
      <c r="Q29" s="46">
        <v>0</v>
      </c>
      <c r="R29" s="45">
        <v>1</v>
      </c>
      <c r="S29" s="45">
        <v>0</v>
      </c>
      <c r="T29" s="45">
        <v>4</v>
      </c>
      <c r="U29" s="45">
        <v>5</v>
      </c>
      <c r="V29" s="45">
        <v>2</v>
      </c>
      <c r="W29" s="46">
        <v>1.125</v>
      </c>
      <c r="X29" s="46">
        <v>0.25</v>
      </c>
      <c r="Y29" s="45">
        <v>0</v>
      </c>
      <c r="Z29" s="46">
        <v>0</v>
      </c>
      <c r="AA29" s="45">
        <v>0</v>
      </c>
      <c r="AB29" s="46">
        <v>0</v>
      </c>
      <c r="AC29" s="45">
        <v>0</v>
      </c>
      <c r="AD29" s="46">
        <v>0</v>
      </c>
      <c r="AE29" s="45">
        <v>103</v>
      </c>
      <c r="AF29" s="46">
        <v>100</v>
      </c>
      <c r="AG29" s="45">
        <v>103</v>
      </c>
      <c r="AH29" s="75" t="s">
        <v>4004</v>
      </c>
      <c r="AI29" s="75" t="s">
        <v>783</v>
      </c>
      <c r="AJ29" s="75" t="s">
        <v>4086</v>
      </c>
      <c r="AK29" s="80" t="s">
        <v>4126</v>
      </c>
      <c r="AL29" s="80" t="s">
        <v>4261</v>
      </c>
      <c r="AM29" s="80"/>
      <c r="AN29" s="80"/>
      <c r="AO29" s="80" t="s">
        <v>4359</v>
      </c>
    </row>
    <row r="30" spans="1:41" ht="15">
      <c r="A30" s="61" t="s">
        <v>3203</v>
      </c>
      <c r="B30" s="62" t="s">
        <v>3238</v>
      </c>
      <c r="C30" s="62" t="s">
        <v>61</v>
      </c>
      <c r="D30" s="11"/>
      <c r="E30" s="11"/>
      <c r="F30" s="12" t="s">
        <v>4722</v>
      </c>
      <c r="G30" s="60"/>
      <c r="H30" s="60"/>
      <c r="I30" s="74">
        <v>30</v>
      </c>
      <c r="J30" s="74"/>
      <c r="K30" s="45">
        <v>4</v>
      </c>
      <c r="L30" s="45">
        <v>4</v>
      </c>
      <c r="M30" s="45">
        <v>0</v>
      </c>
      <c r="N30" s="45">
        <v>4</v>
      </c>
      <c r="O30" s="45">
        <v>1</v>
      </c>
      <c r="P30" s="46">
        <v>0</v>
      </c>
      <c r="Q30" s="46">
        <v>0</v>
      </c>
      <c r="R30" s="45">
        <v>1</v>
      </c>
      <c r="S30" s="45">
        <v>0</v>
      </c>
      <c r="T30" s="45">
        <v>4</v>
      </c>
      <c r="U30" s="45">
        <v>4</v>
      </c>
      <c r="V30" s="45">
        <v>2</v>
      </c>
      <c r="W30" s="46">
        <v>1.125</v>
      </c>
      <c r="X30" s="46">
        <v>0.25</v>
      </c>
      <c r="Y30" s="45">
        <v>0</v>
      </c>
      <c r="Z30" s="46">
        <v>0</v>
      </c>
      <c r="AA30" s="45">
        <v>0</v>
      </c>
      <c r="AB30" s="46">
        <v>0</v>
      </c>
      <c r="AC30" s="45">
        <v>0</v>
      </c>
      <c r="AD30" s="46">
        <v>0</v>
      </c>
      <c r="AE30" s="45">
        <v>96</v>
      </c>
      <c r="AF30" s="46">
        <v>100</v>
      </c>
      <c r="AG30" s="45">
        <v>96</v>
      </c>
      <c r="AH30" s="75"/>
      <c r="AI30" s="75"/>
      <c r="AJ30" s="75" t="s">
        <v>818</v>
      </c>
      <c r="AK30" s="80" t="s">
        <v>4127</v>
      </c>
      <c r="AL30" s="80" t="s">
        <v>4262</v>
      </c>
      <c r="AM30" s="80"/>
      <c r="AN30" s="80"/>
      <c r="AO30" s="80" t="s">
        <v>4360</v>
      </c>
    </row>
    <row r="31" spans="1:41" ht="15">
      <c r="A31" s="61" t="s">
        <v>3204</v>
      </c>
      <c r="B31" s="62" t="s">
        <v>3239</v>
      </c>
      <c r="C31" s="62" t="s">
        <v>61</v>
      </c>
      <c r="D31" s="11"/>
      <c r="E31" s="11"/>
      <c r="F31" s="12" t="s">
        <v>4723</v>
      </c>
      <c r="G31" s="60"/>
      <c r="H31" s="60"/>
      <c r="I31" s="74">
        <v>31</v>
      </c>
      <c r="J31" s="74"/>
      <c r="K31" s="45">
        <v>4</v>
      </c>
      <c r="L31" s="45">
        <v>3</v>
      </c>
      <c r="M31" s="45">
        <v>0</v>
      </c>
      <c r="N31" s="45">
        <v>3</v>
      </c>
      <c r="O31" s="45">
        <v>0</v>
      </c>
      <c r="P31" s="46">
        <v>0</v>
      </c>
      <c r="Q31" s="46">
        <v>0</v>
      </c>
      <c r="R31" s="45">
        <v>1</v>
      </c>
      <c r="S31" s="45">
        <v>0</v>
      </c>
      <c r="T31" s="45">
        <v>4</v>
      </c>
      <c r="U31" s="45">
        <v>3</v>
      </c>
      <c r="V31" s="45">
        <v>2</v>
      </c>
      <c r="W31" s="46">
        <v>1.125</v>
      </c>
      <c r="X31" s="46">
        <v>0.25</v>
      </c>
      <c r="Y31" s="45">
        <v>0</v>
      </c>
      <c r="Z31" s="46">
        <v>0</v>
      </c>
      <c r="AA31" s="45">
        <v>0</v>
      </c>
      <c r="AB31" s="46">
        <v>0</v>
      </c>
      <c r="AC31" s="45">
        <v>0</v>
      </c>
      <c r="AD31" s="46">
        <v>0</v>
      </c>
      <c r="AE31" s="45">
        <v>12</v>
      </c>
      <c r="AF31" s="46">
        <v>100</v>
      </c>
      <c r="AG31" s="45">
        <v>12</v>
      </c>
      <c r="AH31" s="75"/>
      <c r="AI31" s="75"/>
      <c r="AJ31" s="75" t="s">
        <v>795</v>
      </c>
      <c r="AK31" s="80" t="s">
        <v>3260</v>
      </c>
      <c r="AL31" s="80" t="s">
        <v>1674</v>
      </c>
      <c r="AM31" s="80" t="s">
        <v>4304</v>
      </c>
      <c r="AN31" s="80"/>
      <c r="AO31" s="80" t="s">
        <v>4361</v>
      </c>
    </row>
    <row r="32" spans="1:41" ht="15">
      <c r="A32" s="61" t="s">
        <v>3205</v>
      </c>
      <c r="B32" s="62" t="s">
        <v>3240</v>
      </c>
      <c r="C32" s="62" t="s">
        <v>61</v>
      </c>
      <c r="D32" s="11"/>
      <c r="E32" s="11"/>
      <c r="F32" s="12" t="s">
        <v>4724</v>
      </c>
      <c r="G32" s="60"/>
      <c r="H32" s="60"/>
      <c r="I32" s="74">
        <v>32</v>
      </c>
      <c r="J32" s="74"/>
      <c r="K32" s="45">
        <v>4</v>
      </c>
      <c r="L32" s="45">
        <v>3</v>
      </c>
      <c r="M32" s="45">
        <v>0</v>
      </c>
      <c r="N32" s="45">
        <v>3</v>
      </c>
      <c r="O32" s="45">
        <v>0</v>
      </c>
      <c r="P32" s="46">
        <v>0</v>
      </c>
      <c r="Q32" s="46">
        <v>0</v>
      </c>
      <c r="R32" s="45">
        <v>1</v>
      </c>
      <c r="S32" s="45">
        <v>0</v>
      </c>
      <c r="T32" s="45">
        <v>4</v>
      </c>
      <c r="U32" s="45">
        <v>3</v>
      </c>
      <c r="V32" s="45">
        <v>2</v>
      </c>
      <c r="W32" s="46">
        <v>1.125</v>
      </c>
      <c r="X32" s="46">
        <v>0.25</v>
      </c>
      <c r="Y32" s="45">
        <v>1</v>
      </c>
      <c r="Z32" s="46">
        <v>5.555555555555555</v>
      </c>
      <c r="AA32" s="45">
        <v>0</v>
      </c>
      <c r="AB32" s="46">
        <v>0</v>
      </c>
      <c r="AC32" s="45">
        <v>0</v>
      </c>
      <c r="AD32" s="46">
        <v>0</v>
      </c>
      <c r="AE32" s="45">
        <v>17</v>
      </c>
      <c r="AF32" s="46">
        <v>94.44444444444444</v>
      </c>
      <c r="AG32" s="45">
        <v>18</v>
      </c>
      <c r="AH32" s="75"/>
      <c r="AI32" s="75"/>
      <c r="AJ32" s="75" t="s">
        <v>795</v>
      </c>
      <c r="AK32" s="80" t="s">
        <v>1674</v>
      </c>
      <c r="AL32" s="80" t="s">
        <v>1674</v>
      </c>
      <c r="AM32" s="80" t="s">
        <v>434</v>
      </c>
      <c r="AN32" s="80" t="s">
        <v>4319</v>
      </c>
      <c r="AO32" s="80" t="s">
        <v>4362</v>
      </c>
    </row>
    <row r="33" spans="1:41" ht="15">
      <c r="A33" s="61" t="s">
        <v>3206</v>
      </c>
      <c r="B33" s="62" t="s">
        <v>3241</v>
      </c>
      <c r="C33" s="62" t="s">
        <v>61</v>
      </c>
      <c r="D33" s="11"/>
      <c r="E33" s="11"/>
      <c r="F33" s="12" t="s">
        <v>4725</v>
      </c>
      <c r="G33" s="60"/>
      <c r="H33" s="60"/>
      <c r="I33" s="74">
        <v>33</v>
      </c>
      <c r="J33" s="74"/>
      <c r="K33" s="45">
        <v>3</v>
      </c>
      <c r="L33" s="45">
        <v>2</v>
      </c>
      <c r="M33" s="45">
        <v>0</v>
      </c>
      <c r="N33" s="45">
        <v>2</v>
      </c>
      <c r="O33" s="45">
        <v>0</v>
      </c>
      <c r="P33" s="46">
        <v>0</v>
      </c>
      <c r="Q33" s="46">
        <v>0</v>
      </c>
      <c r="R33" s="45">
        <v>1</v>
      </c>
      <c r="S33" s="45">
        <v>0</v>
      </c>
      <c r="T33" s="45">
        <v>3</v>
      </c>
      <c r="U33" s="45">
        <v>2</v>
      </c>
      <c r="V33" s="45">
        <v>2</v>
      </c>
      <c r="W33" s="46">
        <v>0.888889</v>
      </c>
      <c r="X33" s="46">
        <v>0.3333333333333333</v>
      </c>
      <c r="Y33" s="45">
        <v>0</v>
      </c>
      <c r="Z33" s="46">
        <v>0</v>
      </c>
      <c r="AA33" s="45">
        <v>2</v>
      </c>
      <c r="AB33" s="46">
        <v>14.285714285714286</v>
      </c>
      <c r="AC33" s="45">
        <v>0</v>
      </c>
      <c r="AD33" s="46">
        <v>0</v>
      </c>
      <c r="AE33" s="45">
        <v>12</v>
      </c>
      <c r="AF33" s="46">
        <v>85.71428571428571</v>
      </c>
      <c r="AG33" s="45">
        <v>14</v>
      </c>
      <c r="AH33" s="75"/>
      <c r="AI33" s="75"/>
      <c r="AJ33" s="75" t="s">
        <v>795</v>
      </c>
      <c r="AK33" s="80" t="s">
        <v>1674</v>
      </c>
      <c r="AL33" s="80" t="s">
        <v>1674</v>
      </c>
      <c r="AM33" s="80" t="s">
        <v>566</v>
      </c>
      <c r="AN33" s="80" t="s">
        <v>565</v>
      </c>
      <c r="AO33" s="80" t="s">
        <v>4363</v>
      </c>
    </row>
    <row r="34" spans="1:41" ht="15">
      <c r="A34" s="61" t="s">
        <v>3207</v>
      </c>
      <c r="B34" s="62" t="s">
        <v>3242</v>
      </c>
      <c r="C34" s="62" t="s">
        <v>61</v>
      </c>
      <c r="D34" s="11"/>
      <c r="E34" s="11"/>
      <c r="F34" s="12" t="s">
        <v>4726</v>
      </c>
      <c r="G34" s="60"/>
      <c r="H34" s="60"/>
      <c r="I34" s="74">
        <v>34</v>
      </c>
      <c r="J34" s="74"/>
      <c r="K34" s="45">
        <v>3</v>
      </c>
      <c r="L34" s="45">
        <v>3</v>
      </c>
      <c r="M34" s="45">
        <v>0</v>
      </c>
      <c r="N34" s="45">
        <v>3</v>
      </c>
      <c r="O34" s="45">
        <v>1</v>
      </c>
      <c r="P34" s="46">
        <v>0</v>
      </c>
      <c r="Q34" s="46">
        <v>0</v>
      </c>
      <c r="R34" s="45">
        <v>1</v>
      </c>
      <c r="S34" s="45">
        <v>0</v>
      </c>
      <c r="T34" s="45">
        <v>3</v>
      </c>
      <c r="U34" s="45">
        <v>3</v>
      </c>
      <c r="V34" s="45">
        <v>2</v>
      </c>
      <c r="W34" s="46">
        <v>0.888889</v>
      </c>
      <c r="X34" s="46">
        <v>0.3333333333333333</v>
      </c>
      <c r="Y34" s="45">
        <v>0</v>
      </c>
      <c r="Z34" s="46">
        <v>0</v>
      </c>
      <c r="AA34" s="45">
        <v>3</v>
      </c>
      <c r="AB34" s="46">
        <v>3.75</v>
      </c>
      <c r="AC34" s="45">
        <v>0</v>
      </c>
      <c r="AD34" s="46">
        <v>0</v>
      </c>
      <c r="AE34" s="45">
        <v>77</v>
      </c>
      <c r="AF34" s="46">
        <v>96.25</v>
      </c>
      <c r="AG34" s="45">
        <v>80</v>
      </c>
      <c r="AH34" s="75" t="s">
        <v>4005</v>
      </c>
      <c r="AI34" s="75" t="s">
        <v>783</v>
      </c>
      <c r="AJ34" s="75" t="s">
        <v>841</v>
      </c>
      <c r="AK34" s="80" t="s">
        <v>4128</v>
      </c>
      <c r="AL34" s="80" t="s">
        <v>1674</v>
      </c>
      <c r="AM34" s="80"/>
      <c r="AN34" s="80" t="s">
        <v>4320</v>
      </c>
      <c r="AO34" s="80" t="s">
        <v>4364</v>
      </c>
    </row>
    <row r="35" spans="1:41" ht="15">
      <c r="A35" s="61" t="s">
        <v>3208</v>
      </c>
      <c r="B35" s="62" t="s">
        <v>3243</v>
      </c>
      <c r="C35" s="62" t="s">
        <v>61</v>
      </c>
      <c r="D35" s="11"/>
      <c r="E35" s="11"/>
      <c r="F35" s="12" t="s">
        <v>3208</v>
      </c>
      <c r="G35" s="60"/>
      <c r="H35" s="60"/>
      <c r="I35" s="74">
        <v>35</v>
      </c>
      <c r="J35" s="74"/>
      <c r="K35" s="45">
        <v>3</v>
      </c>
      <c r="L35" s="45">
        <v>2</v>
      </c>
      <c r="M35" s="45">
        <v>0</v>
      </c>
      <c r="N35" s="45">
        <v>2</v>
      </c>
      <c r="O35" s="45">
        <v>0</v>
      </c>
      <c r="P35" s="46">
        <v>0</v>
      </c>
      <c r="Q35" s="46">
        <v>0</v>
      </c>
      <c r="R35" s="45">
        <v>1</v>
      </c>
      <c r="S35" s="45">
        <v>0</v>
      </c>
      <c r="T35" s="45">
        <v>3</v>
      </c>
      <c r="U35" s="45">
        <v>2</v>
      </c>
      <c r="V35" s="45">
        <v>2</v>
      </c>
      <c r="W35" s="46">
        <v>0.888889</v>
      </c>
      <c r="X35" s="46">
        <v>0.3333333333333333</v>
      </c>
      <c r="Y35" s="45">
        <v>0</v>
      </c>
      <c r="Z35" s="46">
        <v>0</v>
      </c>
      <c r="AA35" s="45">
        <v>0</v>
      </c>
      <c r="AB35" s="46">
        <v>0</v>
      </c>
      <c r="AC35" s="45">
        <v>0</v>
      </c>
      <c r="AD35" s="46">
        <v>0</v>
      </c>
      <c r="AE35" s="45">
        <v>33</v>
      </c>
      <c r="AF35" s="46">
        <v>100</v>
      </c>
      <c r="AG35" s="45">
        <v>33</v>
      </c>
      <c r="AH35" s="75"/>
      <c r="AI35" s="75"/>
      <c r="AJ35" s="75"/>
      <c r="AK35" s="80" t="s">
        <v>3262</v>
      </c>
      <c r="AL35" s="80" t="s">
        <v>1674</v>
      </c>
      <c r="AM35" s="80" t="s">
        <v>522</v>
      </c>
      <c r="AN35" s="80" t="s">
        <v>521</v>
      </c>
      <c r="AO35" s="80" t="s">
        <v>4365</v>
      </c>
    </row>
    <row r="36" spans="1:41" ht="15">
      <c r="A36" s="61" t="s">
        <v>3209</v>
      </c>
      <c r="B36" s="62" t="s">
        <v>3244</v>
      </c>
      <c r="C36" s="62" t="s">
        <v>61</v>
      </c>
      <c r="D36" s="11"/>
      <c r="E36" s="11"/>
      <c r="F36" s="12" t="s">
        <v>4727</v>
      </c>
      <c r="G36" s="60"/>
      <c r="H36" s="60"/>
      <c r="I36" s="74">
        <v>36</v>
      </c>
      <c r="J36" s="74"/>
      <c r="K36" s="45">
        <v>3</v>
      </c>
      <c r="L36" s="45">
        <v>2</v>
      </c>
      <c r="M36" s="45">
        <v>0</v>
      </c>
      <c r="N36" s="45">
        <v>2</v>
      </c>
      <c r="O36" s="45">
        <v>0</v>
      </c>
      <c r="P36" s="46">
        <v>0</v>
      </c>
      <c r="Q36" s="46">
        <v>0</v>
      </c>
      <c r="R36" s="45">
        <v>1</v>
      </c>
      <c r="S36" s="45">
        <v>0</v>
      </c>
      <c r="T36" s="45">
        <v>3</v>
      </c>
      <c r="U36" s="45">
        <v>2</v>
      </c>
      <c r="V36" s="45">
        <v>2</v>
      </c>
      <c r="W36" s="46">
        <v>0.888889</v>
      </c>
      <c r="X36" s="46">
        <v>0.3333333333333333</v>
      </c>
      <c r="Y36" s="45">
        <v>1</v>
      </c>
      <c r="Z36" s="46">
        <v>3.0303030303030303</v>
      </c>
      <c r="AA36" s="45">
        <v>1</v>
      </c>
      <c r="AB36" s="46">
        <v>3.0303030303030303</v>
      </c>
      <c r="AC36" s="45">
        <v>0</v>
      </c>
      <c r="AD36" s="46">
        <v>0</v>
      </c>
      <c r="AE36" s="45">
        <v>31</v>
      </c>
      <c r="AF36" s="46">
        <v>93.93939393939394</v>
      </c>
      <c r="AG36" s="45">
        <v>33</v>
      </c>
      <c r="AH36" s="75"/>
      <c r="AI36" s="75"/>
      <c r="AJ36" s="75" t="s">
        <v>840</v>
      </c>
      <c r="AK36" s="80" t="s">
        <v>4129</v>
      </c>
      <c r="AL36" s="80" t="s">
        <v>1674</v>
      </c>
      <c r="AM36" s="80" t="s">
        <v>520</v>
      </c>
      <c r="AN36" s="80" t="s">
        <v>519</v>
      </c>
      <c r="AO36" s="80" t="s">
        <v>4366</v>
      </c>
    </row>
    <row r="37" spans="1:41" ht="15">
      <c r="A37" s="61" t="s">
        <v>3210</v>
      </c>
      <c r="B37" s="62" t="s">
        <v>3245</v>
      </c>
      <c r="C37" s="62" t="s">
        <v>61</v>
      </c>
      <c r="D37" s="11"/>
      <c r="E37" s="11"/>
      <c r="F37" s="12" t="s">
        <v>4728</v>
      </c>
      <c r="G37" s="60"/>
      <c r="H37" s="60"/>
      <c r="I37" s="74">
        <v>37</v>
      </c>
      <c r="J37" s="74"/>
      <c r="K37" s="45">
        <v>3</v>
      </c>
      <c r="L37" s="45">
        <v>2</v>
      </c>
      <c r="M37" s="45">
        <v>0</v>
      </c>
      <c r="N37" s="45">
        <v>2</v>
      </c>
      <c r="O37" s="45">
        <v>0</v>
      </c>
      <c r="P37" s="46">
        <v>0</v>
      </c>
      <c r="Q37" s="46">
        <v>0</v>
      </c>
      <c r="R37" s="45">
        <v>1</v>
      </c>
      <c r="S37" s="45">
        <v>0</v>
      </c>
      <c r="T37" s="45">
        <v>3</v>
      </c>
      <c r="U37" s="45">
        <v>2</v>
      </c>
      <c r="V37" s="45">
        <v>2</v>
      </c>
      <c r="W37" s="46">
        <v>0.888889</v>
      </c>
      <c r="X37" s="46">
        <v>0.3333333333333333</v>
      </c>
      <c r="Y37" s="45">
        <v>0</v>
      </c>
      <c r="Z37" s="46">
        <v>0</v>
      </c>
      <c r="AA37" s="45">
        <v>0</v>
      </c>
      <c r="AB37" s="46">
        <v>0</v>
      </c>
      <c r="AC37" s="45">
        <v>0</v>
      </c>
      <c r="AD37" s="46">
        <v>0</v>
      </c>
      <c r="AE37" s="45">
        <v>3</v>
      </c>
      <c r="AF37" s="46">
        <v>100</v>
      </c>
      <c r="AG37" s="45">
        <v>3</v>
      </c>
      <c r="AH37" s="75"/>
      <c r="AI37" s="75"/>
      <c r="AJ37" s="75" t="s">
        <v>795</v>
      </c>
      <c r="AK37" s="80" t="s">
        <v>1674</v>
      </c>
      <c r="AL37" s="80" t="s">
        <v>1674</v>
      </c>
      <c r="AM37" s="80" t="s">
        <v>504</v>
      </c>
      <c r="AN37" s="80" t="s">
        <v>503</v>
      </c>
      <c r="AO37" s="80" t="s">
        <v>4367</v>
      </c>
    </row>
    <row r="38" spans="1:41" ht="15">
      <c r="A38" s="61" t="s">
        <v>3211</v>
      </c>
      <c r="B38" s="62" t="s">
        <v>3246</v>
      </c>
      <c r="C38" s="62" t="s">
        <v>61</v>
      </c>
      <c r="D38" s="11"/>
      <c r="E38" s="11"/>
      <c r="F38" s="12" t="s">
        <v>4729</v>
      </c>
      <c r="G38" s="60"/>
      <c r="H38" s="60"/>
      <c r="I38" s="74">
        <v>38</v>
      </c>
      <c r="J38" s="74"/>
      <c r="K38" s="45">
        <v>3</v>
      </c>
      <c r="L38" s="45">
        <v>2</v>
      </c>
      <c r="M38" s="45">
        <v>0</v>
      </c>
      <c r="N38" s="45">
        <v>2</v>
      </c>
      <c r="O38" s="45">
        <v>0</v>
      </c>
      <c r="P38" s="46">
        <v>0</v>
      </c>
      <c r="Q38" s="46">
        <v>0</v>
      </c>
      <c r="R38" s="45">
        <v>1</v>
      </c>
      <c r="S38" s="45">
        <v>0</v>
      </c>
      <c r="T38" s="45">
        <v>3</v>
      </c>
      <c r="U38" s="45">
        <v>2</v>
      </c>
      <c r="V38" s="45">
        <v>2</v>
      </c>
      <c r="W38" s="46">
        <v>0.888889</v>
      </c>
      <c r="X38" s="46">
        <v>0.3333333333333333</v>
      </c>
      <c r="Y38" s="45">
        <v>0</v>
      </c>
      <c r="Z38" s="46">
        <v>0</v>
      </c>
      <c r="AA38" s="45">
        <v>0</v>
      </c>
      <c r="AB38" s="46">
        <v>0</v>
      </c>
      <c r="AC38" s="45">
        <v>0</v>
      </c>
      <c r="AD38" s="46">
        <v>0</v>
      </c>
      <c r="AE38" s="45">
        <v>6</v>
      </c>
      <c r="AF38" s="46">
        <v>100</v>
      </c>
      <c r="AG38" s="45">
        <v>6</v>
      </c>
      <c r="AH38" s="75"/>
      <c r="AI38" s="75"/>
      <c r="AJ38" s="75" t="s">
        <v>816</v>
      </c>
      <c r="AK38" s="80" t="s">
        <v>1674</v>
      </c>
      <c r="AL38" s="80" t="s">
        <v>1674</v>
      </c>
      <c r="AM38" s="80" t="s">
        <v>467</v>
      </c>
      <c r="AN38" s="80" t="s">
        <v>466</v>
      </c>
      <c r="AO38" s="80" t="s">
        <v>4368</v>
      </c>
    </row>
    <row r="39" spans="1:41" ht="15">
      <c r="A39" s="61" t="s">
        <v>3212</v>
      </c>
      <c r="B39" s="62" t="s">
        <v>3235</v>
      </c>
      <c r="C39" s="62" t="s">
        <v>63</v>
      </c>
      <c r="D39" s="11"/>
      <c r="E39" s="11"/>
      <c r="F39" s="12" t="s">
        <v>4730</v>
      </c>
      <c r="G39" s="60"/>
      <c r="H39" s="60"/>
      <c r="I39" s="74">
        <v>39</v>
      </c>
      <c r="J39" s="74"/>
      <c r="K39" s="45">
        <v>3</v>
      </c>
      <c r="L39" s="45">
        <v>2</v>
      </c>
      <c r="M39" s="45">
        <v>0</v>
      </c>
      <c r="N39" s="45">
        <v>2</v>
      </c>
      <c r="O39" s="45">
        <v>0</v>
      </c>
      <c r="P39" s="46">
        <v>0</v>
      </c>
      <c r="Q39" s="46">
        <v>0</v>
      </c>
      <c r="R39" s="45">
        <v>1</v>
      </c>
      <c r="S39" s="45">
        <v>0</v>
      </c>
      <c r="T39" s="45">
        <v>3</v>
      </c>
      <c r="U39" s="45">
        <v>2</v>
      </c>
      <c r="V39" s="45">
        <v>2</v>
      </c>
      <c r="W39" s="46">
        <v>0.888889</v>
      </c>
      <c r="X39" s="46">
        <v>0.3333333333333333</v>
      </c>
      <c r="Y39" s="45">
        <v>0</v>
      </c>
      <c r="Z39" s="46">
        <v>0</v>
      </c>
      <c r="AA39" s="45">
        <v>0</v>
      </c>
      <c r="AB39" s="46">
        <v>0</v>
      </c>
      <c r="AC39" s="45">
        <v>0</v>
      </c>
      <c r="AD39" s="46">
        <v>0</v>
      </c>
      <c r="AE39" s="45">
        <v>5</v>
      </c>
      <c r="AF39" s="46">
        <v>100</v>
      </c>
      <c r="AG39" s="45">
        <v>5</v>
      </c>
      <c r="AH39" s="75"/>
      <c r="AI39" s="75"/>
      <c r="AJ39" s="75" t="s">
        <v>4087</v>
      </c>
      <c r="AK39" s="80" t="s">
        <v>4130</v>
      </c>
      <c r="AL39" s="80" t="s">
        <v>1674</v>
      </c>
      <c r="AM39" s="80" t="s">
        <v>462</v>
      </c>
      <c r="AN39" s="80"/>
      <c r="AO39" s="80" t="s">
        <v>4369</v>
      </c>
    </row>
    <row r="40" spans="1:41" ht="15">
      <c r="A40" s="61" t="s">
        <v>3213</v>
      </c>
      <c r="B40" s="62" t="s">
        <v>3236</v>
      </c>
      <c r="C40" s="62" t="s">
        <v>63</v>
      </c>
      <c r="D40" s="11"/>
      <c r="E40" s="11"/>
      <c r="F40" s="12" t="s">
        <v>4731</v>
      </c>
      <c r="G40" s="60"/>
      <c r="H40" s="60"/>
      <c r="I40" s="74">
        <v>40</v>
      </c>
      <c r="J40" s="74"/>
      <c r="K40" s="45">
        <v>3</v>
      </c>
      <c r="L40" s="45">
        <v>3</v>
      </c>
      <c r="M40" s="45">
        <v>0</v>
      </c>
      <c r="N40" s="45">
        <v>3</v>
      </c>
      <c r="O40" s="45">
        <v>0</v>
      </c>
      <c r="P40" s="46">
        <v>0</v>
      </c>
      <c r="Q40" s="46">
        <v>0</v>
      </c>
      <c r="R40" s="45">
        <v>1</v>
      </c>
      <c r="S40" s="45">
        <v>0</v>
      </c>
      <c r="T40" s="45">
        <v>3</v>
      </c>
      <c r="U40" s="45">
        <v>3</v>
      </c>
      <c r="V40" s="45">
        <v>1</v>
      </c>
      <c r="W40" s="46">
        <v>0.666667</v>
      </c>
      <c r="X40" s="46">
        <v>0.5</v>
      </c>
      <c r="Y40" s="45">
        <v>0</v>
      </c>
      <c r="Z40" s="46">
        <v>0</v>
      </c>
      <c r="AA40" s="45">
        <v>0</v>
      </c>
      <c r="AB40" s="46">
        <v>0</v>
      </c>
      <c r="AC40" s="45">
        <v>0</v>
      </c>
      <c r="AD40" s="46">
        <v>0</v>
      </c>
      <c r="AE40" s="45">
        <v>24</v>
      </c>
      <c r="AF40" s="46">
        <v>100</v>
      </c>
      <c r="AG40" s="45">
        <v>24</v>
      </c>
      <c r="AH40" s="75"/>
      <c r="AI40" s="75"/>
      <c r="AJ40" s="75" t="s">
        <v>803</v>
      </c>
      <c r="AK40" s="80" t="s">
        <v>4131</v>
      </c>
      <c r="AL40" s="80" t="s">
        <v>4263</v>
      </c>
      <c r="AM40" s="80" t="s">
        <v>461</v>
      </c>
      <c r="AN40" s="80"/>
      <c r="AO40" s="80" t="s">
        <v>4370</v>
      </c>
    </row>
    <row r="41" spans="1:41" ht="15">
      <c r="A41" s="61" t="s">
        <v>3214</v>
      </c>
      <c r="B41" s="62" t="s">
        <v>3237</v>
      </c>
      <c r="C41" s="62" t="s">
        <v>63</v>
      </c>
      <c r="D41" s="11"/>
      <c r="E41" s="11"/>
      <c r="F41" s="12" t="s">
        <v>4732</v>
      </c>
      <c r="G41" s="60"/>
      <c r="H41" s="60"/>
      <c r="I41" s="74">
        <v>41</v>
      </c>
      <c r="J41" s="74"/>
      <c r="K41" s="45">
        <v>2</v>
      </c>
      <c r="L41" s="45">
        <v>1</v>
      </c>
      <c r="M41" s="45">
        <v>0</v>
      </c>
      <c r="N41" s="45">
        <v>1</v>
      </c>
      <c r="O41" s="45">
        <v>0</v>
      </c>
      <c r="P41" s="46">
        <v>0</v>
      </c>
      <c r="Q41" s="46">
        <v>0</v>
      </c>
      <c r="R41" s="45">
        <v>1</v>
      </c>
      <c r="S41" s="45">
        <v>0</v>
      </c>
      <c r="T41" s="45">
        <v>2</v>
      </c>
      <c r="U41" s="45">
        <v>1</v>
      </c>
      <c r="V41" s="45">
        <v>1</v>
      </c>
      <c r="W41" s="46">
        <v>0.5</v>
      </c>
      <c r="X41" s="46">
        <v>0.5</v>
      </c>
      <c r="Y41" s="45">
        <v>0</v>
      </c>
      <c r="Z41" s="46">
        <v>0</v>
      </c>
      <c r="AA41" s="45">
        <v>0</v>
      </c>
      <c r="AB41" s="46">
        <v>0</v>
      </c>
      <c r="AC41" s="45">
        <v>0</v>
      </c>
      <c r="AD41" s="46">
        <v>0</v>
      </c>
      <c r="AE41" s="45">
        <v>17</v>
      </c>
      <c r="AF41" s="46">
        <v>100</v>
      </c>
      <c r="AG41" s="45">
        <v>17</v>
      </c>
      <c r="AH41" s="75"/>
      <c r="AI41" s="75"/>
      <c r="AJ41" s="75" t="s">
        <v>795</v>
      </c>
      <c r="AK41" s="80" t="s">
        <v>1674</v>
      </c>
      <c r="AL41" s="80" t="s">
        <v>1674</v>
      </c>
      <c r="AM41" s="80" t="s">
        <v>544</v>
      </c>
      <c r="AN41" s="80"/>
      <c r="AO41" s="80" t="s">
        <v>4371</v>
      </c>
    </row>
    <row r="42" spans="1:41" ht="15">
      <c r="A42" s="61" t="s">
        <v>3215</v>
      </c>
      <c r="B42" s="62" t="s">
        <v>3238</v>
      </c>
      <c r="C42" s="62" t="s">
        <v>63</v>
      </c>
      <c r="D42" s="11"/>
      <c r="E42" s="11"/>
      <c r="F42" s="12" t="s">
        <v>4733</v>
      </c>
      <c r="G42" s="60"/>
      <c r="H42" s="60"/>
      <c r="I42" s="74">
        <v>42</v>
      </c>
      <c r="J42" s="74"/>
      <c r="K42" s="45">
        <v>2</v>
      </c>
      <c r="L42" s="45">
        <v>1</v>
      </c>
      <c r="M42" s="45">
        <v>0</v>
      </c>
      <c r="N42" s="45">
        <v>1</v>
      </c>
      <c r="O42" s="45">
        <v>0</v>
      </c>
      <c r="P42" s="46">
        <v>0</v>
      </c>
      <c r="Q42" s="46">
        <v>0</v>
      </c>
      <c r="R42" s="45">
        <v>1</v>
      </c>
      <c r="S42" s="45">
        <v>0</v>
      </c>
      <c r="T42" s="45">
        <v>2</v>
      </c>
      <c r="U42" s="45">
        <v>1</v>
      </c>
      <c r="V42" s="45">
        <v>1</v>
      </c>
      <c r="W42" s="46">
        <v>0.5</v>
      </c>
      <c r="X42" s="46">
        <v>0.5</v>
      </c>
      <c r="Y42" s="45">
        <v>0</v>
      </c>
      <c r="Z42" s="46">
        <v>0</v>
      </c>
      <c r="AA42" s="45">
        <v>0</v>
      </c>
      <c r="AB42" s="46">
        <v>0</v>
      </c>
      <c r="AC42" s="45">
        <v>0</v>
      </c>
      <c r="AD42" s="46">
        <v>0</v>
      </c>
      <c r="AE42" s="45">
        <v>32</v>
      </c>
      <c r="AF42" s="46">
        <v>100</v>
      </c>
      <c r="AG42" s="45">
        <v>32</v>
      </c>
      <c r="AH42" s="75"/>
      <c r="AI42" s="75"/>
      <c r="AJ42" s="75" t="s">
        <v>858</v>
      </c>
      <c r="AK42" s="80" t="s">
        <v>4132</v>
      </c>
      <c r="AL42" s="80" t="s">
        <v>1674</v>
      </c>
      <c r="AM42" s="80" t="s">
        <v>543</v>
      </c>
      <c r="AN42" s="80"/>
      <c r="AO42" s="80" t="s">
        <v>4372</v>
      </c>
    </row>
    <row r="43" spans="1:41" ht="15">
      <c r="A43" s="61" t="s">
        <v>3216</v>
      </c>
      <c r="B43" s="62" t="s">
        <v>3239</v>
      </c>
      <c r="C43" s="62" t="s">
        <v>63</v>
      </c>
      <c r="D43" s="11"/>
      <c r="E43" s="11"/>
      <c r="F43" s="12" t="s">
        <v>4734</v>
      </c>
      <c r="G43" s="60"/>
      <c r="H43" s="60"/>
      <c r="I43" s="74">
        <v>43</v>
      </c>
      <c r="J43" s="74"/>
      <c r="K43" s="45">
        <v>2</v>
      </c>
      <c r="L43" s="45">
        <v>2</v>
      </c>
      <c r="M43" s="45">
        <v>0</v>
      </c>
      <c r="N43" s="45">
        <v>2</v>
      </c>
      <c r="O43" s="45">
        <v>1</v>
      </c>
      <c r="P43" s="46">
        <v>0</v>
      </c>
      <c r="Q43" s="46">
        <v>0</v>
      </c>
      <c r="R43" s="45">
        <v>1</v>
      </c>
      <c r="S43" s="45">
        <v>0</v>
      </c>
      <c r="T43" s="45">
        <v>2</v>
      </c>
      <c r="U43" s="45">
        <v>2</v>
      </c>
      <c r="V43" s="45">
        <v>1</v>
      </c>
      <c r="W43" s="46">
        <v>0.5</v>
      </c>
      <c r="X43" s="46">
        <v>0.5</v>
      </c>
      <c r="Y43" s="45">
        <v>4</v>
      </c>
      <c r="Z43" s="46">
        <v>28.571428571428573</v>
      </c>
      <c r="AA43" s="45">
        <v>0</v>
      </c>
      <c r="AB43" s="46">
        <v>0</v>
      </c>
      <c r="AC43" s="45">
        <v>0</v>
      </c>
      <c r="AD43" s="46">
        <v>0</v>
      </c>
      <c r="AE43" s="45">
        <v>10</v>
      </c>
      <c r="AF43" s="46">
        <v>71.42857142857143</v>
      </c>
      <c r="AG43" s="45">
        <v>14</v>
      </c>
      <c r="AH43" s="75"/>
      <c r="AI43" s="75"/>
      <c r="AJ43" s="75" t="s">
        <v>851</v>
      </c>
      <c r="AK43" s="80" t="s">
        <v>4133</v>
      </c>
      <c r="AL43" s="80" t="s">
        <v>4264</v>
      </c>
      <c r="AM43" s="80"/>
      <c r="AN43" s="80"/>
      <c r="AO43" s="80" t="s">
        <v>4373</v>
      </c>
    </row>
    <row r="44" spans="1:41" ht="15">
      <c r="A44" s="61" t="s">
        <v>3217</v>
      </c>
      <c r="B44" s="62" t="s">
        <v>3240</v>
      </c>
      <c r="C44" s="62" t="s">
        <v>63</v>
      </c>
      <c r="D44" s="11"/>
      <c r="E44" s="11"/>
      <c r="F44" s="12" t="s">
        <v>4735</v>
      </c>
      <c r="G44" s="60"/>
      <c r="H44" s="60"/>
      <c r="I44" s="74">
        <v>44</v>
      </c>
      <c r="J44" s="74"/>
      <c r="K44" s="45">
        <v>2</v>
      </c>
      <c r="L44" s="45">
        <v>1</v>
      </c>
      <c r="M44" s="45">
        <v>0</v>
      </c>
      <c r="N44" s="45">
        <v>1</v>
      </c>
      <c r="O44" s="45">
        <v>0</v>
      </c>
      <c r="P44" s="46">
        <v>0</v>
      </c>
      <c r="Q44" s="46">
        <v>0</v>
      </c>
      <c r="R44" s="45">
        <v>1</v>
      </c>
      <c r="S44" s="45">
        <v>0</v>
      </c>
      <c r="T44" s="45">
        <v>2</v>
      </c>
      <c r="U44" s="45">
        <v>1</v>
      </c>
      <c r="V44" s="45">
        <v>1</v>
      </c>
      <c r="W44" s="46">
        <v>0.5</v>
      </c>
      <c r="X44" s="46">
        <v>0.5</v>
      </c>
      <c r="Y44" s="45">
        <v>0</v>
      </c>
      <c r="Z44" s="46">
        <v>0</v>
      </c>
      <c r="AA44" s="45">
        <v>0</v>
      </c>
      <c r="AB44" s="46">
        <v>0</v>
      </c>
      <c r="AC44" s="45">
        <v>0</v>
      </c>
      <c r="AD44" s="46">
        <v>0</v>
      </c>
      <c r="AE44" s="45">
        <v>2</v>
      </c>
      <c r="AF44" s="46">
        <v>100</v>
      </c>
      <c r="AG44" s="45">
        <v>2</v>
      </c>
      <c r="AH44" s="75"/>
      <c r="AI44" s="75"/>
      <c r="AJ44" s="75" t="s">
        <v>795</v>
      </c>
      <c r="AK44" s="80" t="s">
        <v>1674</v>
      </c>
      <c r="AL44" s="80" t="s">
        <v>1674</v>
      </c>
      <c r="AM44" s="80" t="s">
        <v>536</v>
      </c>
      <c r="AN44" s="80"/>
      <c r="AO44" s="80" t="s">
        <v>4374</v>
      </c>
    </row>
    <row r="45" spans="1:41" ht="15">
      <c r="A45" s="61" t="s">
        <v>3218</v>
      </c>
      <c r="B45" s="62" t="s">
        <v>3241</v>
      </c>
      <c r="C45" s="62" t="s">
        <v>63</v>
      </c>
      <c r="D45" s="11"/>
      <c r="E45" s="11"/>
      <c r="F45" s="12" t="s">
        <v>4736</v>
      </c>
      <c r="G45" s="60"/>
      <c r="H45" s="60"/>
      <c r="I45" s="74">
        <v>45</v>
      </c>
      <c r="J45" s="74"/>
      <c r="K45" s="45">
        <v>2</v>
      </c>
      <c r="L45" s="45">
        <v>2</v>
      </c>
      <c r="M45" s="45">
        <v>0</v>
      </c>
      <c r="N45" s="45">
        <v>2</v>
      </c>
      <c r="O45" s="45">
        <v>1</v>
      </c>
      <c r="P45" s="46">
        <v>0</v>
      </c>
      <c r="Q45" s="46">
        <v>0</v>
      </c>
      <c r="R45" s="45">
        <v>1</v>
      </c>
      <c r="S45" s="45">
        <v>0</v>
      </c>
      <c r="T45" s="45">
        <v>2</v>
      </c>
      <c r="U45" s="45">
        <v>2</v>
      </c>
      <c r="V45" s="45">
        <v>1</v>
      </c>
      <c r="W45" s="46">
        <v>0.5</v>
      </c>
      <c r="X45" s="46">
        <v>0.5</v>
      </c>
      <c r="Y45" s="45">
        <v>0</v>
      </c>
      <c r="Z45" s="46">
        <v>0</v>
      </c>
      <c r="AA45" s="45">
        <v>0</v>
      </c>
      <c r="AB45" s="46">
        <v>0</v>
      </c>
      <c r="AC45" s="45">
        <v>0</v>
      </c>
      <c r="AD45" s="46">
        <v>0</v>
      </c>
      <c r="AE45" s="45">
        <v>36</v>
      </c>
      <c r="AF45" s="46">
        <v>100</v>
      </c>
      <c r="AG45" s="45">
        <v>36</v>
      </c>
      <c r="AH45" s="75" t="s">
        <v>3965</v>
      </c>
      <c r="AI45" s="75" t="s">
        <v>783</v>
      </c>
      <c r="AJ45" s="75" t="s">
        <v>848</v>
      </c>
      <c r="AK45" s="80" t="s">
        <v>4134</v>
      </c>
      <c r="AL45" s="80" t="s">
        <v>4265</v>
      </c>
      <c r="AM45" s="80"/>
      <c r="AN45" s="80"/>
      <c r="AO45" s="80" t="s">
        <v>4375</v>
      </c>
    </row>
    <row r="46" spans="1:41" ht="15">
      <c r="A46" s="61" t="s">
        <v>3219</v>
      </c>
      <c r="B46" s="62" t="s">
        <v>3242</v>
      </c>
      <c r="C46" s="62" t="s">
        <v>63</v>
      </c>
      <c r="D46" s="11"/>
      <c r="E46" s="11"/>
      <c r="F46" s="12" t="s">
        <v>4737</v>
      </c>
      <c r="G46" s="60"/>
      <c r="H46" s="60"/>
      <c r="I46" s="74">
        <v>46</v>
      </c>
      <c r="J46" s="74"/>
      <c r="K46" s="45">
        <v>2</v>
      </c>
      <c r="L46" s="45">
        <v>1</v>
      </c>
      <c r="M46" s="45">
        <v>0</v>
      </c>
      <c r="N46" s="45">
        <v>1</v>
      </c>
      <c r="O46" s="45">
        <v>0</v>
      </c>
      <c r="P46" s="46">
        <v>0</v>
      </c>
      <c r="Q46" s="46">
        <v>0</v>
      </c>
      <c r="R46" s="45">
        <v>1</v>
      </c>
      <c r="S46" s="45">
        <v>0</v>
      </c>
      <c r="T46" s="45">
        <v>2</v>
      </c>
      <c r="U46" s="45">
        <v>1</v>
      </c>
      <c r="V46" s="45">
        <v>1</v>
      </c>
      <c r="W46" s="46">
        <v>0.5</v>
      </c>
      <c r="X46" s="46">
        <v>0.5</v>
      </c>
      <c r="Y46" s="45">
        <v>0</v>
      </c>
      <c r="Z46" s="46">
        <v>0</v>
      </c>
      <c r="AA46" s="45">
        <v>0</v>
      </c>
      <c r="AB46" s="46">
        <v>0</v>
      </c>
      <c r="AC46" s="45">
        <v>0</v>
      </c>
      <c r="AD46" s="46">
        <v>0</v>
      </c>
      <c r="AE46" s="45">
        <v>7</v>
      </c>
      <c r="AF46" s="46">
        <v>100</v>
      </c>
      <c r="AG46" s="45">
        <v>7</v>
      </c>
      <c r="AH46" s="75"/>
      <c r="AI46" s="75"/>
      <c r="AJ46" s="75" t="s">
        <v>844</v>
      </c>
      <c r="AK46" s="80" t="s">
        <v>1674</v>
      </c>
      <c r="AL46" s="80" t="s">
        <v>1674</v>
      </c>
      <c r="AM46" s="80" t="s">
        <v>525</v>
      </c>
      <c r="AN46" s="80"/>
      <c r="AO46" s="80" t="s">
        <v>4376</v>
      </c>
    </row>
    <row r="47" spans="1:41" ht="15">
      <c r="A47" s="61" t="s">
        <v>3220</v>
      </c>
      <c r="B47" s="62" t="s">
        <v>3243</v>
      </c>
      <c r="C47" s="62" t="s">
        <v>63</v>
      </c>
      <c r="D47" s="11"/>
      <c r="E47" s="11"/>
      <c r="F47" s="12" t="s">
        <v>4738</v>
      </c>
      <c r="G47" s="60"/>
      <c r="H47" s="60"/>
      <c r="I47" s="74">
        <v>47</v>
      </c>
      <c r="J47" s="74"/>
      <c r="K47" s="45">
        <v>2</v>
      </c>
      <c r="L47" s="45">
        <v>1</v>
      </c>
      <c r="M47" s="45">
        <v>0</v>
      </c>
      <c r="N47" s="45">
        <v>1</v>
      </c>
      <c r="O47" s="45">
        <v>0</v>
      </c>
      <c r="P47" s="46">
        <v>0</v>
      </c>
      <c r="Q47" s="46">
        <v>0</v>
      </c>
      <c r="R47" s="45">
        <v>1</v>
      </c>
      <c r="S47" s="45">
        <v>0</v>
      </c>
      <c r="T47" s="45">
        <v>2</v>
      </c>
      <c r="U47" s="45">
        <v>1</v>
      </c>
      <c r="V47" s="45">
        <v>1</v>
      </c>
      <c r="W47" s="46">
        <v>0.5</v>
      </c>
      <c r="X47" s="46">
        <v>0.5</v>
      </c>
      <c r="Y47" s="45">
        <v>2</v>
      </c>
      <c r="Z47" s="46">
        <v>5.2631578947368425</v>
      </c>
      <c r="AA47" s="45">
        <v>1</v>
      </c>
      <c r="AB47" s="46">
        <v>2.6315789473684212</v>
      </c>
      <c r="AC47" s="45">
        <v>0</v>
      </c>
      <c r="AD47" s="46">
        <v>0</v>
      </c>
      <c r="AE47" s="45">
        <v>35</v>
      </c>
      <c r="AF47" s="46">
        <v>92.10526315789474</v>
      </c>
      <c r="AG47" s="45">
        <v>38</v>
      </c>
      <c r="AH47" s="75"/>
      <c r="AI47" s="75"/>
      <c r="AJ47" s="75" t="s">
        <v>801</v>
      </c>
      <c r="AK47" s="80" t="s">
        <v>1674</v>
      </c>
      <c r="AL47" s="80" t="s">
        <v>1674</v>
      </c>
      <c r="AM47" s="80" t="s">
        <v>518</v>
      </c>
      <c r="AN47" s="80"/>
      <c r="AO47" s="80" t="s">
        <v>4377</v>
      </c>
    </row>
    <row r="48" spans="1:41" ht="15">
      <c r="A48" s="61" t="s">
        <v>3221</v>
      </c>
      <c r="B48" s="62" t="s">
        <v>3244</v>
      </c>
      <c r="C48" s="62" t="s">
        <v>63</v>
      </c>
      <c r="D48" s="11"/>
      <c r="E48" s="11"/>
      <c r="F48" s="12" t="s">
        <v>4739</v>
      </c>
      <c r="G48" s="60"/>
      <c r="H48" s="60"/>
      <c r="I48" s="74">
        <v>48</v>
      </c>
      <c r="J48" s="74"/>
      <c r="K48" s="45">
        <v>2</v>
      </c>
      <c r="L48" s="45">
        <v>1</v>
      </c>
      <c r="M48" s="45">
        <v>0</v>
      </c>
      <c r="N48" s="45">
        <v>1</v>
      </c>
      <c r="O48" s="45">
        <v>0</v>
      </c>
      <c r="P48" s="46">
        <v>0</v>
      </c>
      <c r="Q48" s="46">
        <v>0</v>
      </c>
      <c r="R48" s="45">
        <v>1</v>
      </c>
      <c r="S48" s="45">
        <v>0</v>
      </c>
      <c r="T48" s="45">
        <v>2</v>
      </c>
      <c r="U48" s="45">
        <v>1</v>
      </c>
      <c r="V48" s="45">
        <v>1</v>
      </c>
      <c r="W48" s="46">
        <v>0.5</v>
      </c>
      <c r="X48" s="46">
        <v>0.5</v>
      </c>
      <c r="Y48" s="45">
        <v>0</v>
      </c>
      <c r="Z48" s="46">
        <v>0</v>
      </c>
      <c r="AA48" s="45">
        <v>0</v>
      </c>
      <c r="AB48" s="46">
        <v>0</v>
      </c>
      <c r="AC48" s="45">
        <v>0</v>
      </c>
      <c r="AD48" s="46">
        <v>0</v>
      </c>
      <c r="AE48" s="45">
        <v>14</v>
      </c>
      <c r="AF48" s="46">
        <v>100</v>
      </c>
      <c r="AG48" s="45">
        <v>14</v>
      </c>
      <c r="AH48" s="75"/>
      <c r="AI48" s="75"/>
      <c r="AJ48" s="75" t="s">
        <v>4088</v>
      </c>
      <c r="AK48" s="80" t="s">
        <v>1674</v>
      </c>
      <c r="AL48" s="80" t="s">
        <v>1674</v>
      </c>
      <c r="AM48" s="80" t="s">
        <v>514</v>
      </c>
      <c r="AN48" s="80"/>
      <c r="AO48" s="80" t="s">
        <v>4378</v>
      </c>
    </row>
    <row r="49" spans="1:41" ht="15">
      <c r="A49" s="61" t="s">
        <v>3222</v>
      </c>
      <c r="B49" s="62" t="s">
        <v>3245</v>
      </c>
      <c r="C49" s="62" t="s">
        <v>63</v>
      </c>
      <c r="D49" s="11"/>
      <c r="E49" s="11"/>
      <c r="F49" s="12" t="s">
        <v>4740</v>
      </c>
      <c r="G49" s="60"/>
      <c r="H49" s="60"/>
      <c r="I49" s="74">
        <v>49</v>
      </c>
      <c r="J49" s="74"/>
      <c r="K49" s="45">
        <v>2</v>
      </c>
      <c r="L49" s="45">
        <v>1</v>
      </c>
      <c r="M49" s="45">
        <v>0</v>
      </c>
      <c r="N49" s="45">
        <v>1</v>
      </c>
      <c r="O49" s="45">
        <v>0</v>
      </c>
      <c r="P49" s="46">
        <v>0</v>
      </c>
      <c r="Q49" s="46">
        <v>0</v>
      </c>
      <c r="R49" s="45">
        <v>1</v>
      </c>
      <c r="S49" s="45">
        <v>0</v>
      </c>
      <c r="T49" s="45">
        <v>2</v>
      </c>
      <c r="U49" s="45">
        <v>1</v>
      </c>
      <c r="V49" s="45">
        <v>1</v>
      </c>
      <c r="W49" s="46">
        <v>0.5</v>
      </c>
      <c r="X49" s="46">
        <v>0.5</v>
      </c>
      <c r="Y49" s="45">
        <v>0</v>
      </c>
      <c r="Z49" s="46">
        <v>0</v>
      </c>
      <c r="AA49" s="45">
        <v>0</v>
      </c>
      <c r="AB49" s="46">
        <v>0</v>
      </c>
      <c r="AC49" s="45">
        <v>0</v>
      </c>
      <c r="AD49" s="46">
        <v>0</v>
      </c>
      <c r="AE49" s="45">
        <v>3</v>
      </c>
      <c r="AF49" s="46">
        <v>100</v>
      </c>
      <c r="AG49" s="45">
        <v>3</v>
      </c>
      <c r="AH49" s="75"/>
      <c r="AI49" s="75"/>
      <c r="AJ49" s="75" t="s">
        <v>837</v>
      </c>
      <c r="AK49" s="80" t="s">
        <v>1674</v>
      </c>
      <c r="AL49" s="80" t="s">
        <v>1674</v>
      </c>
      <c r="AM49" s="80" t="s">
        <v>513</v>
      </c>
      <c r="AN49" s="80"/>
      <c r="AO49" s="80" t="s">
        <v>4379</v>
      </c>
    </row>
    <row r="50" spans="1:41" ht="15">
      <c r="A50" s="61" t="s">
        <v>3223</v>
      </c>
      <c r="B50" s="62" t="s">
        <v>3246</v>
      </c>
      <c r="C50" s="62" t="s">
        <v>63</v>
      </c>
      <c r="D50" s="11"/>
      <c r="E50" s="11"/>
      <c r="F50" s="12" t="s">
        <v>3223</v>
      </c>
      <c r="G50" s="60"/>
      <c r="H50" s="60"/>
      <c r="I50" s="74">
        <v>50</v>
      </c>
      <c r="J50" s="74"/>
      <c r="K50" s="45">
        <v>2</v>
      </c>
      <c r="L50" s="45">
        <v>2</v>
      </c>
      <c r="M50" s="45">
        <v>0</v>
      </c>
      <c r="N50" s="45">
        <v>2</v>
      </c>
      <c r="O50" s="45">
        <v>1</v>
      </c>
      <c r="P50" s="46">
        <v>0</v>
      </c>
      <c r="Q50" s="46">
        <v>0</v>
      </c>
      <c r="R50" s="45">
        <v>1</v>
      </c>
      <c r="S50" s="45">
        <v>0</v>
      </c>
      <c r="T50" s="45">
        <v>2</v>
      </c>
      <c r="U50" s="45">
        <v>2</v>
      </c>
      <c r="V50" s="45">
        <v>1</v>
      </c>
      <c r="W50" s="46">
        <v>0.5</v>
      </c>
      <c r="X50" s="46">
        <v>0.5</v>
      </c>
      <c r="Y50" s="45">
        <v>0</v>
      </c>
      <c r="Z50" s="46">
        <v>0</v>
      </c>
      <c r="AA50" s="45">
        <v>0</v>
      </c>
      <c r="AB50" s="46">
        <v>0</v>
      </c>
      <c r="AC50" s="45">
        <v>0</v>
      </c>
      <c r="AD50" s="46">
        <v>0</v>
      </c>
      <c r="AE50" s="45">
        <v>74</v>
      </c>
      <c r="AF50" s="46">
        <v>100</v>
      </c>
      <c r="AG50" s="45">
        <v>74</v>
      </c>
      <c r="AH50" s="75"/>
      <c r="AI50" s="75"/>
      <c r="AJ50" s="75"/>
      <c r="AK50" s="80" t="s">
        <v>4135</v>
      </c>
      <c r="AL50" s="80" t="s">
        <v>4266</v>
      </c>
      <c r="AM50" s="80"/>
      <c r="AN50" s="80"/>
      <c r="AO50" s="80" t="s">
        <v>4380</v>
      </c>
    </row>
    <row r="51" spans="1:41" ht="15">
      <c r="A51" s="61" t="s">
        <v>3224</v>
      </c>
      <c r="B51" s="62" t="s">
        <v>3235</v>
      </c>
      <c r="C51" s="62" t="s">
        <v>57</v>
      </c>
      <c r="D51" s="11"/>
      <c r="E51" s="11"/>
      <c r="F51" s="12" t="s">
        <v>4741</v>
      </c>
      <c r="G51" s="60"/>
      <c r="H51" s="60"/>
      <c r="I51" s="74">
        <v>51</v>
      </c>
      <c r="J51" s="74"/>
      <c r="K51" s="45">
        <v>2</v>
      </c>
      <c r="L51" s="45">
        <v>1</v>
      </c>
      <c r="M51" s="45">
        <v>0</v>
      </c>
      <c r="N51" s="45">
        <v>1</v>
      </c>
      <c r="O51" s="45">
        <v>0</v>
      </c>
      <c r="P51" s="46">
        <v>0</v>
      </c>
      <c r="Q51" s="46">
        <v>0</v>
      </c>
      <c r="R51" s="45">
        <v>1</v>
      </c>
      <c r="S51" s="45">
        <v>0</v>
      </c>
      <c r="T51" s="45">
        <v>2</v>
      </c>
      <c r="U51" s="45">
        <v>1</v>
      </c>
      <c r="V51" s="45">
        <v>1</v>
      </c>
      <c r="W51" s="46">
        <v>0.5</v>
      </c>
      <c r="X51" s="46">
        <v>0.5</v>
      </c>
      <c r="Y51" s="45">
        <v>0</v>
      </c>
      <c r="Z51" s="46">
        <v>0</v>
      </c>
      <c r="AA51" s="45">
        <v>0</v>
      </c>
      <c r="AB51" s="46">
        <v>0</v>
      </c>
      <c r="AC51" s="45">
        <v>0</v>
      </c>
      <c r="AD51" s="46">
        <v>0</v>
      </c>
      <c r="AE51" s="45">
        <v>2</v>
      </c>
      <c r="AF51" s="46">
        <v>100</v>
      </c>
      <c r="AG51" s="45">
        <v>2</v>
      </c>
      <c r="AH51" s="75"/>
      <c r="AI51" s="75"/>
      <c r="AJ51" s="75" t="s">
        <v>795</v>
      </c>
      <c r="AK51" s="80" t="s">
        <v>1674</v>
      </c>
      <c r="AL51" s="80" t="s">
        <v>1674</v>
      </c>
      <c r="AM51" s="80" t="s">
        <v>502</v>
      </c>
      <c r="AN51" s="80"/>
      <c r="AO51" s="80" t="s">
        <v>4381</v>
      </c>
    </row>
    <row r="52" spans="1:41" ht="15">
      <c r="A52" s="61" t="s">
        <v>3225</v>
      </c>
      <c r="B52" s="62" t="s">
        <v>3236</v>
      </c>
      <c r="C52" s="62" t="s">
        <v>57</v>
      </c>
      <c r="D52" s="11"/>
      <c r="E52" s="11"/>
      <c r="F52" s="12" t="s">
        <v>4742</v>
      </c>
      <c r="G52" s="60"/>
      <c r="H52" s="60"/>
      <c r="I52" s="74">
        <v>52</v>
      </c>
      <c r="J52" s="74"/>
      <c r="K52" s="45">
        <v>2</v>
      </c>
      <c r="L52" s="45">
        <v>1</v>
      </c>
      <c r="M52" s="45">
        <v>0</v>
      </c>
      <c r="N52" s="45">
        <v>1</v>
      </c>
      <c r="O52" s="45">
        <v>0</v>
      </c>
      <c r="P52" s="46">
        <v>0</v>
      </c>
      <c r="Q52" s="46">
        <v>0</v>
      </c>
      <c r="R52" s="45">
        <v>1</v>
      </c>
      <c r="S52" s="45">
        <v>0</v>
      </c>
      <c r="T52" s="45">
        <v>2</v>
      </c>
      <c r="U52" s="45">
        <v>1</v>
      </c>
      <c r="V52" s="45">
        <v>1</v>
      </c>
      <c r="W52" s="46">
        <v>0.5</v>
      </c>
      <c r="X52" s="46">
        <v>0.5</v>
      </c>
      <c r="Y52" s="45">
        <v>3</v>
      </c>
      <c r="Z52" s="46">
        <v>30</v>
      </c>
      <c r="AA52" s="45">
        <v>0</v>
      </c>
      <c r="AB52" s="46">
        <v>0</v>
      </c>
      <c r="AC52" s="45">
        <v>0</v>
      </c>
      <c r="AD52" s="46">
        <v>0</v>
      </c>
      <c r="AE52" s="45">
        <v>7</v>
      </c>
      <c r="AF52" s="46">
        <v>70</v>
      </c>
      <c r="AG52" s="45">
        <v>10</v>
      </c>
      <c r="AH52" s="75"/>
      <c r="AI52" s="75"/>
      <c r="AJ52" s="75" t="s">
        <v>795</v>
      </c>
      <c r="AK52" s="80" t="s">
        <v>1674</v>
      </c>
      <c r="AL52" s="80" t="s">
        <v>1674</v>
      </c>
      <c r="AM52" s="80" t="s">
        <v>499</v>
      </c>
      <c r="AN52" s="80"/>
      <c r="AO52" s="80" t="s">
        <v>4382</v>
      </c>
    </row>
    <row r="53" spans="1:41" ht="15">
      <c r="A53" s="61" t="s">
        <v>3226</v>
      </c>
      <c r="B53" s="62" t="s">
        <v>3237</v>
      </c>
      <c r="C53" s="62" t="s">
        <v>57</v>
      </c>
      <c r="D53" s="11"/>
      <c r="E53" s="11"/>
      <c r="F53" s="12" t="s">
        <v>4743</v>
      </c>
      <c r="G53" s="60"/>
      <c r="H53" s="60"/>
      <c r="I53" s="74">
        <v>53</v>
      </c>
      <c r="J53" s="74"/>
      <c r="K53" s="45">
        <v>2</v>
      </c>
      <c r="L53" s="45">
        <v>1</v>
      </c>
      <c r="M53" s="45">
        <v>0</v>
      </c>
      <c r="N53" s="45">
        <v>1</v>
      </c>
      <c r="O53" s="45">
        <v>0</v>
      </c>
      <c r="P53" s="46">
        <v>0</v>
      </c>
      <c r="Q53" s="46">
        <v>0</v>
      </c>
      <c r="R53" s="45">
        <v>1</v>
      </c>
      <c r="S53" s="45">
        <v>0</v>
      </c>
      <c r="T53" s="45">
        <v>2</v>
      </c>
      <c r="U53" s="45">
        <v>1</v>
      </c>
      <c r="V53" s="45">
        <v>1</v>
      </c>
      <c r="W53" s="46">
        <v>0.5</v>
      </c>
      <c r="X53" s="46">
        <v>0.5</v>
      </c>
      <c r="Y53" s="45">
        <v>0</v>
      </c>
      <c r="Z53" s="46">
        <v>0</v>
      </c>
      <c r="AA53" s="45">
        <v>1</v>
      </c>
      <c r="AB53" s="46">
        <v>2.2222222222222223</v>
      </c>
      <c r="AC53" s="45">
        <v>0</v>
      </c>
      <c r="AD53" s="46">
        <v>0</v>
      </c>
      <c r="AE53" s="45">
        <v>44</v>
      </c>
      <c r="AF53" s="46">
        <v>97.77777777777777</v>
      </c>
      <c r="AG53" s="45">
        <v>45</v>
      </c>
      <c r="AH53" s="75"/>
      <c r="AI53" s="75"/>
      <c r="AJ53" s="75" t="s">
        <v>795</v>
      </c>
      <c r="AK53" s="80" t="s">
        <v>3290</v>
      </c>
      <c r="AL53" s="80" t="s">
        <v>1674</v>
      </c>
      <c r="AM53" s="80" t="s">
        <v>498</v>
      </c>
      <c r="AN53" s="80"/>
      <c r="AO53" s="80" t="s">
        <v>4383</v>
      </c>
    </row>
    <row r="54" spans="1:41" ht="15">
      <c r="A54" s="61" t="s">
        <v>3227</v>
      </c>
      <c r="B54" s="62" t="s">
        <v>3238</v>
      </c>
      <c r="C54" s="62" t="s">
        <v>57</v>
      </c>
      <c r="D54" s="11"/>
      <c r="E54" s="11"/>
      <c r="F54" s="12" t="s">
        <v>3227</v>
      </c>
      <c r="G54" s="60"/>
      <c r="H54" s="60"/>
      <c r="I54" s="74">
        <v>54</v>
      </c>
      <c r="J54" s="74"/>
      <c r="K54" s="45">
        <v>2</v>
      </c>
      <c r="L54" s="45">
        <v>1</v>
      </c>
      <c r="M54" s="45">
        <v>0</v>
      </c>
      <c r="N54" s="45">
        <v>1</v>
      </c>
      <c r="O54" s="45">
        <v>0</v>
      </c>
      <c r="P54" s="46">
        <v>0</v>
      </c>
      <c r="Q54" s="46">
        <v>0</v>
      </c>
      <c r="R54" s="45">
        <v>1</v>
      </c>
      <c r="S54" s="45">
        <v>0</v>
      </c>
      <c r="T54" s="45">
        <v>2</v>
      </c>
      <c r="U54" s="45">
        <v>1</v>
      </c>
      <c r="V54" s="45">
        <v>1</v>
      </c>
      <c r="W54" s="46">
        <v>0.5</v>
      </c>
      <c r="X54" s="46">
        <v>0.5</v>
      </c>
      <c r="Y54" s="45">
        <v>0</v>
      </c>
      <c r="Z54" s="46">
        <v>0</v>
      </c>
      <c r="AA54" s="45">
        <v>0</v>
      </c>
      <c r="AB54" s="46">
        <v>0</v>
      </c>
      <c r="AC54" s="45">
        <v>0</v>
      </c>
      <c r="AD54" s="46">
        <v>0</v>
      </c>
      <c r="AE54" s="45">
        <v>40</v>
      </c>
      <c r="AF54" s="46">
        <v>100</v>
      </c>
      <c r="AG54" s="45">
        <v>40</v>
      </c>
      <c r="AH54" s="75"/>
      <c r="AI54" s="75"/>
      <c r="AJ54" s="75"/>
      <c r="AK54" s="80" t="s">
        <v>4136</v>
      </c>
      <c r="AL54" s="80" t="s">
        <v>1674</v>
      </c>
      <c r="AM54" s="80" t="s">
        <v>484</v>
      </c>
      <c r="AN54" s="80"/>
      <c r="AO54" s="80" t="s">
        <v>4384</v>
      </c>
    </row>
    <row r="55" spans="1:41" ht="15">
      <c r="A55" s="61" t="s">
        <v>3228</v>
      </c>
      <c r="B55" s="62" t="s">
        <v>3239</v>
      </c>
      <c r="C55" s="62" t="s">
        <v>57</v>
      </c>
      <c r="D55" s="11"/>
      <c r="E55" s="11"/>
      <c r="F55" s="12" t="s">
        <v>4744</v>
      </c>
      <c r="G55" s="60"/>
      <c r="H55" s="60"/>
      <c r="I55" s="74">
        <v>55</v>
      </c>
      <c r="J55" s="74"/>
      <c r="K55" s="45">
        <v>2</v>
      </c>
      <c r="L55" s="45">
        <v>1</v>
      </c>
      <c r="M55" s="45">
        <v>0</v>
      </c>
      <c r="N55" s="45">
        <v>1</v>
      </c>
      <c r="O55" s="45">
        <v>0</v>
      </c>
      <c r="P55" s="46">
        <v>0</v>
      </c>
      <c r="Q55" s="46">
        <v>0</v>
      </c>
      <c r="R55" s="45">
        <v>1</v>
      </c>
      <c r="S55" s="45">
        <v>0</v>
      </c>
      <c r="T55" s="45">
        <v>2</v>
      </c>
      <c r="U55" s="45">
        <v>1</v>
      </c>
      <c r="V55" s="45">
        <v>1</v>
      </c>
      <c r="W55" s="46">
        <v>0.5</v>
      </c>
      <c r="X55" s="46">
        <v>0.5</v>
      </c>
      <c r="Y55" s="45">
        <v>0</v>
      </c>
      <c r="Z55" s="46">
        <v>0</v>
      </c>
      <c r="AA55" s="45">
        <v>0</v>
      </c>
      <c r="AB55" s="46">
        <v>0</v>
      </c>
      <c r="AC55" s="45">
        <v>0</v>
      </c>
      <c r="AD55" s="46">
        <v>0</v>
      </c>
      <c r="AE55" s="45">
        <v>2</v>
      </c>
      <c r="AF55" s="46">
        <v>100</v>
      </c>
      <c r="AG55" s="45">
        <v>2</v>
      </c>
      <c r="AH55" s="75"/>
      <c r="AI55" s="75"/>
      <c r="AJ55" s="75" t="s">
        <v>795</v>
      </c>
      <c r="AK55" s="80" t="s">
        <v>1674</v>
      </c>
      <c r="AL55" s="80" t="s">
        <v>1674</v>
      </c>
      <c r="AM55" s="80" t="s">
        <v>483</v>
      </c>
      <c r="AN55" s="80"/>
      <c r="AO55" s="80" t="s">
        <v>4385</v>
      </c>
    </row>
    <row r="56" spans="1:41" ht="15">
      <c r="A56" s="61" t="s">
        <v>3229</v>
      </c>
      <c r="B56" s="62" t="s">
        <v>3240</v>
      </c>
      <c r="C56" s="62" t="s">
        <v>57</v>
      </c>
      <c r="D56" s="11"/>
      <c r="E56" s="11"/>
      <c r="F56" s="12" t="s">
        <v>4745</v>
      </c>
      <c r="G56" s="60"/>
      <c r="H56" s="60"/>
      <c r="I56" s="74">
        <v>56</v>
      </c>
      <c r="J56" s="74"/>
      <c r="K56" s="45">
        <v>2</v>
      </c>
      <c r="L56" s="45">
        <v>1</v>
      </c>
      <c r="M56" s="45">
        <v>0</v>
      </c>
      <c r="N56" s="45">
        <v>1</v>
      </c>
      <c r="O56" s="45">
        <v>0</v>
      </c>
      <c r="P56" s="46">
        <v>0</v>
      </c>
      <c r="Q56" s="46">
        <v>0</v>
      </c>
      <c r="R56" s="45">
        <v>1</v>
      </c>
      <c r="S56" s="45">
        <v>0</v>
      </c>
      <c r="T56" s="45">
        <v>2</v>
      </c>
      <c r="U56" s="45">
        <v>1</v>
      </c>
      <c r="V56" s="45">
        <v>1</v>
      </c>
      <c r="W56" s="46">
        <v>0.5</v>
      </c>
      <c r="X56" s="46">
        <v>0.5</v>
      </c>
      <c r="Y56" s="45">
        <v>0</v>
      </c>
      <c r="Z56" s="46">
        <v>0</v>
      </c>
      <c r="AA56" s="45">
        <v>0</v>
      </c>
      <c r="AB56" s="46">
        <v>0</v>
      </c>
      <c r="AC56" s="45">
        <v>0</v>
      </c>
      <c r="AD56" s="46">
        <v>0</v>
      </c>
      <c r="AE56" s="45">
        <v>3</v>
      </c>
      <c r="AF56" s="46">
        <v>100</v>
      </c>
      <c r="AG56" s="45">
        <v>3</v>
      </c>
      <c r="AH56" s="75" t="s">
        <v>4006</v>
      </c>
      <c r="AI56" s="75" t="s">
        <v>783</v>
      </c>
      <c r="AJ56" s="75" t="s">
        <v>795</v>
      </c>
      <c r="AK56" s="80" t="s">
        <v>1674</v>
      </c>
      <c r="AL56" s="80" t="s">
        <v>1674</v>
      </c>
      <c r="AM56" s="80"/>
      <c r="AN56" s="80" t="s">
        <v>465</v>
      </c>
      <c r="AO56" s="80" t="s">
        <v>4386</v>
      </c>
    </row>
    <row r="57" spans="1:41" ht="15">
      <c r="A57" s="61" t="s">
        <v>3230</v>
      </c>
      <c r="B57" s="62" t="s">
        <v>3241</v>
      </c>
      <c r="C57" s="62" t="s">
        <v>57</v>
      </c>
      <c r="D57" s="11"/>
      <c r="E57" s="11"/>
      <c r="F57" s="12" t="s">
        <v>4746</v>
      </c>
      <c r="G57" s="60"/>
      <c r="H57" s="60"/>
      <c r="I57" s="74">
        <v>57</v>
      </c>
      <c r="J57" s="74"/>
      <c r="K57" s="45">
        <v>2</v>
      </c>
      <c r="L57" s="45">
        <v>2</v>
      </c>
      <c r="M57" s="45">
        <v>0</v>
      </c>
      <c r="N57" s="45">
        <v>2</v>
      </c>
      <c r="O57" s="45">
        <v>1</v>
      </c>
      <c r="P57" s="46">
        <v>0</v>
      </c>
      <c r="Q57" s="46">
        <v>0</v>
      </c>
      <c r="R57" s="45">
        <v>1</v>
      </c>
      <c r="S57" s="45">
        <v>0</v>
      </c>
      <c r="T57" s="45">
        <v>2</v>
      </c>
      <c r="U57" s="45">
        <v>2</v>
      </c>
      <c r="V57" s="45">
        <v>1</v>
      </c>
      <c r="W57" s="46">
        <v>0.5</v>
      </c>
      <c r="X57" s="46">
        <v>0.5</v>
      </c>
      <c r="Y57" s="45">
        <v>0</v>
      </c>
      <c r="Z57" s="46">
        <v>0</v>
      </c>
      <c r="AA57" s="45">
        <v>0</v>
      </c>
      <c r="AB57" s="46">
        <v>0</v>
      </c>
      <c r="AC57" s="45">
        <v>0</v>
      </c>
      <c r="AD57" s="46">
        <v>0</v>
      </c>
      <c r="AE57" s="45">
        <v>14</v>
      </c>
      <c r="AF57" s="46">
        <v>100</v>
      </c>
      <c r="AG57" s="45">
        <v>14</v>
      </c>
      <c r="AH57" s="75"/>
      <c r="AI57" s="75"/>
      <c r="AJ57" s="75" t="s">
        <v>807</v>
      </c>
      <c r="AK57" s="80" t="s">
        <v>4137</v>
      </c>
      <c r="AL57" s="80" t="s">
        <v>4267</v>
      </c>
      <c r="AM57" s="80"/>
      <c r="AN57" s="80"/>
      <c r="AO57" s="80" t="s">
        <v>4387</v>
      </c>
    </row>
    <row r="58" spans="1:41" ht="15">
      <c r="A58" s="61" t="s">
        <v>3231</v>
      </c>
      <c r="B58" s="62" t="s">
        <v>3242</v>
      </c>
      <c r="C58" s="62" t="s">
        <v>57</v>
      </c>
      <c r="D58" s="11"/>
      <c r="E58" s="11"/>
      <c r="F58" s="12" t="s">
        <v>4747</v>
      </c>
      <c r="G58" s="60"/>
      <c r="H58" s="60"/>
      <c r="I58" s="74">
        <v>58</v>
      </c>
      <c r="J58" s="74"/>
      <c r="K58" s="45">
        <v>2</v>
      </c>
      <c r="L58" s="45">
        <v>1</v>
      </c>
      <c r="M58" s="45">
        <v>0</v>
      </c>
      <c r="N58" s="45">
        <v>1</v>
      </c>
      <c r="O58" s="45">
        <v>0</v>
      </c>
      <c r="P58" s="46">
        <v>0</v>
      </c>
      <c r="Q58" s="46">
        <v>0</v>
      </c>
      <c r="R58" s="45">
        <v>1</v>
      </c>
      <c r="S58" s="45">
        <v>0</v>
      </c>
      <c r="T58" s="45">
        <v>2</v>
      </c>
      <c r="U58" s="45">
        <v>1</v>
      </c>
      <c r="V58" s="45">
        <v>1</v>
      </c>
      <c r="W58" s="46">
        <v>0.5</v>
      </c>
      <c r="X58" s="46">
        <v>0.5</v>
      </c>
      <c r="Y58" s="45">
        <v>0</v>
      </c>
      <c r="Z58" s="46">
        <v>0</v>
      </c>
      <c r="AA58" s="45">
        <v>0</v>
      </c>
      <c r="AB58" s="46">
        <v>0</v>
      </c>
      <c r="AC58" s="45">
        <v>0</v>
      </c>
      <c r="AD58" s="46">
        <v>0</v>
      </c>
      <c r="AE58" s="45">
        <v>2</v>
      </c>
      <c r="AF58" s="46">
        <v>100</v>
      </c>
      <c r="AG58" s="45">
        <v>2</v>
      </c>
      <c r="AH58" s="75"/>
      <c r="AI58" s="75"/>
      <c r="AJ58" s="75" t="s">
        <v>795</v>
      </c>
      <c r="AK58" s="80" t="s">
        <v>1674</v>
      </c>
      <c r="AL58" s="80" t="s">
        <v>1674</v>
      </c>
      <c r="AM58" s="80" t="s">
        <v>464</v>
      </c>
      <c r="AN58" s="80"/>
      <c r="AO58" s="80" t="s">
        <v>4388</v>
      </c>
    </row>
    <row r="59" spans="1:41" ht="15">
      <c r="A59" s="61" t="s">
        <v>3232</v>
      </c>
      <c r="B59" s="62" t="s">
        <v>3243</v>
      </c>
      <c r="C59" s="62" t="s">
        <v>57</v>
      </c>
      <c r="D59" s="11"/>
      <c r="E59" s="11"/>
      <c r="F59" s="12" t="s">
        <v>4748</v>
      </c>
      <c r="G59" s="60"/>
      <c r="H59" s="60"/>
      <c r="I59" s="74">
        <v>59</v>
      </c>
      <c r="J59" s="74"/>
      <c r="K59" s="45">
        <v>2</v>
      </c>
      <c r="L59" s="45">
        <v>1</v>
      </c>
      <c r="M59" s="45">
        <v>0</v>
      </c>
      <c r="N59" s="45">
        <v>1</v>
      </c>
      <c r="O59" s="45">
        <v>0</v>
      </c>
      <c r="P59" s="46">
        <v>0</v>
      </c>
      <c r="Q59" s="46">
        <v>0</v>
      </c>
      <c r="R59" s="45">
        <v>1</v>
      </c>
      <c r="S59" s="45">
        <v>0</v>
      </c>
      <c r="T59" s="45">
        <v>2</v>
      </c>
      <c r="U59" s="45">
        <v>1</v>
      </c>
      <c r="V59" s="45">
        <v>1</v>
      </c>
      <c r="W59" s="46">
        <v>0.5</v>
      </c>
      <c r="X59" s="46">
        <v>0.5</v>
      </c>
      <c r="Y59" s="45">
        <v>0</v>
      </c>
      <c r="Z59" s="46">
        <v>0</v>
      </c>
      <c r="AA59" s="45">
        <v>0</v>
      </c>
      <c r="AB59" s="46">
        <v>0</v>
      </c>
      <c r="AC59" s="45">
        <v>0</v>
      </c>
      <c r="AD59" s="46">
        <v>0</v>
      </c>
      <c r="AE59" s="45">
        <v>33</v>
      </c>
      <c r="AF59" s="46">
        <v>100</v>
      </c>
      <c r="AG59" s="45">
        <v>33</v>
      </c>
      <c r="AH59" s="75"/>
      <c r="AI59" s="75"/>
      <c r="AJ59" s="75" t="s">
        <v>806</v>
      </c>
      <c r="AK59" s="80" t="s">
        <v>3262</v>
      </c>
      <c r="AL59" s="80" t="s">
        <v>1674</v>
      </c>
      <c r="AM59" s="80" t="s">
        <v>463</v>
      </c>
      <c r="AN59" s="80"/>
      <c r="AO59" s="80" t="s">
        <v>4389</v>
      </c>
    </row>
    <row r="60" spans="1:41" ht="15">
      <c r="A60" s="61" t="s">
        <v>3233</v>
      </c>
      <c r="B60" s="62" t="s">
        <v>3244</v>
      </c>
      <c r="C60" s="62" t="s">
        <v>57</v>
      </c>
      <c r="D60" s="11"/>
      <c r="E60" s="11"/>
      <c r="F60" s="12" t="s">
        <v>4749</v>
      </c>
      <c r="G60" s="60"/>
      <c r="H60" s="60"/>
      <c r="I60" s="74">
        <v>60</v>
      </c>
      <c r="J60" s="74"/>
      <c r="K60" s="45">
        <v>2</v>
      </c>
      <c r="L60" s="45">
        <v>1</v>
      </c>
      <c r="M60" s="45">
        <v>0</v>
      </c>
      <c r="N60" s="45">
        <v>1</v>
      </c>
      <c r="O60" s="45">
        <v>0</v>
      </c>
      <c r="P60" s="46">
        <v>0</v>
      </c>
      <c r="Q60" s="46">
        <v>0</v>
      </c>
      <c r="R60" s="45">
        <v>1</v>
      </c>
      <c r="S60" s="45">
        <v>0</v>
      </c>
      <c r="T60" s="45">
        <v>2</v>
      </c>
      <c r="U60" s="45">
        <v>1</v>
      </c>
      <c r="V60" s="45">
        <v>1</v>
      </c>
      <c r="W60" s="46">
        <v>0.5</v>
      </c>
      <c r="X60" s="46">
        <v>0.5</v>
      </c>
      <c r="Y60" s="45">
        <v>0</v>
      </c>
      <c r="Z60" s="46">
        <v>0</v>
      </c>
      <c r="AA60" s="45">
        <v>0</v>
      </c>
      <c r="AB60" s="46">
        <v>0</v>
      </c>
      <c r="AC60" s="45">
        <v>0</v>
      </c>
      <c r="AD60" s="46">
        <v>0</v>
      </c>
      <c r="AE60" s="45">
        <v>39</v>
      </c>
      <c r="AF60" s="46">
        <v>100</v>
      </c>
      <c r="AG60" s="45">
        <v>39</v>
      </c>
      <c r="AH60" s="75"/>
      <c r="AI60" s="75"/>
      <c r="AJ60" s="75" t="s">
        <v>795</v>
      </c>
      <c r="AK60" s="80" t="s">
        <v>1674</v>
      </c>
      <c r="AL60" s="80" t="s">
        <v>1674</v>
      </c>
      <c r="AM60" s="80" t="s">
        <v>435</v>
      </c>
      <c r="AN60" s="80"/>
      <c r="AO60" s="80" t="s">
        <v>4390</v>
      </c>
    </row>
    <row r="61" spans="1:41" ht="15">
      <c r="A61" s="61" t="s">
        <v>3234</v>
      </c>
      <c r="B61" s="62" t="s">
        <v>3245</v>
      </c>
      <c r="C61" s="62" t="s">
        <v>57</v>
      </c>
      <c r="D61" s="11"/>
      <c r="E61" s="11"/>
      <c r="F61" s="12" t="s">
        <v>4750</v>
      </c>
      <c r="G61" s="60"/>
      <c r="H61" s="60"/>
      <c r="I61" s="74">
        <v>61</v>
      </c>
      <c r="J61" s="74"/>
      <c r="K61" s="45">
        <v>2</v>
      </c>
      <c r="L61" s="45">
        <v>1</v>
      </c>
      <c r="M61" s="45">
        <v>8</v>
      </c>
      <c r="N61" s="45">
        <v>9</v>
      </c>
      <c r="O61" s="45">
        <v>8</v>
      </c>
      <c r="P61" s="46">
        <v>0</v>
      </c>
      <c r="Q61" s="46">
        <v>0</v>
      </c>
      <c r="R61" s="45">
        <v>1</v>
      </c>
      <c r="S61" s="45">
        <v>0</v>
      </c>
      <c r="T61" s="45">
        <v>2</v>
      </c>
      <c r="U61" s="45">
        <v>9</v>
      </c>
      <c r="V61" s="45">
        <v>1</v>
      </c>
      <c r="W61" s="46">
        <v>0.5</v>
      </c>
      <c r="X61" s="46">
        <v>0.5</v>
      </c>
      <c r="Y61" s="45">
        <v>7</v>
      </c>
      <c r="Z61" s="46">
        <v>2.5547445255474455</v>
      </c>
      <c r="AA61" s="45">
        <v>19</v>
      </c>
      <c r="AB61" s="46">
        <v>6.934306569343065</v>
      </c>
      <c r="AC61" s="45">
        <v>0</v>
      </c>
      <c r="AD61" s="46">
        <v>0</v>
      </c>
      <c r="AE61" s="45">
        <v>248</v>
      </c>
      <c r="AF61" s="46">
        <v>90.51094890510949</v>
      </c>
      <c r="AG61" s="45">
        <v>274</v>
      </c>
      <c r="AH61" s="75" t="s">
        <v>4007</v>
      </c>
      <c r="AI61" s="75" t="s">
        <v>783</v>
      </c>
      <c r="AJ61" s="75" t="s">
        <v>4089</v>
      </c>
      <c r="AK61" s="80" t="s">
        <v>4138</v>
      </c>
      <c r="AL61" s="80" t="s">
        <v>4268</v>
      </c>
      <c r="AM61" s="80" t="s">
        <v>304</v>
      </c>
      <c r="AN61" s="80"/>
      <c r="AO61" s="80" t="s">
        <v>4391</v>
      </c>
    </row>
  </sheetData>
  <dataValidations count="8">
    <dataValidation allowBlank="1" showInputMessage="1" promptTitle="Group Vertex Color" prompt="To select a color to use for all vertices in the group, right-click and select Select Color on the right-click menu." sqref="B3:B6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1">
      <formula1>ValidGroupShapes</formula1>
    </dataValidation>
    <dataValidation allowBlank="1" showInputMessage="1" showErrorMessage="1" promptTitle="Group Name" prompt="Enter the name of the group." sqref="A3:A6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1">
      <formula1>ValidBooleansDefaultFalse</formula1>
    </dataValidation>
    <dataValidation allowBlank="1" sqref="K3:K61"/>
    <dataValidation allowBlank="1" showInputMessage="1" showErrorMessage="1" promptTitle="Group Label" prompt="Enter an optional group label." errorTitle="Invalid Group Collapsed" error="You have entered an unrecognized &quot;group collapsed.&quot;  Try selecting from the drop-down list instead." sqref="F3:F6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5" t="s">
        <v>3176</v>
      </c>
      <c r="B2" s="80" t="s">
        <v>428</v>
      </c>
      <c r="C2" s="75">
        <f>VLOOKUP(GroupVertices[[#This Row],[Vertex]],Vertices[],MATCH("ID",Vertices[[#Headers],[Vertex]:[Top Word Pairs in Tweet by Salience]],0),FALSE)</f>
        <v>244</v>
      </c>
    </row>
    <row r="3" spans="1:3" ht="15">
      <c r="A3" s="76" t="s">
        <v>3176</v>
      </c>
      <c r="B3" s="80" t="s">
        <v>584</v>
      </c>
      <c r="C3" s="75">
        <f>VLOOKUP(GroupVertices[[#This Row],[Vertex]],Vertices[],MATCH("ID",Vertices[[#Headers],[Vertex]:[Top Word Pairs in Tweet by Salience]],0),FALSE)</f>
        <v>329</v>
      </c>
    </row>
    <row r="4" spans="1:3" ht="15">
      <c r="A4" s="76" t="s">
        <v>3176</v>
      </c>
      <c r="B4" s="80" t="s">
        <v>583</v>
      </c>
      <c r="C4" s="75">
        <f>VLOOKUP(GroupVertices[[#This Row],[Vertex]],Vertices[],MATCH("ID",Vertices[[#Headers],[Vertex]:[Top Word Pairs in Tweet by Salience]],0),FALSE)</f>
        <v>328</v>
      </c>
    </row>
    <row r="5" spans="1:3" ht="15">
      <c r="A5" s="76" t="s">
        <v>3176</v>
      </c>
      <c r="B5" s="80" t="s">
        <v>582</v>
      </c>
      <c r="C5" s="75">
        <f>VLOOKUP(GroupVertices[[#This Row],[Vertex]],Vertices[],MATCH("ID",Vertices[[#Headers],[Vertex]:[Top Word Pairs in Tweet by Salience]],0),FALSE)</f>
        <v>327</v>
      </c>
    </row>
    <row r="6" spans="1:3" ht="15">
      <c r="A6" s="76" t="s">
        <v>3176</v>
      </c>
      <c r="B6" s="80" t="s">
        <v>581</v>
      </c>
      <c r="C6" s="75">
        <f>VLOOKUP(GroupVertices[[#This Row],[Vertex]],Vertices[],MATCH("ID",Vertices[[#Headers],[Vertex]:[Top Word Pairs in Tweet by Salience]],0),FALSE)</f>
        <v>326</v>
      </c>
    </row>
    <row r="7" spans="1:3" ht="15">
      <c r="A7" s="76" t="s">
        <v>3176</v>
      </c>
      <c r="B7" s="80" t="s">
        <v>580</v>
      </c>
      <c r="C7" s="75">
        <f>VLOOKUP(GroupVertices[[#This Row],[Vertex]],Vertices[],MATCH("ID",Vertices[[#Headers],[Vertex]:[Top Word Pairs in Tweet by Salience]],0),FALSE)</f>
        <v>325</v>
      </c>
    </row>
    <row r="8" spans="1:3" ht="15">
      <c r="A8" s="76" t="s">
        <v>3176</v>
      </c>
      <c r="B8" s="80" t="s">
        <v>579</v>
      </c>
      <c r="C8" s="75">
        <f>VLOOKUP(GroupVertices[[#This Row],[Vertex]],Vertices[],MATCH("ID",Vertices[[#Headers],[Vertex]:[Top Word Pairs in Tweet by Salience]],0),FALSE)</f>
        <v>324</v>
      </c>
    </row>
    <row r="9" spans="1:3" ht="15">
      <c r="A9" s="76" t="s">
        <v>3176</v>
      </c>
      <c r="B9" s="80" t="s">
        <v>578</v>
      </c>
      <c r="C9" s="75">
        <f>VLOOKUP(GroupVertices[[#This Row],[Vertex]],Vertices[],MATCH("ID",Vertices[[#Headers],[Vertex]:[Top Word Pairs in Tweet by Salience]],0),FALSE)</f>
        <v>323</v>
      </c>
    </row>
    <row r="10" spans="1:3" ht="15">
      <c r="A10" s="76" t="s">
        <v>3176</v>
      </c>
      <c r="B10" s="80" t="s">
        <v>577</v>
      </c>
      <c r="C10" s="75">
        <f>VLOOKUP(GroupVertices[[#This Row],[Vertex]],Vertices[],MATCH("ID",Vertices[[#Headers],[Vertex]:[Top Word Pairs in Tweet by Salience]],0),FALSE)</f>
        <v>322</v>
      </c>
    </row>
    <row r="11" spans="1:3" ht="15">
      <c r="A11" s="76" t="s">
        <v>3176</v>
      </c>
      <c r="B11" s="80" t="s">
        <v>576</v>
      </c>
      <c r="C11" s="75">
        <f>VLOOKUP(GroupVertices[[#This Row],[Vertex]],Vertices[],MATCH("ID",Vertices[[#Headers],[Vertex]:[Top Word Pairs in Tweet by Salience]],0),FALSE)</f>
        <v>321</v>
      </c>
    </row>
    <row r="12" spans="1:3" ht="15">
      <c r="A12" s="76" t="s">
        <v>3176</v>
      </c>
      <c r="B12" s="80" t="s">
        <v>575</v>
      </c>
      <c r="C12" s="75">
        <f>VLOOKUP(GroupVertices[[#This Row],[Vertex]],Vertices[],MATCH("ID",Vertices[[#Headers],[Vertex]:[Top Word Pairs in Tweet by Salience]],0),FALSE)</f>
        <v>320</v>
      </c>
    </row>
    <row r="13" spans="1:3" ht="15">
      <c r="A13" s="76" t="s">
        <v>3176</v>
      </c>
      <c r="B13" s="80" t="s">
        <v>574</v>
      </c>
      <c r="C13" s="75">
        <f>VLOOKUP(GroupVertices[[#This Row],[Vertex]],Vertices[],MATCH("ID",Vertices[[#Headers],[Vertex]:[Top Word Pairs in Tweet by Salience]],0),FALSE)</f>
        <v>319</v>
      </c>
    </row>
    <row r="14" spans="1:3" ht="15">
      <c r="A14" s="76" t="s">
        <v>3176</v>
      </c>
      <c r="B14" s="80" t="s">
        <v>573</v>
      </c>
      <c r="C14" s="75">
        <f>VLOOKUP(GroupVertices[[#This Row],[Vertex]],Vertices[],MATCH("ID",Vertices[[#Headers],[Vertex]:[Top Word Pairs in Tweet by Salience]],0),FALSE)</f>
        <v>318</v>
      </c>
    </row>
    <row r="15" spans="1:3" ht="15">
      <c r="A15" s="76" t="s">
        <v>3176</v>
      </c>
      <c r="B15" s="80" t="s">
        <v>572</v>
      </c>
      <c r="C15" s="75">
        <f>VLOOKUP(GroupVertices[[#This Row],[Vertex]],Vertices[],MATCH("ID",Vertices[[#Headers],[Vertex]:[Top Word Pairs in Tweet by Salience]],0),FALSE)</f>
        <v>317</v>
      </c>
    </row>
    <row r="16" spans="1:3" ht="15">
      <c r="A16" s="76" t="s">
        <v>3176</v>
      </c>
      <c r="B16" s="80" t="s">
        <v>571</v>
      </c>
      <c r="C16" s="75">
        <f>VLOOKUP(GroupVertices[[#This Row],[Vertex]],Vertices[],MATCH("ID",Vertices[[#Headers],[Vertex]:[Top Word Pairs in Tweet by Salience]],0),FALSE)</f>
        <v>316</v>
      </c>
    </row>
    <row r="17" spans="1:3" ht="15">
      <c r="A17" s="76" t="s">
        <v>3176</v>
      </c>
      <c r="B17" s="80" t="s">
        <v>416</v>
      </c>
      <c r="C17" s="75">
        <f>VLOOKUP(GroupVertices[[#This Row],[Vertex]],Vertices[],MATCH("ID",Vertices[[#Headers],[Vertex]:[Top Word Pairs in Tweet by Salience]],0),FALSE)</f>
        <v>283</v>
      </c>
    </row>
    <row r="18" spans="1:3" ht="15">
      <c r="A18" s="76" t="s">
        <v>3176</v>
      </c>
      <c r="B18" s="80" t="s">
        <v>548</v>
      </c>
      <c r="C18" s="75">
        <f>VLOOKUP(GroupVertices[[#This Row],[Vertex]],Vertices[],MATCH("ID",Vertices[[#Headers],[Vertex]:[Top Word Pairs in Tweet by Salience]],0),FALSE)</f>
        <v>284</v>
      </c>
    </row>
    <row r="19" spans="1:3" ht="15">
      <c r="A19" s="76" t="s">
        <v>3176</v>
      </c>
      <c r="B19" s="80" t="s">
        <v>542</v>
      </c>
      <c r="C19" s="75">
        <f>VLOOKUP(GroupVertices[[#This Row],[Vertex]],Vertices[],MATCH("ID",Vertices[[#Headers],[Vertex]:[Top Word Pairs in Tweet by Salience]],0),FALSE)</f>
        <v>258</v>
      </c>
    </row>
    <row r="20" spans="1:3" ht="15">
      <c r="A20" s="76" t="s">
        <v>3176</v>
      </c>
      <c r="B20" s="80" t="s">
        <v>545</v>
      </c>
      <c r="C20" s="75">
        <f>VLOOKUP(GroupVertices[[#This Row],[Vertex]],Vertices[],MATCH("ID",Vertices[[#Headers],[Vertex]:[Top Word Pairs in Tweet by Salience]],0),FALSE)</f>
        <v>274</v>
      </c>
    </row>
    <row r="21" spans="1:3" ht="15">
      <c r="A21" s="76" t="s">
        <v>3176</v>
      </c>
      <c r="B21" s="80" t="s">
        <v>409</v>
      </c>
      <c r="C21" s="75">
        <f>VLOOKUP(GroupVertices[[#This Row],[Vertex]],Vertices[],MATCH("ID",Vertices[[#Headers],[Vertex]:[Top Word Pairs in Tweet by Salience]],0),FALSE)</f>
        <v>273</v>
      </c>
    </row>
    <row r="22" spans="1:3" ht="15">
      <c r="A22" s="76" t="s">
        <v>3176</v>
      </c>
      <c r="B22" s="80" t="s">
        <v>532</v>
      </c>
      <c r="C22" s="75">
        <f>VLOOKUP(GroupVertices[[#This Row],[Vertex]],Vertices[],MATCH("ID",Vertices[[#Headers],[Vertex]:[Top Word Pairs in Tweet by Salience]],0),FALSE)</f>
        <v>233</v>
      </c>
    </row>
    <row r="23" spans="1:3" ht="15">
      <c r="A23" s="76" t="s">
        <v>3176</v>
      </c>
      <c r="B23" s="80" t="s">
        <v>396</v>
      </c>
      <c r="C23" s="75">
        <f>VLOOKUP(GroupVertices[[#This Row],[Vertex]],Vertices[],MATCH("ID",Vertices[[#Headers],[Vertex]:[Top Word Pairs in Tweet by Salience]],0),FALSE)</f>
        <v>252</v>
      </c>
    </row>
    <row r="24" spans="1:3" ht="15">
      <c r="A24" s="76" t="s">
        <v>3176</v>
      </c>
      <c r="B24" s="80" t="s">
        <v>541</v>
      </c>
      <c r="C24" s="75">
        <f>VLOOKUP(GroupVertices[[#This Row],[Vertex]],Vertices[],MATCH("ID",Vertices[[#Headers],[Vertex]:[Top Word Pairs in Tweet by Salience]],0),FALSE)</f>
        <v>257</v>
      </c>
    </row>
    <row r="25" spans="1:3" ht="15">
      <c r="A25" s="76" t="s">
        <v>3176</v>
      </c>
      <c r="B25" s="80" t="s">
        <v>540</v>
      </c>
      <c r="C25" s="75">
        <f>VLOOKUP(GroupVertices[[#This Row],[Vertex]],Vertices[],MATCH("ID",Vertices[[#Headers],[Vertex]:[Top Word Pairs in Tweet by Salience]],0),FALSE)</f>
        <v>256</v>
      </c>
    </row>
    <row r="26" spans="1:3" ht="15">
      <c r="A26" s="76" t="s">
        <v>3176</v>
      </c>
      <c r="B26" s="80" t="s">
        <v>539</v>
      </c>
      <c r="C26" s="75">
        <f>VLOOKUP(GroupVertices[[#This Row],[Vertex]],Vertices[],MATCH("ID",Vertices[[#Headers],[Vertex]:[Top Word Pairs in Tweet by Salience]],0),FALSE)</f>
        <v>255</v>
      </c>
    </row>
    <row r="27" spans="1:3" ht="15">
      <c r="A27" s="76" t="s">
        <v>3176</v>
      </c>
      <c r="B27" s="80" t="s">
        <v>538</v>
      </c>
      <c r="C27" s="75">
        <f>VLOOKUP(GroupVertices[[#This Row],[Vertex]],Vertices[],MATCH("ID",Vertices[[#Headers],[Vertex]:[Top Word Pairs in Tweet by Salience]],0),FALSE)</f>
        <v>254</v>
      </c>
    </row>
    <row r="28" spans="1:3" ht="15">
      <c r="A28" s="76" t="s">
        <v>3176</v>
      </c>
      <c r="B28" s="80" t="s">
        <v>537</v>
      </c>
      <c r="C28" s="75">
        <f>VLOOKUP(GroupVertices[[#This Row],[Vertex]],Vertices[],MATCH("ID",Vertices[[#Headers],[Vertex]:[Top Word Pairs in Tweet by Salience]],0),FALSE)</f>
        <v>253</v>
      </c>
    </row>
    <row r="29" spans="1:3" ht="15">
      <c r="A29" s="76" t="s">
        <v>3176</v>
      </c>
      <c r="B29" s="80" t="s">
        <v>533</v>
      </c>
      <c r="C29" s="75">
        <f>VLOOKUP(GroupVertices[[#This Row],[Vertex]],Vertices[],MATCH("ID",Vertices[[#Headers],[Vertex]:[Top Word Pairs in Tweet by Salience]],0),FALSE)</f>
        <v>235</v>
      </c>
    </row>
    <row r="30" spans="1:3" ht="15">
      <c r="A30" s="76" t="s">
        <v>3176</v>
      </c>
      <c r="B30" s="80" t="s">
        <v>447</v>
      </c>
      <c r="C30" s="75">
        <f>VLOOKUP(GroupVertices[[#This Row],[Vertex]],Vertices[],MATCH("ID",Vertices[[#Headers],[Vertex]:[Top Word Pairs in Tweet by Salience]],0),FALSE)</f>
        <v>30</v>
      </c>
    </row>
    <row r="31" spans="1:3" ht="15">
      <c r="A31" s="76" t="s">
        <v>3176</v>
      </c>
      <c r="B31" s="80" t="s">
        <v>496</v>
      </c>
      <c r="C31" s="75">
        <f>VLOOKUP(GroupVertices[[#This Row],[Vertex]],Vertices[],MATCH("ID",Vertices[[#Headers],[Vertex]:[Top Word Pairs in Tweet by Salience]],0),FALSE)</f>
        <v>154</v>
      </c>
    </row>
    <row r="32" spans="1:3" ht="15">
      <c r="A32" s="76" t="s">
        <v>3176</v>
      </c>
      <c r="B32" s="80" t="s">
        <v>512</v>
      </c>
      <c r="C32" s="75">
        <f>VLOOKUP(GroupVertices[[#This Row],[Vertex]],Vertices[],MATCH("ID",Vertices[[#Headers],[Vertex]:[Top Word Pairs in Tweet by Salience]],0),FALSE)</f>
        <v>193</v>
      </c>
    </row>
    <row r="33" spans="1:3" ht="15">
      <c r="A33" s="76" t="s">
        <v>3176</v>
      </c>
      <c r="B33" s="80" t="s">
        <v>389</v>
      </c>
      <c r="C33" s="75">
        <f>VLOOKUP(GroupVertices[[#This Row],[Vertex]],Vertices[],MATCH("ID",Vertices[[#Headers],[Vertex]:[Top Word Pairs in Tweet by Salience]],0),FALSE)</f>
        <v>243</v>
      </c>
    </row>
    <row r="34" spans="1:3" ht="15">
      <c r="A34" s="76" t="s">
        <v>3176</v>
      </c>
      <c r="B34" s="80" t="s">
        <v>383</v>
      </c>
      <c r="C34" s="75">
        <f>VLOOKUP(GroupVertices[[#This Row],[Vertex]],Vertices[],MATCH("ID",Vertices[[#Headers],[Vertex]:[Top Word Pairs in Tweet by Salience]],0),FALSE)</f>
        <v>234</v>
      </c>
    </row>
    <row r="35" spans="1:3" ht="15">
      <c r="A35" s="76" t="s">
        <v>3176</v>
      </c>
      <c r="B35" s="80" t="s">
        <v>382</v>
      </c>
      <c r="C35" s="75">
        <f>VLOOKUP(GroupVertices[[#This Row],[Vertex]],Vertices[],MATCH("ID",Vertices[[#Headers],[Vertex]:[Top Word Pairs in Tweet by Salience]],0),FALSE)</f>
        <v>227</v>
      </c>
    </row>
    <row r="36" spans="1:3" ht="15">
      <c r="A36" s="76" t="s">
        <v>3176</v>
      </c>
      <c r="B36" s="80" t="s">
        <v>531</v>
      </c>
      <c r="C36" s="75">
        <f>VLOOKUP(GroupVertices[[#This Row],[Vertex]],Vertices[],MATCH("ID",Vertices[[#Headers],[Vertex]:[Top Word Pairs in Tweet by Salience]],0),FALSE)</f>
        <v>232</v>
      </c>
    </row>
    <row r="37" spans="1:3" ht="15">
      <c r="A37" s="76" t="s">
        <v>3176</v>
      </c>
      <c r="B37" s="80" t="s">
        <v>530</v>
      </c>
      <c r="C37" s="75">
        <f>VLOOKUP(GroupVertices[[#This Row],[Vertex]],Vertices[],MATCH("ID",Vertices[[#Headers],[Vertex]:[Top Word Pairs in Tweet by Salience]],0),FALSE)</f>
        <v>231</v>
      </c>
    </row>
    <row r="38" spans="1:3" ht="15">
      <c r="A38" s="76" t="s">
        <v>3176</v>
      </c>
      <c r="B38" s="80" t="s">
        <v>529</v>
      </c>
      <c r="C38" s="75">
        <f>VLOOKUP(GroupVertices[[#This Row],[Vertex]],Vertices[],MATCH("ID",Vertices[[#Headers],[Vertex]:[Top Word Pairs in Tweet by Salience]],0),FALSE)</f>
        <v>230</v>
      </c>
    </row>
    <row r="39" spans="1:3" ht="15">
      <c r="A39" s="76" t="s">
        <v>3176</v>
      </c>
      <c r="B39" s="80" t="s">
        <v>528</v>
      </c>
      <c r="C39" s="75">
        <f>VLOOKUP(GroupVertices[[#This Row],[Vertex]],Vertices[],MATCH("ID",Vertices[[#Headers],[Vertex]:[Top Word Pairs in Tweet by Salience]],0),FALSE)</f>
        <v>229</v>
      </c>
    </row>
    <row r="40" spans="1:3" ht="15">
      <c r="A40" s="76" t="s">
        <v>3176</v>
      </c>
      <c r="B40" s="80" t="s">
        <v>527</v>
      </c>
      <c r="C40" s="75">
        <f>VLOOKUP(GroupVertices[[#This Row],[Vertex]],Vertices[],MATCH("ID",Vertices[[#Headers],[Vertex]:[Top Word Pairs in Tweet by Salience]],0),FALSE)</f>
        <v>228</v>
      </c>
    </row>
    <row r="41" spans="1:3" ht="15">
      <c r="A41" s="76" t="s">
        <v>3176</v>
      </c>
      <c r="B41" s="80" t="s">
        <v>360</v>
      </c>
      <c r="C41" s="75">
        <f>VLOOKUP(GroupVertices[[#This Row],[Vertex]],Vertices[],MATCH("ID",Vertices[[#Headers],[Vertex]:[Top Word Pairs in Tweet by Salience]],0),FALSE)</f>
        <v>191</v>
      </c>
    </row>
    <row r="42" spans="1:3" ht="15">
      <c r="A42" s="76" t="s">
        <v>3176</v>
      </c>
      <c r="B42" s="80" t="s">
        <v>511</v>
      </c>
      <c r="C42" s="75">
        <f>VLOOKUP(GroupVertices[[#This Row],[Vertex]],Vertices[],MATCH("ID",Vertices[[#Headers],[Vertex]:[Top Word Pairs in Tweet by Salience]],0),FALSE)</f>
        <v>192</v>
      </c>
    </row>
    <row r="43" spans="1:3" ht="15">
      <c r="A43" s="76" t="s">
        <v>3177</v>
      </c>
      <c r="B43" s="80" t="s">
        <v>264</v>
      </c>
      <c r="C43" s="75">
        <f>VLOOKUP(GroupVertices[[#This Row],[Vertex]],Vertices[],MATCH("ID",Vertices[[#Headers],[Vertex]:[Top Word Pairs in Tweet by Salience]],0),FALSE)</f>
        <v>41</v>
      </c>
    </row>
    <row r="44" spans="1:3" ht="15">
      <c r="A44" s="76" t="s">
        <v>3177</v>
      </c>
      <c r="B44" s="80" t="s">
        <v>274</v>
      </c>
      <c r="C44" s="75">
        <f>VLOOKUP(GroupVertices[[#This Row],[Vertex]],Vertices[],MATCH("ID",Vertices[[#Headers],[Vertex]:[Top Word Pairs in Tweet by Salience]],0),FALSE)</f>
        <v>57</v>
      </c>
    </row>
    <row r="45" spans="1:3" ht="15">
      <c r="A45" s="76" t="s">
        <v>3177</v>
      </c>
      <c r="B45" s="80" t="s">
        <v>298</v>
      </c>
      <c r="C45" s="75">
        <f>VLOOKUP(GroupVertices[[#This Row],[Vertex]],Vertices[],MATCH("ID",Vertices[[#Headers],[Vertex]:[Top Word Pairs in Tweet by Salience]],0),FALSE)</f>
        <v>84</v>
      </c>
    </row>
    <row r="46" spans="1:3" ht="15">
      <c r="A46" s="76" t="s">
        <v>3177</v>
      </c>
      <c r="B46" s="80" t="s">
        <v>303</v>
      </c>
      <c r="C46" s="75">
        <f>VLOOKUP(GroupVertices[[#This Row],[Vertex]],Vertices[],MATCH("ID",Vertices[[#Headers],[Vertex]:[Top Word Pairs in Tweet by Salience]],0),FALSE)</f>
        <v>89</v>
      </c>
    </row>
    <row r="47" spans="1:3" ht="15">
      <c r="A47" s="76" t="s">
        <v>3177</v>
      </c>
      <c r="B47" s="80" t="s">
        <v>305</v>
      </c>
      <c r="C47" s="75">
        <f>VLOOKUP(GroupVertices[[#This Row],[Vertex]],Vertices[],MATCH("ID",Vertices[[#Headers],[Vertex]:[Top Word Pairs in Tweet by Salience]],0),FALSE)</f>
        <v>90</v>
      </c>
    </row>
    <row r="48" spans="1:3" ht="15">
      <c r="A48" s="76" t="s">
        <v>3177</v>
      </c>
      <c r="B48" s="80" t="s">
        <v>315</v>
      </c>
      <c r="C48" s="75">
        <f>VLOOKUP(GroupVertices[[#This Row],[Vertex]],Vertices[],MATCH("ID",Vertices[[#Headers],[Vertex]:[Top Word Pairs in Tweet by Salience]],0),FALSE)</f>
        <v>110</v>
      </c>
    </row>
    <row r="49" spans="1:3" ht="15">
      <c r="A49" s="76" t="s">
        <v>3177</v>
      </c>
      <c r="B49" s="80" t="s">
        <v>320</v>
      </c>
      <c r="C49" s="75">
        <f>VLOOKUP(GroupVertices[[#This Row],[Vertex]],Vertices[],MATCH("ID",Vertices[[#Headers],[Vertex]:[Top Word Pairs in Tweet by Salience]],0),FALSE)</f>
        <v>118</v>
      </c>
    </row>
    <row r="50" spans="1:3" ht="15">
      <c r="A50" s="76" t="s">
        <v>3177</v>
      </c>
      <c r="B50" s="80" t="s">
        <v>342</v>
      </c>
      <c r="C50" s="75">
        <f>VLOOKUP(GroupVertices[[#This Row],[Vertex]],Vertices[],MATCH("ID",Vertices[[#Headers],[Vertex]:[Top Word Pairs in Tweet by Salience]],0),FALSE)</f>
        <v>160</v>
      </c>
    </row>
    <row r="51" spans="1:3" ht="15">
      <c r="A51" s="76" t="s">
        <v>3177</v>
      </c>
      <c r="B51" s="80" t="s">
        <v>345</v>
      </c>
      <c r="C51" s="75">
        <f>VLOOKUP(GroupVertices[[#This Row],[Vertex]],Vertices[],MATCH("ID",Vertices[[#Headers],[Vertex]:[Top Word Pairs in Tweet by Salience]],0),FALSE)</f>
        <v>164</v>
      </c>
    </row>
    <row r="52" spans="1:3" ht="15">
      <c r="A52" s="76" t="s">
        <v>3177</v>
      </c>
      <c r="B52" s="80" t="s">
        <v>346</v>
      </c>
      <c r="C52" s="75">
        <f>VLOOKUP(GroupVertices[[#This Row],[Vertex]],Vertices[],MATCH("ID",Vertices[[#Headers],[Vertex]:[Top Word Pairs in Tweet by Salience]],0),FALSE)</f>
        <v>165</v>
      </c>
    </row>
    <row r="53" spans="1:3" ht="15">
      <c r="A53" s="76" t="s">
        <v>3177</v>
      </c>
      <c r="B53" s="80" t="s">
        <v>347</v>
      </c>
      <c r="C53" s="75">
        <f>VLOOKUP(GroupVertices[[#This Row],[Vertex]],Vertices[],MATCH("ID",Vertices[[#Headers],[Vertex]:[Top Word Pairs in Tweet by Salience]],0),FALSE)</f>
        <v>166</v>
      </c>
    </row>
    <row r="54" spans="1:3" ht="15">
      <c r="A54" s="76" t="s">
        <v>3177</v>
      </c>
      <c r="B54" s="80" t="s">
        <v>350</v>
      </c>
      <c r="C54" s="75">
        <f>VLOOKUP(GroupVertices[[#This Row],[Vertex]],Vertices[],MATCH("ID",Vertices[[#Headers],[Vertex]:[Top Word Pairs in Tweet by Salience]],0),FALSE)</f>
        <v>171</v>
      </c>
    </row>
    <row r="55" spans="1:3" ht="15">
      <c r="A55" s="76" t="s">
        <v>3177</v>
      </c>
      <c r="B55" s="80" t="s">
        <v>368</v>
      </c>
      <c r="C55" s="75">
        <f>VLOOKUP(GroupVertices[[#This Row],[Vertex]],Vertices[],MATCH("ID",Vertices[[#Headers],[Vertex]:[Top Word Pairs in Tweet by Salience]],0),FALSE)</f>
        <v>202</v>
      </c>
    </row>
    <row r="56" spans="1:3" ht="15">
      <c r="A56" s="76" t="s">
        <v>3177</v>
      </c>
      <c r="B56" s="80" t="s">
        <v>374</v>
      </c>
      <c r="C56" s="75">
        <f>VLOOKUP(GroupVertices[[#This Row],[Vertex]],Vertices[],MATCH("ID",Vertices[[#Headers],[Vertex]:[Top Word Pairs in Tweet by Salience]],0),FALSE)</f>
        <v>218</v>
      </c>
    </row>
    <row r="57" spans="1:3" ht="15">
      <c r="A57" s="76" t="s">
        <v>3177</v>
      </c>
      <c r="B57" s="80" t="s">
        <v>381</v>
      </c>
      <c r="C57" s="75">
        <f>VLOOKUP(GroupVertices[[#This Row],[Vertex]],Vertices[],MATCH("ID",Vertices[[#Headers],[Vertex]:[Top Word Pairs in Tweet by Salience]],0),FALSE)</f>
        <v>226</v>
      </c>
    </row>
    <row r="58" spans="1:3" ht="15">
      <c r="A58" s="76" t="s">
        <v>3177</v>
      </c>
      <c r="B58" s="80" t="s">
        <v>384</v>
      </c>
      <c r="C58" s="75">
        <f>VLOOKUP(GroupVertices[[#This Row],[Vertex]],Vertices[],MATCH("ID",Vertices[[#Headers],[Vertex]:[Top Word Pairs in Tweet by Salience]],0),FALSE)</f>
        <v>236</v>
      </c>
    </row>
    <row r="59" spans="1:3" ht="15">
      <c r="A59" s="76" t="s">
        <v>3177</v>
      </c>
      <c r="B59" s="80" t="s">
        <v>398</v>
      </c>
      <c r="C59" s="75">
        <f>VLOOKUP(GroupVertices[[#This Row],[Vertex]],Vertices[],MATCH("ID",Vertices[[#Headers],[Vertex]:[Top Word Pairs in Tweet by Salience]],0),FALSE)</f>
        <v>260</v>
      </c>
    </row>
    <row r="60" spans="1:3" ht="15">
      <c r="A60" s="76" t="s">
        <v>3177</v>
      </c>
      <c r="B60" s="80" t="s">
        <v>403</v>
      </c>
      <c r="C60" s="75">
        <f>VLOOKUP(GroupVertices[[#This Row],[Vertex]],Vertices[],MATCH("ID",Vertices[[#Headers],[Vertex]:[Top Word Pairs in Tweet by Salience]],0),FALSE)</f>
        <v>266</v>
      </c>
    </row>
    <row r="61" spans="1:3" ht="15">
      <c r="A61" s="76" t="s">
        <v>3177</v>
      </c>
      <c r="B61" s="80" t="s">
        <v>407</v>
      </c>
      <c r="C61" s="75">
        <f>VLOOKUP(GroupVertices[[#This Row],[Vertex]],Vertices[],MATCH("ID",Vertices[[#Headers],[Vertex]:[Top Word Pairs in Tweet by Salience]],0),FALSE)</f>
        <v>271</v>
      </c>
    </row>
    <row r="62" spans="1:3" ht="15">
      <c r="A62" s="76" t="s">
        <v>3177</v>
      </c>
      <c r="B62" s="80" t="s">
        <v>410</v>
      </c>
      <c r="C62" s="75">
        <f>VLOOKUP(GroupVertices[[#This Row],[Vertex]],Vertices[],MATCH("ID",Vertices[[#Headers],[Vertex]:[Top Word Pairs in Tweet by Salience]],0),FALSE)</f>
        <v>275</v>
      </c>
    </row>
    <row r="63" spans="1:3" ht="15">
      <c r="A63" s="76" t="s">
        <v>3177</v>
      </c>
      <c r="B63" s="80" t="s">
        <v>411</v>
      </c>
      <c r="C63" s="75">
        <f>VLOOKUP(GroupVertices[[#This Row],[Vertex]],Vertices[],MATCH("ID",Vertices[[#Headers],[Vertex]:[Top Word Pairs in Tweet by Salience]],0),FALSE)</f>
        <v>276</v>
      </c>
    </row>
    <row r="64" spans="1:3" ht="15">
      <c r="A64" s="76" t="s">
        <v>3177</v>
      </c>
      <c r="B64" s="80" t="s">
        <v>419</v>
      </c>
      <c r="C64" s="75">
        <f>VLOOKUP(GroupVertices[[#This Row],[Vertex]],Vertices[],MATCH("ID",Vertices[[#Headers],[Vertex]:[Top Word Pairs in Tweet by Salience]],0),FALSE)</f>
        <v>299</v>
      </c>
    </row>
    <row r="65" spans="1:3" ht="15">
      <c r="A65" s="76" t="s">
        <v>3177</v>
      </c>
      <c r="B65" s="80" t="s">
        <v>423</v>
      </c>
      <c r="C65" s="75">
        <f>VLOOKUP(GroupVertices[[#This Row],[Vertex]],Vertices[],MATCH("ID",Vertices[[#Headers],[Vertex]:[Top Word Pairs in Tweet by Salience]],0),FALSE)</f>
        <v>309</v>
      </c>
    </row>
    <row r="66" spans="1:3" ht="15">
      <c r="A66" s="76" t="s">
        <v>3177</v>
      </c>
      <c r="B66" s="80" t="s">
        <v>429</v>
      </c>
      <c r="C66" s="75">
        <f>VLOOKUP(GroupVertices[[#This Row],[Vertex]],Vertices[],MATCH("ID",Vertices[[#Headers],[Vertex]:[Top Word Pairs in Tweet by Salience]],0),FALSE)</f>
        <v>330</v>
      </c>
    </row>
    <row r="67" spans="1:3" ht="15">
      <c r="A67" s="76" t="s">
        <v>3178</v>
      </c>
      <c r="B67" s="80" t="s">
        <v>415</v>
      </c>
      <c r="C67" s="75">
        <f>VLOOKUP(GroupVertices[[#This Row],[Vertex]],Vertices[],MATCH("ID",Vertices[[#Headers],[Vertex]:[Top Word Pairs in Tweet by Salience]],0),FALSE)</f>
        <v>282</v>
      </c>
    </row>
    <row r="68" spans="1:3" ht="15">
      <c r="A68" s="76" t="s">
        <v>3178</v>
      </c>
      <c r="B68" s="80" t="s">
        <v>414</v>
      </c>
      <c r="C68" s="75">
        <f>VLOOKUP(GroupVertices[[#This Row],[Vertex]],Vertices[],MATCH("ID",Vertices[[#Headers],[Vertex]:[Top Word Pairs in Tweet by Salience]],0),FALSE)</f>
        <v>9</v>
      </c>
    </row>
    <row r="69" spans="1:3" ht="15">
      <c r="A69" s="76" t="s">
        <v>3178</v>
      </c>
      <c r="B69" s="80" t="s">
        <v>408</v>
      </c>
      <c r="C69" s="75">
        <f>VLOOKUP(GroupVertices[[#This Row],[Vertex]],Vertices[],MATCH("ID",Vertices[[#Headers],[Vertex]:[Top Word Pairs in Tweet by Salience]],0),FALSE)</f>
        <v>272</v>
      </c>
    </row>
    <row r="70" spans="1:3" ht="15">
      <c r="A70" s="76" t="s">
        <v>3178</v>
      </c>
      <c r="B70" s="80" t="s">
        <v>497</v>
      </c>
      <c r="C70" s="75">
        <f>VLOOKUP(GroupVertices[[#This Row],[Vertex]],Vertices[],MATCH("ID",Vertices[[#Headers],[Vertex]:[Top Word Pairs in Tweet by Salience]],0),FALSE)</f>
        <v>155</v>
      </c>
    </row>
    <row r="71" spans="1:3" ht="15">
      <c r="A71" s="76" t="s">
        <v>3178</v>
      </c>
      <c r="B71" s="80" t="s">
        <v>406</v>
      </c>
      <c r="C71" s="75">
        <f>VLOOKUP(GroupVertices[[#This Row],[Vertex]],Vertices[],MATCH("ID",Vertices[[#Headers],[Vertex]:[Top Word Pairs in Tweet by Salience]],0),FALSE)</f>
        <v>270</v>
      </c>
    </row>
    <row r="72" spans="1:3" ht="15">
      <c r="A72" s="76" t="s">
        <v>3178</v>
      </c>
      <c r="B72" s="80" t="s">
        <v>404</v>
      </c>
      <c r="C72" s="75">
        <f>VLOOKUP(GroupVertices[[#This Row],[Vertex]],Vertices[],MATCH("ID",Vertices[[#Headers],[Vertex]:[Top Word Pairs in Tweet by Salience]],0),FALSE)</f>
        <v>267</v>
      </c>
    </row>
    <row r="73" spans="1:3" ht="15">
      <c r="A73" s="76" t="s">
        <v>3178</v>
      </c>
      <c r="B73" s="80" t="s">
        <v>402</v>
      </c>
      <c r="C73" s="75">
        <f>VLOOKUP(GroupVertices[[#This Row],[Vertex]],Vertices[],MATCH("ID",Vertices[[#Headers],[Vertex]:[Top Word Pairs in Tweet by Salience]],0),FALSE)</f>
        <v>265</v>
      </c>
    </row>
    <row r="74" spans="1:3" ht="15">
      <c r="A74" s="76" t="s">
        <v>3178</v>
      </c>
      <c r="B74" s="80" t="s">
        <v>401</v>
      </c>
      <c r="C74" s="75">
        <f>VLOOKUP(GroupVertices[[#This Row],[Vertex]],Vertices[],MATCH("ID",Vertices[[#Headers],[Vertex]:[Top Word Pairs in Tweet by Salience]],0),FALSE)</f>
        <v>264</v>
      </c>
    </row>
    <row r="75" spans="1:3" ht="15">
      <c r="A75" s="76" t="s">
        <v>3178</v>
      </c>
      <c r="B75" s="80" t="s">
        <v>399</v>
      </c>
      <c r="C75" s="75">
        <f>VLOOKUP(GroupVertices[[#This Row],[Vertex]],Vertices[],MATCH("ID",Vertices[[#Headers],[Vertex]:[Top Word Pairs in Tweet by Salience]],0),FALSE)</f>
        <v>261</v>
      </c>
    </row>
    <row r="76" spans="1:3" ht="15">
      <c r="A76" s="76" t="s">
        <v>3178</v>
      </c>
      <c r="B76" s="80" t="s">
        <v>397</v>
      </c>
      <c r="C76" s="75">
        <f>VLOOKUP(GroupVertices[[#This Row],[Vertex]],Vertices[],MATCH("ID",Vertices[[#Headers],[Vertex]:[Top Word Pairs in Tweet by Salience]],0),FALSE)</f>
        <v>259</v>
      </c>
    </row>
    <row r="77" spans="1:3" ht="15">
      <c r="A77" s="76" t="s">
        <v>3178</v>
      </c>
      <c r="B77" s="80" t="s">
        <v>393</v>
      </c>
      <c r="C77" s="75">
        <f>VLOOKUP(GroupVertices[[#This Row],[Vertex]],Vertices[],MATCH("ID",Vertices[[#Headers],[Vertex]:[Top Word Pairs in Tweet by Salience]],0),FALSE)</f>
        <v>249</v>
      </c>
    </row>
    <row r="78" spans="1:3" ht="15">
      <c r="A78" s="76" t="s">
        <v>3178</v>
      </c>
      <c r="B78" s="80" t="s">
        <v>392</v>
      </c>
      <c r="C78" s="75">
        <f>VLOOKUP(GroupVertices[[#This Row],[Vertex]],Vertices[],MATCH("ID",Vertices[[#Headers],[Vertex]:[Top Word Pairs in Tweet by Salience]],0),FALSE)</f>
        <v>248</v>
      </c>
    </row>
    <row r="79" spans="1:3" ht="15">
      <c r="A79" s="76" t="s">
        <v>3178</v>
      </c>
      <c r="B79" s="80" t="s">
        <v>391</v>
      </c>
      <c r="C79" s="75">
        <f>VLOOKUP(GroupVertices[[#This Row],[Vertex]],Vertices[],MATCH("ID",Vertices[[#Headers],[Vertex]:[Top Word Pairs in Tweet by Salience]],0),FALSE)</f>
        <v>247</v>
      </c>
    </row>
    <row r="80" spans="1:3" ht="15">
      <c r="A80" s="76" t="s">
        <v>3178</v>
      </c>
      <c r="B80" s="80" t="s">
        <v>375</v>
      </c>
      <c r="C80" s="75">
        <f>VLOOKUP(GroupVertices[[#This Row],[Vertex]],Vertices[],MATCH("ID",Vertices[[#Headers],[Vertex]:[Top Word Pairs in Tweet by Salience]],0),FALSE)</f>
        <v>219</v>
      </c>
    </row>
    <row r="81" spans="1:3" ht="15">
      <c r="A81" s="76" t="s">
        <v>3178</v>
      </c>
      <c r="B81" s="80" t="s">
        <v>344</v>
      </c>
      <c r="C81" s="75">
        <f>VLOOKUP(GroupVertices[[#This Row],[Vertex]],Vertices[],MATCH("ID",Vertices[[#Headers],[Vertex]:[Top Word Pairs in Tweet by Salience]],0),FALSE)</f>
        <v>163</v>
      </c>
    </row>
    <row r="82" spans="1:3" ht="15">
      <c r="A82" s="76" t="s">
        <v>3178</v>
      </c>
      <c r="B82" s="80" t="s">
        <v>321</v>
      </c>
      <c r="C82" s="75">
        <f>VLOOKUP(GroupVertices[[#This Row],[Vertex]],Vertices[],MATCH("ID",Vertices[[#Headers],[Vertex]:[Top Word Pairs in Tweet by Salience]],0),FALSE)</f>
        <v>119</v>
      </c>
    </row>
    <row r="83" spans="1:3" ht="15">
      <c r="A83" s="76" t="s">
        <v>3178</v>
      </c>
      <c r="B83" s="80" t="s">
        <v>314</v>
      </c>
      <c r="C83" s="75">
        <f>VLOOKUP(GroupVertices[[#This Row],[Vertex]],Vertices[],MATCH("ID",Vertices[[#Headers],[Vertex]:[Top Word Pairs in Tweet by Salience]],0),FALSE)</f>
        <v>109</v>
      </c>
    </row>
    <row r="84" spans="1:3" ht="15">
      <c r="A84" s="76" t="s">
        <v>3178</v>
      </c>
      <c r="B84" s="80" t="s">
        <v>258</v>
      </c>
      <c r="C84" s="75">
        <f>VLOOKUP(GroupVertices[[#This Row],[Vertex]],Vertices[],MATCH("ID",Vertices[[#Headers],[Vertex]:[Top Word Pairs in Tweet by Salience]],0),FALSE)</f>
        <v>8</v>
      </c>
    </row>
    <row r="85" spans="1:3" ht="15">
      <c r="A85" s="76" t="s">
        <v>3179</v>
      </c>
      <c r="B85" s="80" t="s">
        <v>418</v>
      </c>
      <c r="C85" s="75">
        <f>VLOOKUP(GroupVertices[[#This Row],[Vertex]],Vertices[],MATCH("ID",Vertices[[#Headers],[Vertex]:[Top Word Pairs in Tweet by Salience]],0),FALSE)</f>
        <v>150</v>
      </c>
    </row>
    <row r="86" spans="1:3" ht="15">
      <c r="A86" s="76" t="s">
        <v>3179</v>
      </c>
      <c r="B86" s="80" t="s">
        <v>561</v>
      </c>
      <c r="C86" s="75">
        <f>VLOOKUP(GroupVertices[[#This Row],[Vertex]],Vertices[],MATCH("ID",Vertices[[#Headers],[Vertex]:[Top Word Pairs in Tweet by Salience]],0),FALSE)</f>
        <v>298</v>
      </c>
    </row>
    <row r="87" spans="1:3" ht="15">
      <c r="A87" s="76" t="s">
        <v>3179</v>
      </c>
      <c r="B87" s="80" t="s">
        <v>560</v>
      </c>
      <c r="C87" s="75">
        <f>VLOOKUP(GroupVertices[[#This Row],[Vertex]],Vertices[],MATCH("ID",Vertices[[#Headers],[Vertex]:[Top Word Pairs in Tweet by Salience]],0),FALSE)</f>
        <v>297</v>
      </c>
    </row>
    <row r="88" spans="1:3" ht="15">
      <c r="A88" s="76" t="s">
        <v>3179</v>
      </c>
      <c r="B88" s="80" t="s">
        <v>559</v>
      </c>
      <c r="C88" s="75">
        <f>VLOOKUP(GroupVertices[[#This Row],[Vertex]],Vertices[],MATCH("ID",Vertices[[#Headers],[Vertex]:[Top Word Pairs in Tweet by Salience]],0),FALSE)</f>
        <v>296</v>
      </c>
    </row>
    <row r="89" spans="1:3" ht="15">
      <c r="A89" s="76" t="s">
        <v>3179</v>
      </c>
      <c r="B89" s="80" t="s">
        <v>558</v>
      </c>
      <c r="C89" s="75">
        <f>VLOOKUP(GroupVertices[[#This Row],[Vertex]],Vertices[],MATCH("ID",Vertices[[#Headers],[Vertex]:[Top Word Pairs in Tweet by Salience]],0),FALSE)</f>
        <v>295</v>
      </c>
    </row>
    <row r="90" spans="1:3" ht="15">
      <c r="A90" s="76" t="s">
        <v>3179</v>
      </c>
      <c r="B90" s="80" t="s">
        <v>557</v>
      </c>
      <c r="C90" s="75">
        <f>VLOOKUP(GroupVertices[[#This Row],[Vertex]],Vertices[],MATCH("ID",Vertices[[#Headers],[Vertex]:[Top Word Pairs in Tweet by Salience]],0),FALSE)</f>
        <v>294</v>
      </c>
    </row>
    <row r="91" spans="1:3" ht="15">
      <c r="A91" s="76" t="s">
        <v>3179</v>
      </c>
      <c r="B91" s="80" t="s">
        <v>556</v>
      </c>
      <c r="C91" s="75">
        <f>VLOOKUP(GroupVertices[[#This Row],[Vertex]],Vertices[],MATCH("ID",Vertices[[#Headers],[Vertex]:[Top Word Pairs in Tweet by Salience]],0),FALSE)</f>
        <v>293</v>
      </c>
    </row>
    <row r="92" spans="1:3" ht="15">
      <c r="A92" s="76" t="s">
        <v>3179</v>
      </c>
      <c r="B92" s="80" t="s">
        <v>555</v>
      </c>
      <c r="C92" s="75">
        <f>VLOOKUP(GroupVertices[[#This Row],[Vertex]],Vertices[],MATCH("ID",Vertices[[#Headers],[Vertex]:[Top Word Pairs in Tweet by Salience]],0),FALSE)</f>
        <v>292</v>
      </c>
    </row>
    <row r="93" spans="1:3" ht="15">
      <c r="A93" s="76" t="s">
        <v>3179</v>
      </c>
      <c r="B93" s="80" t="s">
        <v>554</v>
      </c>
      <c r="C93" s="75">
        <f>VLOOKUP(GroupVertices[[#This Row],[Vertex]],Vertices[],MATCH("ID",Vertices[[#Headers],[Vertex]:[Top Word Pairs in Tweet by Salience]],0),FALSE)</f>
        <v>291</v>
      </c>
    </row>
    <row r="94" spans="1:3" ht="15">
      <c r="A94" s="76" t="s">
        <v>3179</v>
      </c>
      <c r="B94" s="80" t="s">
        <v>553</v>
      </c>
      <c r="C94" s="75">
        <f>VLOOKUP(GroupVertices[[#This Row],[Vertex]],Vertices[],MATCH("ID",Vertices[[#Headers],[Vertex]:[Top Word Pairs in Tweet by Salience]],0),FALSE)</f>
        <v>290</v>
      </c>
    </row>
    <row r="95" spans="1:3" ht="15">
      <c r="A95" s="76" t="s">
        <v>3179</v>
      </c>
      <c r="B95" s="80" t="s">
        <v>552</v>
      </c>
      <c r="C95" s="75">
        <f>VLOOKUP(GroupVertices[[#This Row],[Vertex]],Vertices[],MATCH("ID",Vertices[[#Headers],[Vertex]:[Top Word Pairs in Tweet by Salience]],0),FALSE)</f>
        <v>289</v>
      </c>
    </row>
    <row r="96" spans="1:3" ht="15">
      <c r="A96" s="76" t="s">
        <v>3179</v>
      </c>
      <c r="B96" s="80" t="s">
        <v>551</v>
      </c>
      <c r="C96" s="75">
        <f>VLOOKUP(GroupVertices[[#This Row],[Vertex]],Vertices[],MATCH("ID",Vertices[[#Headers],[Vertex]:[Top Word Pairs in Tweet by Salience]],0),FALSE)</f>
        <v>288</v>
      </c>
    </row>
    <row r="97" spans="1:3" ht="15">
      <c r="A97" s="76" t="s">
        <v>3179</v>
      </c>
      <c r="B97" s="80" t="s">
        <v>550</v>
      </c>
      <c r="C97" s="75">
        <f>VLOOKUP(GroupVertices[[#This Row],[Vertex]],Vertices[],MATCH("ID",Vertices[[#Headers],[Vertex]:[Top Word Pairs in Tweet by Salience]],0),FALSE)</f>
        <v>287</v>
      </c>
    </row>
    <row r="98" spans="1:3" ht="15">
      <c r="A98" s="76" t="s">
        <v>3179</v>
      </c>
      <c r="B98" s="80" t="s">
        <v>417</v>
      </c>
      <c r="C98" s="75">
        <f>VLOOKUP(GroupVertices[[#This Row],[Vertex]],Vertices[],MATCH("ID",Vertices[[#Headers],[Vertex]:[Top Word Pairs in Tweet by Salience]],0),FALSE)</f>
        <v>285</v>
      </c>
    </row>
    <row r="99" spans="1:3" ht="15">
      <c r="A99" s="76" t="s">
        <v>3179</v>
      </c>
      <c r="B99" s="80" t="s">
        <v>549</v>
      </c>
      <c r="C99" s="75">
        <f>VLOOKUP(GroupVertices[[#This Row],[Vertex]],Vertices[],MATCH("ID",Vertices[[#Headers],[Vertex]:[Top Word Pairs in Tweet by Salience]],0),FALSE)</f>
        <v>286</v>
      </c>
    </row>
    <row r="100" spans="1:3" ht="15">
      <c r="A100" s="76" t="s">
        <v>3179</v>
      </c>
      <c r="B100" s="80" t="s">
        <v>495</v>
      </c>
      <c r="C100" s="75">
        <f>VLOOKUP(GroupVertices[[#This Row],[Vertex]],Vertices[],MATCH("ID",Vertices[[#Headers],[Vertex]:[Top Word Pairs in Tweet by Salience]],0),FALSE)</f>
        <v>151</v>
      </c>
    </row>
    <row r="101" spans="1:3" ht="15">
      <c r="A101" s="76" t="s">
        <v>3179</v>
      </c>
      <c r="B101" s="80" t="s">
        <v>334</v>
      </c>
      <c r="C101" s="75">
        <f>VLOOKUP(GroupVertices[[#This Row],[Vertex]],Vertices[],MATCH("ID",Vertices[[#Headers],[Vertex]:[Top Word Pairs in Tweet by Salience]],0),FALSE)</f>
        <v>149</v>
      </c>
    </row>
    <row r="102" spans="1:3" ht="15">
      <c r="A102" s="76" t="s">
        <v>3180</v>
      </c>
      <c r="B102" s="80" t="s">
        <v>312</v>
      </c>
      <c r="C102" s="75">
        <f>VLOOKUP(GroupVertices[[#This Row],[Vertex]],Vertices[],MATCH("ID",Vertices[[#Headers],[Vertex]:[Top Word Pairs in Tweet by Salience]],0),FALSE)</f>
        <v>104</v>
      </c>
    </row>
    <row r="103" spans="1:3" ht="15">
      <c r="A103" s="76" t="s">
        <v>3180</v>
      </c>
      <c r="B103" s="80" t="s">
        <v>311</v>
      </c>
      <c r="C103" s="75">
        <f>VLOOKUP(GroupVertices[[#This Row],[Vertex]],Vertices[],MATCH("ID",Vertices[[#Headers],[Vertex]:[Top Word Pairs in Tweet by Salience]],0),FALSE)</f>
        <v>68</v>
      </c>
    </row>
    <row r="104" spans="1:3" ht="15">
      <c r="A104" s="76" t="s">
        <v>3180</v>
      </c>
      <c r="B104" s="80" t="s">
        <v>307</v>
      </c>
      <c r="C104" s="75">
        <f>VLOOKUP(GroupVertices[[#This Row],[Vertex]],Vertices[],MATCH("ID",Vertices[[#Headers],[Vertex]:[Top Word Pairs in Tweet by Salience]],0),FALSE)</f>
        <v>94</v>
      </c>
    </row>
    <row r="105" spans="1:3" ht="15">
      <c r="A105" s="76" t="s">
        <v>3180</v>
      </c>
      <c r="B105" s="80" t="s">
        <v>297</v>
      </c>
      <c r="C105" s="75">
        <f>VLOOKUP(GroupVertices[[#This Row],[Vertex]],Vertices[],MATCH("ID",Vertices[[#Headers],[Vertex]:[Top Word Pairs in Tweet by Salience]],0),FALSE)</f>
        <v>83</v>
      </c>
    </row>
    <row r="106" spans="1:3" ht="15">
      <c r="A106" s="76" t="s">
        <v>3180</v>
      </c>
      <c r="B106" s="80" t="s">
        <v>296</v>
      </c>
      <c r="C106" s="75">
        <f>VLOOKUP(GroupVertices[[#This Row],[Vertex]],Vertices[],MATCH("ID",Vertices[[#Headers],[Vertex]:[Top Word Pairs in Tweet by Salience]],0),FALSE)</f>
        <v>82</v>
      </c>
    </row>
    <row r="107" spans="1:3" ht="15">
      <c r="A107" s="76" t="s">
        <v>3180</v>
      </c>
      <c r="B107" s="80" t="s">
        <v>295</v>
      </c>
      <c r="C107" s="75">
        <f>VLOOKUP(GroupVertices[[#This Row],[Vertex]],Vertices[],MATCH("ID",Vertices[[#Headers],[Vertex]:[Top Word Pairs in Tweet by Salience]],0),FALSE)</f>
        <v>81</v>
      </c>
    </row>
    <row r="108" spans="1:3" ht="15">
      <c r="A108" s="76" t="s">
        <v>3180</v>
      </c>
      <c r="B108" s="80" t="s">
        <v>294</v>
      </c>
      <c r="C108" s="75">
        <f>VLOOKUP(GroupVertices[[#This Row],[Vertex]],Vertices[],MATCH("ID",Vertices[[#Headers],[Vertex]:[Top Word Pairs in Tweet by Salience]],0),FALSE)</f>
        <v>80</v>
      </c>
    </row>
    <row r="109" spans="1:3" ht="15">
      <c r="A109" s="76" t="s">
        <v>3180</v>
      </c>
      <c r="B109" s="80" t="s">
        <v>293</v>
      </c>
      <c r="C109" s="75">
        <f>VLOOKUP(GroupVertices[[#This Row],[Vertex]],Vertices[],MATCH("ID",Vertices[[#Headers],[Vertex]:[Top Word Pairs in Tweet by Salience]],0),FALSE)</f>
        <v>79</v>
      </c>
    </row>
    <row r="110" spans="1:3" ht="15">
      <c r="A110" s="76" t="s">
        <v>3180</v>
      </c>
      <c r="B110" s="80" t="s">
        <v>292</v>
      </c>
      <c r="C110" s="75">
        <f>VLOOKUP(GroupVertices[[#This Row],[Vertex]],Vertices[],MATCH("ID",Vertices[[#Headers],[Vertex]:[Top Word Pairs in Tweet by Salience]],0),FALSE)</f>
        <v>78</v>
      </c>
    </row>
    <row r="111" spans="1:3" ht="15">
      <c r="A111" s="76" t="s">
        <v>3180</v>
      </c>
      <c r="B111" s="80" t="s">
        <v>291</v>
      </c>
      <c r="C111" s="75">
        <f>VLOOKUP(GroupVertices[[#This Row],[Vertex]],Vertices[],MATCH("ID",Vertices[[#Headers],[Vertex]:[Top Word Pairs in Tweet by Salience]],0),FALSE)</f>
        <v>77</v>
      </c>
    </row>
    <row r="112" spans="1:3" ht="15">
      <c r="A112" s="76" t="s">
        <v>3180</v>
      </c>
      <c r="B112" s="80" t="s">
        <v>290</v>
      </c>
      <c r="C112" s="75">
        <f>VLOOKUP(GroupVertices[[#This Row],[Vertex]],Vertices[],MATCH("ID",Vertices[[#Headers],[Vertex]:[Top Word Pairs in Tweet by Salience]],0),FALSE)</f>
        <v>76</v>
      </c>
    </row>
    <row r="113" spans="1:3" ht="15">
      <c r="A113" s="76" t="s">
        <v>3180</v>
      </c>
      <c r="B113" s="80" t="s">
        <v>289</v>
      </c>
      <c r="C113" s="75">
        <f>VLOOKUP(GroupVertices[[#This Row],[Vertex]],Vertices[],MATCH("ID",Vertices[[#Headers],[Vertex]:[Top Word Pairs in Tweet by Salience]],0),FALSE)</f>
        <v>75</v>
      </c>
    </row>
    <row r="114" spans="1:3" ht="15">
      <c r="A114" s="76" t="s">
        <v>3180</v>
      </c>
      <c r="B114" s="80" t="s">
        <v>288</v>
      </c>
      <c r="C114" s="75">
        <f>VLOOKUP(GroupVertices[[#This Row],[Vertex]],Vertices[],MATCH("ID",Vertices[[#Headers],[Vertex]:[Top Word Pairs in Tweet by Salience]],0),FALSE)</f>
        <v>74</v>
      </c>
    </row>
    <row r="115" spans="1:3" ht="15">
      <c r="A115" s="76" t="s">
        <v>3180</v>
      </c>
      <c r="B115" s="80" t="s">
        <v>287</v>
      </c>
      <c r="C115" s="75">
        <f>VLOOKUP(GroupVertices[[#This Row],[Vertex]],Vertices[],MATCH("ID",Vertices[[#Headers],[Vertex]:[Top Word Pairs in Tweet by Salience]],0),FALSE)</f>
        <v>73</v>
      </c>
    </row>
    <row r="116" spans="1:3" ht="15">
      <c r="A116" s="76" t="s">
        <v>3180</v>
      </c>
      <c r="B116" s="80" t="s">
        <v>286</v>
      </c>
      <c r="C116" s="75">
        <f>VLOOKUP(GroupVertices[[#This Row],[Vertex]],Vertices[],MATCH("ID",Vertices[[#Headers],[Vertex]:[Top Word Pairs in Tweet by Salience]],0),FALSE)</f>
        <v>72</v>
      </c>
    </row>
    <row r="117" spans="1:3" ht="15">
      <c r="A117" s="76" t="s">
        <v>3180</v>
      </c>
      <c r="B117" s="80" t="s">
        <v>284</v>
      </c>
      <c r="C117" s="75">
        <f>VLOOKUP(GroupVertices[[#This Row],[Vertex]],Vertices[],MATCH("ID",Vertices[[#Headers],[Vertex]:[Top Word Pairs in Tweet by Salience]],0),FALSE)</f>
        <v>69</v>
      </c>
    </row>
    <row r="118" spans="1:3" ht="15">
      <c r="A118" s="76" t="s">
        <v>3180</v>
      </c>
      <c r="B118" s="80" t="s">
        <v>283</v>
      </c>
      <c r="C118" s="75">
        <f>VLOOKUP(GroupVertices[[#This Row],[Vertex]],Vertices[],MATCH("ID",Vertices[[#Headers],[Vertex]:[Top Word Pairs in Tweet by Salience]],0),FALSE)</f>
        <v>67</v>
      </c>
    </row>
    <row r="119" spans="1:3" ht="15">
      <c r="A119" s="76" t="s">
        <v>3181</v>
      </c>
      <c r="B119" s="80" t="s">
        <v>446</v>
      </c>
      <c r="C119" s="75">
        <f>VLOOKUP(GroupVertices[[#This Row],[Vertex]],Vertices[],MATCH("ID",Vertices[[#Headers],[Vertex]:[Top Word Pairs in Tweet by Salience]],0),FALSE)</f>
        <v>29</v>
      </c>
    </row>
    <row r="120" spans="1:3" ht="15">
      <c r="A120" s="76" t="s">
        <v>3181</v>
      </c>
      <c r="B120" s="80" t="s">
        <v>262</v>
      </c>
      <c r="C120" s="75">
        <f>VLOOKUP(GroupVertices[[#This Row],[Vertex]],Vertices[],MATCH("ID",Vertices[[#Headers],[Vertex]:[Top Word Pairs in Tweet by Salience]],0),FALSE)</f>
        <v>18</v>
      </c>
    </row>
    <row r="121" spans="1:3" ht="15">
      <c r="A121" s="76" t="s">
        <v>3181</v>
      </c>
      <c r="B121" s="80" t="s">
        <v>445</v>
      </c>
      <c r="C121" s="75">
        <f>VLOOKUP(GroupVertices[[#This Row],[Vertex]],Vertices[],MATCH("ID",Vertices[[#Headers],[Vertex]:[Top Word Pairs in Tweet by Salience]],0),FALSE)</f>
        <v>28</v>
      </c>
    </row>
    <row r="122" spans="1:3" ht="15">
      <c r="A122" s="76" t="s">
        <v>3181</v>
      </c>
      <c r="B122" s="80" t="s">
        <v>444</v>
      </c>
      <c r="C122" s="75">
        <f>VLOOKUP(GroupVertices[[#This Row],[Vertex]],Vertices[],MATCH("ID",Vertices[[#Headers],[Vertex]:[Top Word Pairs in Tweet by Salience]],0),FALSE)</f>
        <v>27</v>
      </c>
    </row>
    <row r="123" spans="1:3" ht="15">
      <c r="A123" s="76" t="s">
        <v>3181</v>
      </c>
      <c r="B123" s="80" t="s">
        <v>443</v>
      </c>
      <c r="C123" s="75">
        <f>VLOOKUP(GroupVertices[[#This Row],[Vertex]],Vertices[],MATCH("ID",Vertices[[#Headers],[Vertex]:[Top Word Pairs in Tweet by Salience]],0),FALSE)</f>
        <v>26</v>
      </c>
    </row>
    <row r="124" spans="1:3" ht="15">
      <c r="A124" s="76" t="s">
        <v>3181</v>
      </c>
      <c r="B124" s="80" t="s">
        <v>442</v>
      </c>
      <c r="C124" s="75">
        <f>VLOOKUP(GroupVertices[[#This Row],[Vertex]],Vertices[],MATCH("ID",Vertices[[#Headers],[Vertex]:[Top Word Pairs in Tweet by Salience]],0),FALSE)</f>
        <v>25</v>
      </c>
    </row>
    <row r="125" spans="1:3" ht="15">
      <c r="A125" s="76" t="s">
        <v>3181</v>
      </c>
      <c r="B125" s="80" t="s">
        <v>441</v>
      </c>
      <c r="C125" s="75">
        <f>VLOOKUP(GroupVertices[[#This Row],[Vertex]],Vertices[],MATCH("ID",Vertices[[#Headers],[Vertex]:[Top Word Pairs in Tweet by Salience]],0),FALSE)</f>
        <v>24</v>
      </c>
    </row>
    <row r="126" spans="1:3" ht="15">
      <c r="A126" s="76" t="s">
        <v>3181</v>
      </c>
      <c r="B126" s="80" t="s">
        <v>440</v>
      </c>
      <c r="C126" s="75">
        <f>VLOOKUP(GroupVertices[[#This Row],[Vertex]],Vertices[],MATCH("ID",Vertices[[#Headers],[Vertex]:[Top Word Pairs in Tweet by Salience]],0),FALSE)</f>
        <v>23</v>
      </c>
    </row>
    <row r="127" spans="1:3" ht="15">
      <c r="A127" s="76" t="s">
        <v>3181</v>
      </c>
      <c r="B127" s="80" t="s">
        <v>439</v>
      </c>
      <c r="C127" s="75">
        <f>VLOOKUP(GroupVertices[[#This Row],[Vertex]],Vertices[],MATCH("ID",Vertices[[#Headers],[Vertex]:[Top Word Pairs in Tweet by Salience]],0),FALSE)</f>
        <v>22</v>
      </c>
    </row>
    <row r="128" spans="1:3" ht="15">
      <c r="A128" s="76" t="s">
        <v>3181</v>
      </c>
      <c r="B128" s="80" t="s">
        <v>438</v>
      </c>
      <c r="C128" s="75">
        <f>VLOOKUP(GroupVertices[[#This Row],[Vertex]],Vertices[],MATCH("ID",Vertices[[#Headers],[Vertex]:[Top Word Pairs in Tweet by Salience]],0),FALSE)</f>
        <v>21</v>
      </c>
    </row>
    <row r="129" spans="1:3" ht="15">
      <c r="A129" s="76" t="s">
        <v>3181</v>
      </c>
      <c r="B129" s="80" t="s">
        <v>437</v>
      </c>
      <c r="C129" s="75">
        <f>VLOOKUP(GroupVertices[[#This Row],[Vertex]],Vertices[],MATCH("ID",Vertices[[#Headers],[Vertex]:[Top Word Pairs in Tweet by Salience]],0),FALSE)</f>
        <v>20</v>
      </c>
    </row>
    <row r="130" spans="1:3" ht="15">
      <c r="A130" s="76" t="s">
        <v>3181</v>
      </c>
      <c r="B130" s="80" t="s">
        <v>436</v>
      </c>
      <c r="C130" s="75">
        <f>VLOOKUP(GroupVertices[[#This Row],[Vertex]],Vertices[],MATCH("ID",Vertices[[#Headers],[Vertex]:[Top Word Pairs in Tweet by Salience]],0),FALSE)</f>
        <v>19</v>
      </c>
    </row>
    <row r="131" spans="1:3" ht="15">
      <c r="A131" s="76" t="s">
        <v>3182</v>
      </c>
      <c r="B131" s="80" t="s">
        <v>338</v>
      </c>
      <c r="C131" s="75">
        <f>VLOOKUP(GroupVertices[[#This Row],[Vertex]],Vertices[],MATCH("ID",Vertices[[#Headers],[Vertex]:[Top Word Pairs in Tweet by Salience]],0),FALSE)</f>
        <v>156</v>
      </c>
    </row>
    <row r="132" spans="1:3" ht="15">
      <c r="A132" s="76" t="s">
        <v>3182</v>
      </c>
      <c r="B132" s="80" t="s">
        <v>337</v>
      </c>
      <c r="C132" s="75">
        <f>VLOOKUP(GroupVertices[[#This Row],[Vertex]],Vertices[],MATCH("ID",Vertices[[#Headers],[Vertex]:[Top Word Pairs in Tweet by Salience]],0),FALSE)</f>
        <v>130</v>
      </c>
    </row>
    <row r="133" spans="1:3" ht="15">
      <c r="A133" s="76" t="s">
        <v>3182</v>
      </c>
      <c r="B133" s="80" t="s">
        <v>336</v>
      </c>
      <c r="C133" s="75">
        <f>VLOOKUP(GroupVertices[[#This Row],[Vertex]],Vertices[],MATCH("ID",Vertices[[#Headers],[Vertex]:[Top Word Pairs in Tweet by Salience]],0),FALSE)</f>
        <v>153</v>
      </c>
    </row>
    <row r="134" spans="1:3" ht="15">
      <c r="A134" s="76" t="s">
        <v>3182</v>
      </c>
      <c r="B134" s="80" t="s">
        <v>335</v>
      </c>
      <c r="C134" s="75">
        <f>VLOOKUP(GroupVertices[[#This Row],[Vertex]],Vertices[],MATCH("ID",Vertices[[#Headers],[Vertex]:[Top Word Pairs in Tweet by Salience]],0),FALSE)</f>
        <v>152</v>
      </c>
    </row>
    <row r="135" spans="1:3" ht="15">
      <c r="A135" s="76" t="s">
        <v>3182</v>
      </c>
      <c r="B135" s="80" t="s">
        <v>333</v>
      </c>
      <c r="C135" s="75">
        <f>VLOOKUP(GroupVertices[[#This Row],[Vertex]],Vertices[],MATCH("ID",Vertices[[#Headers],[Vertex]:[Top Word Pairs in Tweet by Salience]],0),FALSE)</f>
        <v>148</v>
      </c>
    </row>
    <row r="136" spans="1:3" ht="15">
      <c r="A136" s="76" t="s">
        <v>3182</v>
      </c>
      <c r="B136" s="80" t="s">
        <v>332</v>
      </c>
      <c r="C136" s="75">
        <f>VLOOKUP(GroupVertices[[#This Row],[Vertex]],Vertices[],MATCH("ID",Vertices[[#Headers],[Vertex]:[Top Word Pairs in Tweet by Salience]],0),FALSE)</f>
        <v>147</v>
      </c>
    </row>
    <row r="137" spans="1:3" ht="15">
      <c r="A137" s="76" t="s">
        <v>3182</v>
      </c>
      <c r="B137" s="80" t="s">
        <v>331</v>
      </c>
      <c r="C137" s="75">
        <f>VLOOKUP(GroupVertices[[#This Row],[Vertex]],Vertices[],MATCH("ID",Vertices[[#Headers],[Vertex]:[Top Word Pairs in Tweet by Salience]],0),FALSE)</f>
        <v>146</v>
      </c>
    </row>
    <row r="138" spans="1:3" ht="15">
      <c r="A138" s="76" t="s">
        <v>3182</v>
      </c>
      <c r="B138" s="80" t="s">
        <v>330</v>
      </c>
      <c r="C138" s="75">
        <f>VLOOKUP(GroupVertices[[#This Row],[Vertex]],Vertices[],MATCH("ID",Vertices[[#Headers],[Vertex]:[Top Word Pairs in Tweet by Salience]],0),FALSE)</f>
        <v>145</v>
      </c>
    </row>
    <row r="139" spans="1:3" ht="15">
      <c r="A139" s="76" t="s">
        <v>3182</v>
      </c>
      <c r="B139" s="80" t="s">
        <v>329</v>
      </c>
      <c r="C139" s="75">
        <f>VLOOKUP(GroupVertices[[#This Row],[Vertex]],Vertices[],MATCH("ID",Vertices[[#Headers],[Vertex]:[Top Word Pairs in Tweet by Salience]],0),FALSE)</f>
        <v>144</v>
      </c>
    </row>
    <row r="140" spans="1:3" ht="15">
      <c r="A140" s="76" t="s">
        <v>3182</v>
      </c>
      <c r="B140" s="80" t="s">
        <v>327</v>
      </c>
      <c r="C140" s="75">
        <f>VLOOKUP(GroupVertices[[#This Row],[Vertex]],Vertices[],MATCH("ID",Vertices[[#Headers],[Vertex]:[Top Word Pairs in Tweet by Salience]],0),FALSE)</f>
        <v>135</v>
      </c>
    </row>
    <row r="141" spans="1:3" ht="15">
      <c r="A141" s="76" t="s">
        <v>3182</v>
      </c>
      <c r="B141" s="80" t="s">
        <v>325</v>
      </c>
      <c r="C141" s="75">
        <f>VLOOKUP(GroupVertices[[#This Row],[Vertex]],Vertices[],MATCH("ID",Vertices[[#Headers],[Vertex]:[Top Word Pairs in Tweet by Salience]],0),FALSE)</f>
        <v>129</v>
      </c>
    </row>
    <row r="142" spans="1:3" ht="15">
      <c r="A142" s="76" t="s">
        <v>3183</v>
      </c>
      <c r="B142" s="80" t="s">
        <v>263</v>
      </c>
      <c r="C142" s="75">
        <f>VLOOKUP(GroupVertices[[#This Row],[Vertex]],Vertices[],MATCH("ID",Vertices[[#Headers],[Vertex]:[Top Word Pairs in Tweet by Salience]],0),FALSE)</f>
        <v>31</v>
      </c>
    </row>
    <row r="143" spans="1:3" ht="15">
      <c r="A143" s="76" t="s">
        <v>3183</v>
      </c>
      <c r="B143" s="80" t="s">
        <v>456</v>
      </c>
      <c r="C143" s="75">
        <f>VLOOKUP(GroupVertices[[#This Row],[Vertex]],Vertices[],MATCH("ID",Vertices[[#Headers],[Vertex]:[Top Word Pairs in Tweet by Salience]],0),FALSE)</f>
        <v>40</v>
      </c>
    </row>
    <row r="144" spans="1:3" ht="15">
      <c r="A144" s="76" t="s">
        <v>3183</v>
      </c>
      <c r="B144" s="80" t="s">
        <v>455</v>
      </c>
      <c r="C144" s="75">
        <f>VLOOKUP(GroupVertices[[#This Row],[Vertex]],Vertices[],MATCH("ID",Vertices[[#Headers],[Vertex]:[Top Word Pairs in Tweet by Salience]],0),FALSE)</f>
        <v>39</v>
      </c>
    </row>
    <row r="145" spans="1:3" ht="15">
      <c r="A145" s="76" t="s">
        <v>3183</v>
      </c>
      <c r="B145" s="80" t="s">
        <v>454</v>
      </c>
      <c r="C145" s="75">
        <f>VLOOKUP(GroupVertices[[#This Row],[Vertex]],Vertices[],MATCH("ID",Vertices[[#Headers],[Vertex]:[Top Word Pairs in Tweet by Salience]],0),FALSE)</f>
        <v>38</v>
      </c>
    </row>
    <row r="146" spans="1:3" ht="15">
      <c r="A146" s="76" t="s">
        <v>3183</v>
      </c>
      <c r="B146" s="80" t="s">
        <v>453</v>
      </c>
      <c r="C146" s="75">
        <f>VLOOKUP(GroupVertices[[#This Row],[Vertex]],Vertices[],MATCH("ID",Vertices[[#Headers],[Vertex]:[Top Word Pairs in Tweet by Salience]],0),FALSE)</f>
        <v>37</v>
      </c>
    </row>
    <row r="147" spans="1:3" ht="15">
      <c r="A147" s="76" t="s">
        <v>3183</v>
      </c>
      <c r="B147" s="80" t="s">
        <v>452</v>
      </c>
      <c r="C147" s="75">
        <f>VLOOKUP(GroupVertices[[#This Row],[Vertex]],Vertices[],MATCH("ID",Vertices[[#Headers],[Vertex]:[Top Word Pairs in Tweet by Salience]],0),FALSE)</f>
        <v>36</v>
      </c>
    </row>
    <row r="148" spans="1:3" ht="15">
      <c r="A148" s="76" t="s">
        <v>3183</v>
      </c>
      <c r="B148" s="80" t="s">
        <v>451</v>
      </c>
      <c r="C148" s="75">
        <f>VLOOKUP(GroupVertices[[#This Row],[Vertex]],Vertices[],MATCH("ID",Vertices[[#Headers],[Vertex]:[Top Word Pairs in Tweet by Salience]],0),FALSE)</f>
        <v>35</v>
      </c>
    </row>
    <row r="149" spans="1:3" ht="15">
      <c r="A149" s="76" t="s">
        <v>3183</v>
      </c>
      <c r="B149" s="80" t="s">
        <v>450</v>
      </c>
      <c r="C149" s="75">
        <f>VLOOKUP(GroupVertices[[#This Row],[Vertex]],Vertices[],MATCH("ID",Vertices[[#Headers],[Vertex]:[Top Word Pairs in Tweet by Salience]],0),FALSE)</f>
        <v>34</v>
      </c>
    </row>
    <row r="150" spans="1:3" ht="15">
      <c r="A150" s="76" t="s">
        <v>3183</v>
      </c>
      <c r="B150" s="80" t="s">
        <v>449</v>
      </c>
      <c r="C150" s="75">
        <f>VLOOKUP(GroupVertices[[#This Row],[Vertex]],Vertices[],MATCH("ID",Vertices[[#Headers],[Vertex]:[Top Word Pairs in Tweet by Salience]],0),FALSE)</f>
        <v>33</v>
      </c>
    </row>
    <row r="151" spans="1:3" ht="15">
      <c r="A151" s="76" t="s">
        <v>3183</v>
      </c>
      <c r="B151" s="80" t="s">
        <v>448</v>
      </c>
      <c r="C151" s="75">
        <f>VLOOKUP(GroupVertices[[#This Row],[Vertex]],Vertices[],MATCH("ID",Vertices[[#Headers],[Vertex]:[Top Word Pairs in Tweet by Salience]],0),FALSE)</f>
        <v>32</v>
      </c>
    </row>
    <row r="152" spans="1:3" ht="15">
      <c r="A152" s="76" t="s">
        <v>3184</v>
      </c>
      <c r="B152" s="80" t="s">
        <v>494</v>
      </c>
      <c r="C152" s="75">
        <f>VLOOKUP(GroupVertices[[#This Row],[Vertex]],Vertices[],MATCH("ID",Vertices[[#Headers],[Vertex]:[Top Word Pairs in Tweet by Salience]],0),FALSE)</f>
        <v>143</v>
      </c>
    </row>
    <row r="153" spans="1:3" ht="15">
      <c r="A153" s="76" t="s">
        <v>3184</v>
      </c>
      <c r="B153" s="80" t="s">
        <v>328</v>
      </c>
      <c r="C153" s="75">
        <f>VLOOKUP(GroupVertices[[#This Row],[Vertex]],Vertices[],MATCH("ID",Vertices[[#Headers],[Vertex]:[Top Word Pairs in Tweet by Salience]],0),FALSE)</f>
        <v>136</v>
      </c>
    </row>
    <row r="154" spans="1:3" ht="15">
      <c r="A154" s="76" t="s">
        <v>3184</v>
      </c>
      <c r="B154" s="80" t="s">
        <v>493</v>
      </c>
      <c r="C154" s="75">
        <f>VLOOKUP(GroupVertices[[#This Row],[Vertex]],Vertices[],MATCH("ID",Vertices[[#Headers],[Vertex]:[Top Word Pairs in Tweet by Salience]],0),FALSE)</f>
        <v>142</v>
      </c>
    </row>
    <row r="155" spans="1:3" ht="15">
      <c r="A155" s="76" t="s">
        <v>3184</v>
      </c>
      <c r="B155" s="80" t="s">
        <v>492</v>
      </c>
      <c r="C155" s="75">
        <f>VLOOKUP(GroupVertices[[#This Row],[Vertex]],Vertices[],MATCH("ID",Vertices[[#Headers],[Vertex]:[Top Word Pairs in Tweet by Salience]],0),FALSE)</f>
        <v>141</v>
      </c>
    </row>
    <row r="156" spans="1:3" ht="15">
      <c r="A156" s="76" t="s">
        <v>3184</v>
      </c>
      <c r="B156" s="80" t="s">
        <v>491</v>
      </c>
      <c r="C156" s="75">
        <f>VLOOKUP(GroupVertices[[#This Row],[Vertex]],Vertices[],MATCH("ID",Vertices[[#Headers],[Vertex]:[Top Word Pairs in Tweet by Salience]],0),FALSE)</f>
        <v>140</v>
      </c>
    </row>
    <row r="157" spans="1:3" ht="15">
      <c r="A157" s="76" t="s">
        <v>3184</v>
      </c>
      <c r="B157" s="80" t="s">
        <v>490</v>
      </c>
      <c r="C157" s="75">
        <f>VLOOKUP(GroupVertices[[#This Row],[Vertex]],Vertices[],MATCH("ID",Vertices[[#Headers],[Vertex]:[Top Word Pairs in Tweet by Salience]],0),FALSE)</f>
        <v>139</v>
      </c>
    </row>
    <row r="158" spans="1:3" ht="15">
      <c r="A158" s="76" t="s">
        <v>3184</v>
      </c>
      <c r="B158" s="80" t="s">
        <v>489</v>
      </c>
      <c r="C158" s="75">
        <f>VLOOKUP(GroupVertices[[#This Row],[Vertex]],Vertices[],MATCH("ID",Vertices[[#Headers],[Vertex]:[Top Word Pairs in Tweet by Salience]],0),FALSE)</f>
        <v>138</v>
      </c>
    </row>
    <row r="159" spans="1:3" ht="15">
      <c r="A159" s="76" t="s">
        <v>3184</v>
      </c>
      <c r="B159" s="80" t="s">
        <v>488</v>
      </c>
      <c r="C159" s="75">
        <f>VLOOKUP(GroupVertices[[#This Row],[Vertex]],Vertices[],MATCH("ID",Vertices[[#Headers],[Vertex]:[Top Word Pairs in Tweet by Salience]],0),FALSE)</f>
        <v>137</v>
      </c>
    </row>
    <row r="160" spans="1:3" ht="15">
      <c r="A160" s="76" t="s">
        <v>3185</v>
      </c>
      <c r="B160" s="80" t="s">
        <v>319</v>
      </c>
      <c r="C160" s="75">
        <f>VLOOKUP(GroupVertices[[#This Row],[Vertex]],Vertices[],MATCH("ID",Vertices[[#Headers],[Vertex]:[Top Word Pairs in Tweet by Salience]],0),FALSE)</f>
        <v>117</v>
      </c>
    </row>
    <row r="161" spans="1:3" ht="15">
      <c r="A161" s="76" t="s">
        <v>3185</v>
      </c>
      <c r="B161" s="80" t="s">
        <v>318</v>
      </c>
      <c r="C161" s="75">
        <f>VLOOKUP(GroupVertices[[#This Row],[Vertex]],Vertices[],MATCH("ID",Vertices[[#Headers],[Vertex]:[Top Word Pairs in Tweet by Salience]],0),FALSE)</f>
        <v>7</v>
      </c>
    </row>
    <row r="162" spans="1:3" ht="15">
      <c r="A162" s="76" t="s">
        <v>3185</v>
      </c>
      <c r="B162" s="80" t="s">
        <v>431</v>
      </c>
      <c r="C162" s="75">
        <f>VLOOKUP(GroupVertices[[#This Row],[Vertex]],Vertices[],MATCH("ID",Vertices[[#Headers],[Vertex]:[Top Word Pairs in Tweet by Salience]],0),FALSE)</f>
        <v>6</v>
      </c>
    </row>
    <row r="163" spans="1:3" ht="15">
      <c r="A163" s="76" t="s">
        <v>3185</v>
      </c>
      <c r="B163" s="80" t="s">
        <v>430</v>
      </c>
      <c r="C163" s="75">
        <f>VLOOKUP(GroupVertices[[#This Row],[Vertex]],Vertices[],MATCH("ID",Vertices[[#Headers],[Vertex]:[Top Word Pairs in Tweet by Salience]],0),FALSE)</f>
        <v>5</v>
      </c>
    </row>
    <row r="164" spans="1:3" ht="15">
      <c r="A164" s="76" t="s">
        <v>3185</v>
      </c>
      <c r="B164" s="80" t="s">
        <v>460</v>
      </c>
      <c r="C164" s="75">
        <f>VLOOKUP(GroupVertices[[#This Row],[Vertex]],Vertices[],MATCH("ID",Vertices[[#Headers],[Vertex]:[Top Word Pairs in Tweet by Salience]],0),FALSE)</f>
        <v>4</v>
      </c>
    </row>
    <row r="165" spans="1:3" ht="15">
      <c r="A165" s="76" t="s">
        <v>3185</v>
      </c>
      <c r="B165" s="80" t="s">
        <v>282</v>
      </c>
      <c r="C165" s="75">
        <f>VLOOKUP(GroupVertices[[#This Row],[Vertex]],Vertices[],MATCH("ID",Vertices[[#Headers],[Vertex]:[Top Word Pairs in Tweet by Salience]],0),FALSE)</f>
        <v>66</v>
      </c>
    </row>
    <row r="166" spans="1:3" ht="15">
      <c r="A166" s="76" t="s">
        <v>3185</v>
      </c>
      <c r="B166" s="80" t="s">
        <v>269</v>
      </c>
      <c r="C166" s="75">
        <f>VLOOKUP(GroupVertices[[#This Row],[Vertex]],Vertices[],MATCH("ID",Vertices[[#Headers],[Vertex]:[Top Word Pairs in Tweet by Salience]],0),FALSE)</f>
        <v>50</v>
      </c>
    </row>
    <row r="167" spans="1:3" ht="15">
      <c r="A167" s="76" t="s">
        <v>3185</v>
      </c>
      <c r="B167" s="80" t="s">
        <v>257</v>
      </c>
      <c r="C167" s="75">
        <f>VLOOKUP(GroupVertices[[#This Row],[Vertex]],Vertices[],MATCH("ID",Vertices[[#Headers],[Vertex]:[Top Word Pairs in Tweet by Salience]],0),FALSE)</f>
        <v>3</v>
      </c>
    </row>
    <row r="168" spans="1:3" ht="15">
      <c r="A168" s="76" t="s">
        <v>3186</v>
      </c>
      <c r="B168" s="80" t="s">
        <v>313</v>
      </c>
      <c r="C168" s="75">
        <f>VLOOKUP(GroupVertices[[#This Row],[Vertex]],Vertices[],MATCH("ID",Vertices[[#Headers],[Vertex]:[Top Word Pairs in Tweet by Salience]],0),FALSE)</f>
        <v>105</v>
      </c>
    </row>
    <row r="169" spans="1:3" ht="15">
      <c r="A169" s="76" t="s">
        <v>3186</v>
      </c>
      <c r="B169" s="80" t="s">
        <v>475</v>
      </c>
      <c r="C169" s="75">
        <f>VLOOKUP(GroupVertices[[#This Row],[Vertex]],Vertices[],MATCH("ID",Vertices[[#Headers],[Vertex]:[Top Word Pairs in Tweet by Salience]],0),FALSE)</f>
        <v>108</v>
      </c>
    </row>
    <row r="170" spans="1:3" ht="15">
      <c r="A170" s="76" t="s">
        <v>3186</v>
      </c>
      <c r="B170" s="80" t="s">
        <v>474</v>
      </c>
      <c r="C170" s="75">
        <f>VLOOKUP(GroupVertices[[#This Row],[Vertex]],Vertices[],MATCH("ID",Vertices[[#Headers],[Vertex]:[Top Word Pairs in Tweet by Salience]],0),FALSE)</f>
        <v>107</v>
      </c>
    </row>
    <row r="171" spans="1:3" ht="15">
      <c r="A171" s="76" t="s">
        <v>3186</v>
      </c>
      <c r="B171" s="80" t="s">
        <v>473</v>
      </c>
      <c r="C171" s="75">
        <f>VLOOKUP(GroupVertices[[#This Row],[Vertex]],Vertices[],MATCH("ID",Vertices[[#Headers],[Vertex]:[Top Word Pairs in Tweet by Salience]],0),FALSE)</f>
        <v>106</v>
      </c>
    </row>
    <row r="172" spans="1:3" ht="15">
      <c r="A172" s="76" t="s">
        <v>3186</v>
      </c>
      <c r="B172" s="80" t="s">
        <v>301</v>
      </c>
      <c r="C172" s="75">
        <f>VLOOKUP(GroupVertices[[#This Row],[Vertex]],Vertices[],MATCH("ID",Vertices[[#Headers],[Vertex]:[Top Word Pairs in Tweet by Salience]],0),FALSE)</f>
        <v>87</v>
      </c>
    </row>
    <row r="173" spans="1:3" ht="15">
      <c r="A173" s="76" t="s">
        <v>3186</v>
      </c>
      <c r="B173" s="80" t="s">
        <v>302</v>
      </c>
      <c r="C173" s="75">
        <f>VLOOKUP(GroupVertices[[#This Row],[Vertex]],Vertices[],MATCH("ID",Vertices[[#Headers],[Vertex]:[Top Word Pairs in Tweet by Salience]],0),FALSE)</f>
        <v>88</v>
      </c>
    </row>
    <row r="174" spans="1:3" ht="15">
      <c r="A174" s="76" t="s">
        <v>3186</v>
      </c>
      <c r="B174" s="80" t="s">
        <v>300</v>
      </c>
      <c r="C174" s="75">
        <f>VLOOKUP(GroupVertices[[#This Row],[Vertex]],Vertices[],MATCH("ID",Vertices[[#Headers],[Vertex]:[Top Word Pairs in Tweet by Salience]],0),FALSE)</f>
        <v>86</v>
      </c>
    </row>
    <row r="175" spans="1:3" ht="15">
      <c r="A175" s="76" t="s">
        <v>3186</v>
      </c>
      <c r="B175" s="80" t="s">
        <v>299</v>
      </c>
      <c r="C175" s="75">
        <f>VLOOKUP(GroupVertices[[#This Row],[Vertex]],Vertices[],MATCH("ID",Vertices[[#Headers],[Vertex]:[Top Word Pairs in Tweet by Salience]],0),FALSE)</f>
        <v>85</v>
      </c>
    </row>
    <row r="176" spans="1:3" ht="15">
      <c r="A176" s="76" t="s">
        <v>3187</v>
      </c>
      <c r="B176" s="80" t="s">
        <v>357</v>
      </c>
      <c r="C176" s="75">
        <f>VLOOKUP(GroupVertices[[#This Row],[Vertex]],Vertices[],MATCH("ID",Vertices[[#Headers],[Vertex]:[Top Word Pairs in Tweet by Salience]],0),FALSE)</f>
        <v>181</v>
      </c>
    </row>
    <row r="177" spans="1:3" ht="15">
      <c r="A177" s="76" t="s">
        <v>3187</v>
      </c>
      <c r="B177" s="80" t="s">
        <v>510</v>
      </c>
      <c r="C177" s="75">
        <f>VLOOKUP(GroupVertices[[#This Row],[Vertex]],Vertices[],MATCH("ID",Vertices[[#Headers],[Vertex]:[Top Word Pairs in Tweet by Salience]],0),FALSE)</f>
        <v>187</v>
      </c>
    </row>
    <row r="178" spans="1:3" ht="15">
      <c r="A178" s="76" t="s">
        <v>3187</v>
      </c>
      <c r="B178" s="80" t="s">
        <v>509</v>
      </c>
      <c r="C178" s="75">
        <f>VLOOKUP(GroupVertices[[#This Row],[Vertex]],Vertices[],MATCH("ID",Vertices[[#Headers],[Vertex]:[Top Word Pairs in Tweet by Salience]],0),FALSE)</f>
        <v>186</v>
      </c>
    </row>
    <row r="179" spans="1:3" ht="15">
      <c r="A179" s="76" t="s">
        <v>3187</v>
      </c>
      <c r="B179" s="80" t="s">
        <v>508</v>
      </c>
      <c r="C179" s="75">
        <f>VLOOKUP(GroupVertices[[#This Row],[Vertex]],Vertices[],MATCH("ID",Vertices[[#Headers],[Vertex]:[Top Word Pairs in Tweet by Salience]],0),FALSE)</f>
        <v>185</v>
      </c>
    </row>
    <row r="180" spans="1:3" ht="15">
      <c r="A180" s="76" t="s">
        <v>3187</v>
      </c>
      <c r="B180" s="80" t="s">
        <v>507</v>
      </c>
      <c r="C180" s="75">
        <f>VLOOKUP(GroupVertices[[#This Row],[Vertex]],Vertices[],MATCH("ID",Vertices[[#Headers],[Vertex]:[Top Word Pairs in Tweet by Salience]],0),FALSE)</f>
        <v>184</v>
      </c>
    </row>
    <row r="181" spans="1:3" ht="15">
      <c r="A181" s="76" t="s">
        <v>3187</v>
      </c>
      <c r="B181" s="80" t="s">
        <v>506</v>
      </c>
      <c r="C181" s="75">
        <f>VLOOKUP(GroupVertices[[#This Row],[Vertex]],Vertices[],MATCH("ID",Vertices[[#Headers],[Vertex]:[Top Word Pairs in Tweet by Salience]],0),FALSE)</f>
        <v>183</v>
      </c>
    </row>
    <row r="182" spans="1:3" ht="15">
      <c r="A182" s="76" t="s">
        <v>3187</v>
      </c>
      <c r="B182" s="80" t="s">
        <v>505</v>
      </c>
      <c r="C182" s="75">
        <f>VLOOKUP(GroupVertices[[#This Row],[Vertex]],Vertices[],MATCH("ID",Vertices[[#Headers],[Vertex]:[Top Word Pairs in Tweet by Salience]],0),FALSE)</f>
        <v>182</v>
      </c>
    </row>
    <row r="183" spans="1:3" ht="15">
      <c r="A183" s="76" t="s">
        <v>3188</v>
      </c>
      <c r="B183" s="80" t="s">
        <v>380</v>
      </c>
      <c r="C183" s="75">
        <f>VLOOKUP(GroupVertices[[#This Row],[Vertex]],Vertices[],MATCH("ID",Vertices[[#Headers],[Vertex]:[Top Word Pairs in Tweet by Salience]],0),FALSE)</f>
        <v>225</v>
      </c>
    </row>
    <row r="184" spans="1:3" ht="15">
      <c r="A184" s="76" t="s">
        <v>3188</v>
      </c>
      <c r="B184" s="80" t="s">
        <v>378</v>
      </c>
      <c r="C184" s="75">
        <f>VLOOKUP(GroupVertices[[#This Row],[Vertex]],Vertices[],MATCH("ID",Vertices[[#Headers],[Vertex]:[Top Word Pairs in Tweet by Salience]],0),FALSE)</f>
        <v>224</v>
      </c>
    </row>
    <row r="185" spans="1:3" ht="15">
      <c r="A185" s="76" t="s">
        <v>3188</v>
      </c>
      <c r="B185" s="80" t="s">
        <v>379</v>
      </c>
      <c r="C185" s="75">
        <f>VLOOKUP(GroupVertices[[#This Row],[Vertex]],Vertices[],MATCH("ID",Vertices[[#Headers],[Vertex]:[Top Word Pairs in Tweet by Salience]],0),FALSE)</f>
        <v>112</v>
      </c>
    </row>
    <row r="186" spans="1:3" ht="15">
      <c r="A186" s="76" t="s">
        <v>3188</v>
      </c>
      <c r="B186" s="80" t="s">
        <v>526</v>
      </c>
      <c r="C186" s="75">
        <f>VLOOKUP(GroupVertices[[#This Row],[Vertex]],Vertices[],MATCH("ID",Vertices[[#Headers],[Vertex]:[Top Word Pairs in Tweet by Salience]],0),FALSE)</f>
        <v>223</v>
      </c>
    </row>
    <row r="187" spans="1:3" ht="15">
      <c r="A187" s="76" t="s">
        <v>3188</v>
      </c>
      <c r="B187" s="80" t="s">
        <v>377</v>
      </c>
      <c r="C187" s="75">
        <f>VLOOKUP(GroupVertices[[#This Row],[Vertex]],Vertices[],MATCH("ID",Vertices[[#Headers],[Vertex]:[Top Word Pairs in Tweet by Salience]],0),FALSE)</f>
        <v>222</v>
      </c>
    </row>
    <row r="188" spans="1:3" ht="15">
      <c r="A188" s="76" t="s">
        <v>3188</v>
      </c>
      <c r="B188" s="80" t="s">
        <v>316</v>
      </c>
      <c r="C188" s="75">
        <f>VLOOKUP(GroupVertices[[#This Row],[Vertex]],Vertices[],MATCH("ID",Vertices[[#Headers],[Vertex]:[Top Word Pairs in Tweet by Salience]],0),FALSE)</f>
        <v>111</v>
      </c>
    </row>
    <row r="189" spans="1:3" ht="15">
      <c r="A189" s="76" t="s">
        <v>3189</v>
      </c>
      <c r="B189" s="80" t="s">
        <v>308</v>
      </c>
      <c r="C189" s="75">
        <f>VLOOKUP(GroupVertices[[#This Row],[Vertex]],Vertices[],MATCH("ID",Vertices[[#Headers],[Vertex]:[Top Word Pairs in Tweet by Salience]],0),FALSE)</f>
        <v>95</v>
      </c>
    </row>
    <row r="190" spans="1:3" ht="15">
      <c r="A190" s="76" t="s">
        <v>3189</v>
      </c>
      <c r="B190" s="80" t="s">
        <v>472</v>
      </c>
      <c r="C190" s="75">
        <f>VLOOKUP(GroupVertices[[#This Row],[Vertex]],Vertices[],MATCH("ID",Vertices[[#Headers],[Vertex]:[Top Word Pairs in Tweet by Salience]],0),FALSE)</f>
        <v>100</v>
      </c>
    </row>
    <row r="191" spans="1:3" ht="15">
      <c r="A191" s="76" t="s">
        <v>3189</v>
      </c>
      <c r="B191" s="80" t="s">
        <v>471</v>
      </c>
      <c r="C191" s="75">
        <f>VLOOKUP(GroupVertices[[#This Row],[Vertex]],Vertices[],MATCH("ID",Vertices[[#Headers],[Vertex]:[Top Word Pairs in Tweet by Salience]],0),FALSE)</f>
        <v>99</v>
      </c>
    </row>
    <row r="192" spans="1:3" ht="15">
      <c r="A192" s="76" t="s">
        <v>3189</v>
      </c>
      <c r="B192" s="80" t="s">
        <v>470</v>
      </c>
      <c r="C192" s="75">
        <f>VLOOKUP(GroupVertices[[#This Row],[Vertex]],Vertices[],MATCH("ID",Vertices[[#Headers],[Vertex]:[Top Word Pairs in Tweet by Salience]],0),FALSE)</f>
        <v>98</v>
      </c>
    </row>
    <row r="193" spans="1:3" ht="15">
      <c r="A193" s="76" t="s">
        <v>3189</v>
      </c>
      <c r="B193" s="80" t="s">
        <v>469</v>
      </c>
      <c r="C193" s="75">
        <f>VLOOKUP(GroupVertices[[#This Row],[Vertex]],Vertices[],MATCH("ID",Vertices[[#Headers],[Vertex]:[Top Word Pairs in Tweet by Salience]],0),FALSE)</f>
        <v>97</v>
      </c>
    </row>
    <row r="194" spans="1:3" ht="15">
      <c r="A194" s="76" t="s">
        <v>3189</v>
      </c>
      <c r="B194" s="80" t="s">
        <v>468</v>
      </c>
      <c r="C194" s="75">
        <f>VLOOKUP(GroupVertices[[#This Row],[Vertex]],Vertices[],MATCH("ID",Vertices[[#Headers],[Vertex]:[Top Word Pairs in Tweet by Salience]],0),FALSE)</f>
        <v>96</v>
      </c>
    </row>
    <row r="195" spans="1:3" ht="15">
      <c r="A195" s="76" t="s">
        <v>3190</v>
      </c>
      <c r="B195" s="80" t="s">
        <v>422</v>
      </c>
      <c r="C195" s="75">
        <f>VLOOKUP(GroupVertices[[#This Row],[Vertex]],Vertices[],MATCH("ID",Vertices[[#Headers],[Vertex]:[Top Word Pairs in Tweet by Salience]],0),FALSE)</f>
        <v>308</v>
      </c>
    </row>
    <row r="196" spans="1:3" ht="15">
      <c r="A196" s="76" t="s">
        <v>3190</v>
      </c>
      <c r="B196" s="80" t="s">
        <v>567</v>
      </c>
      <c r="C196" s="75">
        <f>VLOOKUP(GroupVertices[[#This Row],[Vertex]],Vertices[],MATCH("ID",Vertices[[#Headers],[Vertex]:[Top Word Pairs in Tweet by Salience]],0),FALSE)</f>
        <v>307</v>
      </c>
    </row>
    <row r="197" spans="1:3" ht="15">
      <c r="A197" s="76" t="s">
        <v>3190</v>
      </c>
      <c r="B197" s="80" t="s">
        <v>413</v>
      </c>
      <c r="C197" s="75">
        <f>VLOOKUP(GroupVertices[[#This Row],[Vertex]],Vertices[],MATCH("ID",Vertices[[#Headers],[Vertex]:[Top Word Pairs in Tweet by Salience]],0),FALSE)</f>
        <v>279</v>
      </c>
    </row>
    <row r="198" spans="1:3" ht="15">
      <c r="A198" s="76" t="s">
        <v>3190</v>
      </c>
      <c r="B198" s="80" t="s">
        <v>547</v>
      </c>
      <c r="C198" s="75">
        <f>VLOOKUP(GroupVertices[[#This Row],[Vertex]],Vertices[],MATCH("ID",Vertices[[#Headers],[Vertex]:[Top Word Pairs in Tweet by Salience]],0),FALSE)</f>
        <v>281</v>
      </c>
    </row>
    <row r="199" spans="1:3" ht="15">
      <c r="A199" s="76" t="s">
        <v>3190</v>
      </c>
      <c r="B199" s="80" t="s">
        <v>546</v>
      </c>
      <c r="C199" s="75">
        <f>VLOOKUP(GroupVertices[[#This Row],[Vertex]],Vertices[],MATCH("ID",Vertices[[#Headers],[Vertex]:[Top Word Pairs in Tweet by Salience]],0),FALSE)</f>
        <v>280</v>
      </c>
    </row>
    <row r="200" spans="1:3" ht="15">
      <c r="A200" s="76" t="s">
        <v>3191</v>
      </c>
      <c r="B200" s="80" t="s">
        <v>458</v>
      </c>
      <c r="C200" s="75">
        <f>VLOOKUP(GroupVertices[[#This Row],[Vertex]],Vertices[],MATCH("ID",Vertices[[#Headers],[Vertex]:[Top Word Pairs in Tweet by Salience]],0),FALSE)</f>
        <v>45</v>
      </c>
    </row>
    <row r="201" spans="1:3" ht="15">
      <c r="A201" s="76" t="s">
        <v>3191</v>
      </c>
      <c r="B201" s="80" t="s">
        <v>266</v>
      </c>
      <c r="C201" s="75">
        <f>VLOOKUP(GroupVertices[[#This Row],[Vertex]],Vertices[],MATCH("ID",Vertices[[#Headers],[Vertex]:[Top Word Pairs in Tweet by Salience]],0),FALSE)</f>
        <v>44</v>
      </c>
    </row>
    <row r="202" spans="1:3" ht="15">
      <c r="A202" s="76" t="s">
        <v>3191</v>
      </c>
      <c r="B202" s="80" t="s">
        <v>459</v>
      </c>
      <c r="C202" s="75">
        <f>VLOOKUP(GroupVertices[[#This Row],[Vertex]],Vertices[],MATCH("ID",Vertices[[#Headers],[Vertex]:[Top Word Pairs in Tweet by Salience]],0),FALSE)</f>
        <v>46</v>
      </c>
    </row>
    <row r="203" spans="1:3" ht="15">
      <c r="A203" s="76" t="s">
        <v>3191</v>
      </c>
      <c r="B203" s="80" t="s">
        <v>265</v>
      </c>
      <c r="C203" s="75">
        <f>VLOOKUP(GroupVertices[[#This Row],[Vertex]],Vertices[],MATCH("ID",Vertices[[#Headers],[Vertex]:[Top Word Pairs in Tweet by Salience]],0),FALSE)</f>
        <v>42</v>
      </c>
    </row>
    <row r="204" spans="1:3" ht="15">
      <c r="A204" s="76" t="s">
        <v>3191</v>
      </c>
      <c r="B204" s="80" t="s">
        <v>457</v>
      </c>
      <c r="C204" s="75">
        <f>VLOOKUP(GroupVertices[[#This Row],[Vertex]],Vertices[],MATCH("ID",Vertices[[#Headers],[Vertex]:[Top Word Pairs in Tweet by Salience]],0),FALSE)</f>
        <v>43</v>
      </c>
    </row>
    <row r="205" spans="1:3" ht="15">
      <c r="A205" s="76" t="s">
        <v>3192</v>
      </c>
      <c r="B205" s="80" t="s">
        <v>365</v>
      </c>
      <c r="C205" s="75">
        <f>VLOOKUP(GroupVertices[[#This Row],[Vertex]],Vertices[],MATCH("ID",Vertices[[#Headers],[Vertex]:[Top Word Pairs in Tweet by Salience]],0),FALSE)</f>
        <v>197</v>
      </c>
    </row>
    <row r="206" spans="1:3" ht="15">
      <c r="A206" s="76" t="s">
        <v>3192</v>
      </c>
      <c r="B206" s="80" t="s">
        <v>364</v>
      </c>
      <c r="C206" s="75">
        <f>VLOOKUP(GroupVertices[[#This Row],[Vertex]],Vertices[],MATCH("ID",Vertices[[#Headers],[Vertex]:[Top Word Pairs in Tweet by Salience]],0),FALSE)</f>
        <v>189</v>
      </c>
    </row>
    <row r="207" spans="1:3" ht="15">
      <c r="A207" s="76" t="s">
        <v>3192</v>
      </c>
      <c r="B207" s="80" t="s">
        <v>363</v>
      </c>
      <c r="C207" s="75">
        <f>VLOOKUP(GroupVertices[[#This Row],[Vertex]],Vertices[],MATCH("ID",Vertices[[#Headers],[Vertex]:[Top Word Pairs in Tweet by Salience]],0),FALSE)</f>
        <v>196</v>
      </c>
    </row>
    <row r="208" spans="1:3" ht="15">
      <c r="A208" s="76" t="s">
        <v>3192</v>
      </c>
      <c r="B208" s="80" t="s">
        <v>359</v>
      </c>
      <c r="C208" s="75">
        <f>VLOOKUP(GroupVertices[[#This Row],[Vertex]],Vertices[],MATCH("ID",Vertices[[#Headers],[Vertex]:[Top Word Pairs in Tweet by Salience]],0),FALSE)</f>
        <v>190</v>
      </c>
    </row>
    <row r="209" spans="1:3" ht="15">
      <c r="A209" s="76" t="s">
        <v>3192</v>
      </c>
      <c r="B209" s="80" t="s">
        <v>358</v>
      </c>
      <c r="C209" s="75">
        <f>VLOOKUP(GroupVertices[[#This Row],[Vertex]],Vertices[],MATCH("ID",Vertices[[#Headers],[Vertex]:[Top Word Pairs in Tweet by Salience]],0),FALSE)</f>
        <v>188</v>
      </c>
    </row>
    <row r="210" spans="1:3" ht="15">
      <c r="A210" s="76" t="s">
        <v>3193</v>
      </c>
      <c r="B210" s="80" t="s">
        <v>322</v>
      </c>
      <c r="C210" s="75">
        <f>VLOOKUP(GroupVertices[[#This Row],[Vertex]],Vertices[],MATCH("ID",Vertices[[#Headers],[Vertex]:[Top Word Pairs in Tweet by Salience]],0),FALSE)</f>
        <v>120</v>
      </c>
    </row>
    <row r="211" spans="1:3" ht="15">
      <c r="A211" s="76" t="s">
        <v>3193</v>
      </c>
      <c r="B211" s="80" t="s">
        <v>482</v>
      </c>
      <c r="C211" s="75">
        <f>VLOOKUP(GroupVertices[[#This Row],[Vertex]],Vertices[],MATCH("ID",Vertices[[#Headers],[Vertex]:[Top Word Pairs in Tweet by Salience]],0),FALSE)</f>
        <v>124</v>
      </c>
    </row>
    <row r="212" spans="1:3" ht="15">
      <c r="A212" s="76" t="s">
        <v>3193</v>
      </c>
      <c r="B212" s="80" t="s">
        <v>481</v>
      </c>
      <c r="C212" s="75">
        <f>VLOOKUP(GroupVertices[[#This Row],[Vertex]],Vertices[],MATCH("ID",Vertices[[#Headers],[Vertex]:[Top Word Pairs in Tweet by Salience]],0),FALSE)</f>
        <v>123</v>
      </c>
    </row>
    <row r="213" spans="1:3" ht="15">
      <c r="A213" s="76" t="s">
        <v>3193</v>
      </c>
      <c r="B213" s="80" t="s">
        <v>480</v>
      </c>
      <c r="C213" s="75">
        <f>VLOOKUP(GroupVertices[[#This Row],[Vertex]],Vertices[],MATCH("ID",Vertices[[#Headers],[Vertex]:[Top Word Pairs in Tweet by Salience]],0),FALSE)</f>
        <v>122</v>
      </c>
    </row>
    <row r="214" spans="1:3" ht="15">
      <c r="A214" s="76" t="s">
        <v>3193</v>
      </c>
      <c r="B214" s="80" t="s">
        <v>479</v>
      </c>
      <c r="C214" s="75">
        <f>VLOOKUP(GroupVertices[[#This Row],[Vertex]],Vertices[],MATCH("ID",Vertices[[#Headers],[Vertex]:[Top Word Pairs in Tweet by Salience]],0),FALSE)</f>
        <v>121</v>
      </c>
    </row>
    <row r="215" spans="1:3" ht="15">
      <c r="A215" s="76" t="s">
        <v>3194</v>
      </c>
      <c r="B215" s="80" t="s">
        <v>281</v>
      </c>
      <c r="C215" s="75">
        <f>VLOOKUP(GroupVertices[[#This Row],[Vertex]],Vertices[],MATCH("ID",Vertices[[#Headers],[Vertex]:[Top Word Pairs in Tweet by Salience]],0),FALSE)</f>
        <v>65</v>
      </c>
    </row>
    <row r="216" spans="1:3" ht="15">
      <c r="A216" s="76" t="s">
        <v>3194</v>
      </c>
      <c r="B216" s="80" t="s">
        <v>280</v>
      </c>
      <c r="C216" s="75">
        <f>VLOOKUP(GroupVertices[[#This Row],[Vertex]],Vertices[],MATCH("ID",Vertices[[#Headers],[Vertex]:[Top Word Pairs in Tweet by Salience]],0),FALSE)</f>
        <v>48</v>
      </c>
    </row>
    <row r="217" spans="1:3" ht="15">
      <c r="A217" s="76" t="s">
        <v>3194</v>
      </c>
      <c r="B217" s="80" t="s">
        <v>275</v>
      </c>
      <c r="C217" s="75">
        <f>VLOOKUP(GroupVertices[[#This Row],[Vertex]],Vertices[],MATCH("ID",Vertices[[#Headers],[Vertex]:[Top Word Pairs in Tweet by Salience]],0),FALSE)</f>
        <v>58</v>
      </c>
    </row>
    <row r="218" spans="1:3" ht="15">
      <c r="A218" s="76" t="s">
        <v>3194</v>
      </c>
      <c r="B218" s="80" t="s">
        <v>268</v>
      </c>
      <c r="C218" s="75">
        <f>VLOOKUP(GroupVertices[[#This Row],[Vertex]],Vertices[],MATCH("ID",Vertices[[#Headers],[Vertex]:[Top Word Pairs in Tweet by Salience]],0),FALSE)</f>
        <v>49</v>
      </c>
    </row>
    <row r="219" spans="1:3" ht="15">
      <c r="A219" s="76" t="s">
        <v>3194</v>
      </c>
      <c r="B219" s="80" t="s">
        <v>267</v>
      </c>
      <c r="C219" s="75">
        <f>VLOOKUP(GroupVertices[[#This Row],[Vertex]],Vertices[],MATCH("ID",Vertices[[#Headers],[Vertex]:[Top Word Pairs in Tweet by Salience]],0),FALSE)</f>
        <v>47</v>
      </c>
    </row>
    <row r="220" spans="1:3" ht="15">
      <c r="A220" s="76" t="s">
        <v>3195</v>
      </c>
      <c r="B220" s="80" t="s">
        <v>427</v>
      </c>
      <c r="C220" s="75">
        <f>VLOOKUP(GroupVertices[[#This Row],[Vertex]],Vertices[],MATCH("ID",Vertices[[#Headers],[Vertex]:[Top Word Pairs in Tweet by Salience]],0),FALSE)</f>
        <v>315</v>
      </c>
    </row>
    <row r="221" spans="1:3" ht="15">
      <c r="A221" s="76" t="s">
        <v>3195</v>
      </c>
      <c r="B221" s="80" t="s">
        <v>426</v>
      </c>
      <c r="C221" s="75">
        <f>VLOOKUP(GroupVertices[[#This Row],[Vertex]],Vertices[],MATCH("ID",Vertices[[#Headers],[Vertex]:[Top Word Pairs in Tweet by Salience]],0),FALSE)</f>
        <v>278</v>
      </c>
    </row>
    <row r="222" spans="1:3" ht="15">
      <c r="A222" s="76" t="s">
        <v>3195</v>
      </c>
      <c r="B222" s="80" t="s">
        <v>424</v>
      </c>
      <c r="C222" s="75">
        <f>VLOOKUP(GroupVertices[[#This Row],[Vertex]],Vertices[],MATCH("ID",Vertices[[#Headers],[Vertex]:[Top Word Pairs in Tweet by Salience]],0),FALSE)</f>
        <v>310</v>
      </c>
    </row>
    <row r="223" spans="1:3" ht="15">
      <c r="A223" s="76" t="s">
        <v>3195</v>
      </c>
      <c r="B223" s="80" t="s">
        <v>412</v>
      </c>
      <c r="C223" s="75">
        <f>VLOOKUP(GroupVertices[[#This Row],[Vertex]],Vertices[],MATCH("ID",Vertices[[#Headers],[Vertex]:[Top Word Pairs in Tweet by Salience]],0),FALSE)</f>
        <v>277</v>
      </c>
    </row>
    <row r="224" spans="1:3" ht="15">
      <c r="A224" s="76" t="s">
        <v>3196</v>
      </c>
      <c r="B224" s="80" t="s">
        <v>425</v>
      </c>
      <c r="C224" s="75">
        <f>VLOOKUP(GroupVertices[[#This Row],[Vertex]],Vertices[],MATCH("ID",Vertices[[#Headers],[Vertex]:[Top Word Pairs in Tweet by Salience]],0),FALSE)</f>
        <v>311</v>
      </c>
    </row>
    <row r="225" spans="1:3" ht="15">
      <c r="A225" s="76" t="s">
        <v>3196</v>
      </c>
      <c r="B225" s="80" t="s">
        <v>570</v>
      </c>
      <c r="C225" s="75">
        <f>VLOOKUP(GroupVertices[[#This Row],[Vertex]],Vertices[],MATCH("ID",Vertices[[#Headers],[Vertex]:[Top Word Pairs in Tweet by Salience]],0),FALSE)</f>
        <v>314</v>
      </c>
    </row>
    <row r="226" spans="1:3" ht="15">
      <c r="A226" s="76" t="s">
        <v>3196</v>
      </c>
      <c r="B226" s="80" t="s">
        <v>569</v>
      </c>
      <c r="C226" s="75">
        <f>VLOOKUP(GroupVertices[[#This Row],[Vertex]],Vertices[],MATCH("ID",Vertices[[#Headers],[Vertex]:[Top Word Pairs in Tweet by Salience]],0),FALSE)</f>
        <v>313</v>
      </c>
    </row>
    <row r="227" spans="1:3" ht="15">
      <c r="A227" s="76" t="s">
        <v>3196</v>
      </c>
      <c r="B227" s="80" t="s">
        <v>568</v>
      </c>
      <c r="C227" s="75">
        <f>VLOOKUP(GroupVertices[[#This Row],[Vertex]],Vertices[],MATCH("ID",Vertices[[#Headers],[Vertex]:[Top Word Pairs in Tweet by Salience]],0),FALSE)</f>
        <v>312</v>
      </c>
    </row>
    <row r="228" spans="1:3" ht="15">
      <c r="A228" s="76" t="s">
        <v>3197</v>
      </c>
      <c r="B228" s="80" t="s">
        <v>420</v>
      </c>
      <c r="C228" s="75">
        <f>VLOOKUP(GroupVertices[[#This Row],[Vertex]],Vertices[],MATCH("ID",Vertices[[#Headers],[Vertex]:[Top Word Pairs in Tweet by Salience]],0),FALSE)</f>
        <v>300</v>
      </c>
    </row>
    <row r="229" spans="1:3" ht="15">
      <c r="A229" s="76" t="s">
        <v>3197</v>
      </c>
      <c r="B229" s="80" t="s">
        <v>564</v>
      </c>
      <c r="C229" s="75">
        <f>VLOOKUP(GroupVertices[[#This Row],[Vertex]],Vertices[],MATCH("ID",Vertices[[#Headers],[Vertex]:[Top Word Pairs in Tweet by Salience]],0),FALSE)</f>
        <v>303</v>
      </c>
    </row>
    <row r="230" spans="1:3" ht="15">
      <c r="A230" s="76" t="s">
        <v>3197</v>
      </c>
      <c r="B230" s="80" t="s">
        <v>563</v>
      </c>
      <c r="C230" s="75">
        <f>VLOOKUP(GroupVertices[[#This Row],[Vertex]],Vertices[],MATCH("ID",Vertices[[#Headers],[Vertex]:[Top Word Pairs in Tweet by Salience]],0),FALSE)</f>
        <v>302</v>
      </c>
    </row>
    <row r="231" spans="1:3" ht="15">
      <c r="A231" s="76" t="s">
        <v>3197</v>
      </c>
      <c r="B231" s="80" t="s">
        <v>562</v>
      </c>
      <c r="C231" s="75">
        <f>VLOOKUP(GroupVertices[[#This Row],[Vertex]],Vertices[],MATCH("ID",Vertices[[#Headers],[Vertex]:[Top Word Pairs in Tweet by Salience]],0),FALSE)</f>
        <v>301</v>
      </c>
    </row>
    <row r="232" spans="1:3" ht="15">
      <c r="A232" s="76" t="s">
        <v>3198</v>
      </c>
      <c r="B232" s="80" t="s">
        <v>501</v>
      </c>
      <c r="C232" s="75">
        <f>VLOOKUP(GroupVertices[[#This Row],[Vertex]],Vertices[],MATCH("ID",Vertices[[#Headers],[Vertex]:[Top Word Pairs in Tweet by Salience]],0),FALSE)</f>
        <v>170</v>
      </c>
    </row>
    <row r="233" spans="1:3" ht="15">
      <c r="A233" s="76" t="s">
        <v>3198</v>
      </c>
      <c r="B233" s="80" t="s">
        <v>349</v>
      </c>
      <c r="C233" s="75">
        <f>VLOOKUP(GroupVertices[[#This Row],[Vertex]],Vertices[],MATCH("ID",Vertices[[#Headers],[Vertex]:[Top Word Pairs in Tweet by Salience]],0),FALSE)</f>
        <v>169</v>
      </c>
    </row>
    <row r="234" spans="1:3" ht="15">
      <c r="A234" s="76" t="s">
        <v>3198</v>
      </c>
      <c r="B234" s="80" t="s">
        <v>348</v>
      </c>
      <c r="C234" s="75">
        <f>VLOOKUP(GroupVertices[[#This Row],[Vertex]],Vertices[],MATCH("ID",Vertices[[#Headers],[Vertex]:[Top Word Pairs in Tweet by Salience]],0),FALSE)</f>
        <v>167</v>
      </c>
    </row>
    <row r="235" spans="1:3" ht="15">
      <c r="A235" s="76" t="s">
        <v>3198</v>
      </c>
      <c r="B235" s="80" t="s">
        <v>500</v>
      </c>
      <c r="C235" s="75">
        <f>VLOOKUP(GroupVertices[[#This Row],[Vertex]],Vertices[],MATCH("ID",Vertices[[#Headers],[Vertex]:[Top Word Pairs in Tweet by Salience]],0),FALSE)</f>
        <v>168</v>
      </c>
    </row>
    <row r="236" spans="1:3" ht="15">
      <c r="A236" s="76" t="s">
        <v>3199</v>
      </c>
      <c r="B236" s="80" t="s">
        <v>386</v>
      </c>
      <c r="C236" s="75">
        <f>VLOOKUP(GroupVertices[[#This Row],[Vertex]],Vertices[],MATCH("ID",Vertices[[#Headers],[Vertex]:[Top Word Pairs in Tweet by Salience]],0),FALSE)</f>
        <v>240</v>
      </c>
    </row>
    <row r="237" spans="1:3" ht="15">
      <c r="A237" s="76" t="s">
        <v>3199</v>
      </c>
      <c r="B237" s="80" t="s">
        <v>385</v>
      </c>
      <c r="C237" s="75">
        <f>VLOOKUP(GroupVertices[[#This Row],[Vertex]],Vertices[],MATCH("ID",Vertices[[#Headers],[Vertex]:[Top Word Pairs in Tweet by Salience]],0),FALSE)</f>
        <v>237</v>
      </c>
    </row>
    <row r="238" spans="1:3" ht="15">
      <c r="A238" s="76" t="s">
        <v>3199</v>
      </c>
      <c r="B238" s="80" t="s">
        <v>535</v>
      </c>
      <c r="C238" s="75">
        <f>VLOOKUP(GroupVertices[[#This Row],[Vertex]],Vertices[],MATCH("ID",Vertices[[#Headers],[Vertex]:[Top Word Pairs in Tweet by Salience]],0),FALSE)</f>
        <v>239</v>
      </c>
    </row>
    <row r="239" spans="1:3" ht="15">
      <c r="A239" s="76" t="s">
        <v>3199</v>
      </c>
      <c r="B239" s="80" t="s">
        <v>534</v>
      </c>
      <c r="C239" s="75">
        <f>VLOOKUP(GroupVertices[[#This Row],[Vertex]],Vertices[],MATCH("ID",Vertices[[#Headers],[Vertex]:[Top Word Pairs in Tweet by Salience]],0),FALSE)</f>
        <v>238</v>
      </c>
    </row>
    <row r="240" spans="1:3" ht="15">
      <c r="A240" s="76" t="s">
        <v>3200</v>
      </c>
      <c r="B240" s="80" t="s">
        <v>478</v>
      </c>
      <c r="C240" s="75">
        <f>VLOOKUP(GroupVertices[[#This Row],[Vertex]],Vertices[],MATCH("ID",Vertices[[#Headers],[Vertex]:[Top Word Pairs in Tweet by Salience]],0),FALSE)</f>
        <v>116</v>
      </c>
    </row>
    <row r="241" spans="1:3" ht="15">
      <c r="A241" s="76" t="s">
        <v>3200</v>
      </c>
      <c r="B241" s="80" t="s">
        <v>317</v>
      </c>
      <c r="C241" s="75">
        <f>VLOOKUP(GroupVertices[[#This Row],[Vertex]],Vertices[],MATCH("ID",Vertices[[#Headers],[Vertex]:[Top Word Pairs in Tweet by Salience]],0),FALSE)</f>
        <v>113</v>
      </c>
    </row>
    <row r="242" spans="1:3" ht="15">
      <c r="A242" s="76" t="s">
        <v>3200</v>
      </c>
      <c r="B242" s="80" t="s">
        <v>477</v>
      </c>
      <c r="C242" s="75">
        <f>VLOOKUP(GroupVertices[[#This Row],[Vertex]],Vertices[],MATCH("ID",Vertices[[#Headers],[Vertex]:[Top Word Pairs in Tweet by Salience]],0),FALSE)</f>
        <v>115</v>
      </c>
    </row>
    <row r="243" spans="1:3" ht="15">
      <c r="A243" s="76" t="s">
        <v>3200</v>
      </c>
      <c r="B243" s="80" t="s">
        <v>476</v>
      </c>
      <c r="C243" s="75">
        <f>VLOOKUP(GroupVertices[[#This Row],[Vertex]],Vertices[],MATCH("ID",Vertices[[#Headers],[Vertex]:[Top Word Pairs in Tweet by Salience]],0),FALSE)</f>
        <v>114</v>
      </c>
    </row>
    <row r="244" spans="1:3" ht="15">
      <c r="A244" s="76" t="s">
        <v>3201</v>
      </c>
      <c r="B244" s="80" t="s">
        <v>369</v>
      </c>
      <c r="C244" s="75">
        <f>VLOOKUP(GroupVertices[[#This Row],[Vertex]],Vertices[],MATCH("ID",Vertices[[#Headers],[Vertex]:[Top Word Pairs in Tweet by Salience]],0),FALSE)</f>
        <v>203</v>
      </c>
    </row>
    <row r="245" spans="1:3" ht="15">
      <c r="A245" s="76" t="s">
        <v>3201</v>
      </c>
      <c r="B245" s="80" t="s">
        <v>517</v>
      </c>
      <c r="C245" s="75">
        <f>VLOOKUP(GroupVertices[[#This Row],[Vertex]],Vertices[],MATCH("ID",Vertices[[#Headers],[Vertex]:[Top Word Pairs in Tweet by Salience]],0),FALSE)</f>
        <v>206</v>
      </c>
    </row>
    <row r="246" spans="1:3" ht="15">
      <c r="A246" s="76" t="s">
        <v>3201</v>
      </c>
      <c r="B246" s="80" t="s">
        <v>516</v>
      </c>
      <c r="C246" s="75">
        <f>VLOOKUP(GroupVertices[[#This Row],[Vertex]],Vertices[],MATCH("ID",Vertices[[#Headers],[Vertex]:[Top Word Pairs in Tweet by Salience]],0),FALSE)</f>
        <v>205</v>
      </c>
    </row>
    <row r="247" spans="1:3" ht="15">
      <c r="A247" s="76" t="s">
        <v>3201</v>
      </c>
      <c r="B247" s="80" t="s">
        <v>515</v>
      </c>
      <c r="C247" s="75">
        <f>VLOOKUP(GroupVertices[[#This Row],[Vertex]],Vertices[],MATCH("ID",Vertices[[#Headers],[Vertex]:[Top Word Pairs in Tweet by Salience]],0),FALSE)</f>
        <v>204</v>
      </c>
    </row>
    <row r="248" spans="1:3" ht="15">
      <c r="A248" s="76" t="s">
        <v>3202</v>
      </c>
      <c r="B248" s="80" t="s">
        <v>356</v>
      </c>
      <c r="C248" s="75">
        <f>VLOOKUP(GroupVertices[[#This Row],[Vertex]],Vertices[],MATCH("ID",Vertices[[#Headers],[Vertex]:[Top Word Pairs in Tweet by Salience]],0),FALSE)</f>
        <v>180</v>
      </c>
    </row>
    <row r="249" spans="1:3" ht="15">
      <c r="A249" s="76" t="s">
        <v>3202</v>
      </c>
      <c r="B249" s="80" t="s">
        <v>355</v>
      </c>
      <c r="C249" s="75">
        <f>VLOOKUP(GroupVertices[[#This Row],[Vertex]],Vertices[],MATCH("ID",Vertices[[#Headers],[Vertex]:[Top Word Pairs in Tweet by Salience]],0),FALSE)</f>
        <v>178</v>
      </c>
    </row>
    <row r="250" spans="1:3" ht="15">
      <c r="A250" s="76" t="s">
        <v>3202</v>
      </c>
      <c r="B250" s="80" t="s">
        <v>354</v>
      </c>
      <c r="C250" s="75">
        <f>VLOOKUP(GroupVertices[[#This Row],[Vertex]],Vertices[],MATCH("ID",Vertices[[#Headers],[Vertex]:[Top Word Pairs in Tweet by Salience]],0),FALSE)</f>
        <v>179</v>
      </c>
    </row>
    <row r="251" spans="1:3" ht="15">
      <c r="A251" s="76" t="s">
        <v>3202</v>
      </c>
      <c r="B251" s="80" t="s">
        <v>353</v>
      </c>
      <c r="C251" s="75">
        <f>VLOOKUP(GroupVertices[[#This Row],[Vertex]],Vertices[],MATCH("ID",Vertices[[#Headers],[Vertex]:[Top Word Pairs in Tweet by Salience]],0),FALSE)</f>
        <v>177</v>
      </c>
    </row>
    <row r="252" spans="1:3" ht="15">
      <c r="A252" s="76" t="s">
        <v>3203</v>
      </c>
      <c r="B252" s="80" t="s">
        <v>341</v>
      </c>
      <c r="C252" s="75">
        <f>VLOOKUP(GroupVertices[[#This Row],[Vertex]],Vertices[],MATCH("ID",Vertices[[#Headers],[Vertex]:[Top Word Pairs in Tweet by Salience]],0),FALSE)</f>
        <v>159</v>
      </c>
    </row>
    <row r="253" spans="1:3" ht="15">
      <c r="A253" s="76" t="s">
        <v>3203</v>
      </c>
      <c r="B253" s="80" t="s">
        <v>340</v>
      </c>
      <c r="C253" s="75">
        <f>VLOOKUP(GroupVertices[[#This Row],[Vertex]],Vertices[],MATCH("ID",Vertices[[#Headers],[Vertex]:[Top Word Pairs in Tweet by Salience]],0),FALSE)</f>
        <v>102</v>
      </c>
    </row>
    <row r="254" spans="1:3" ht="15">
      <c r="A254" s="76" t="s">
        <v>3203</v>
      </c>
      <c r="B254" s="80" t="s">
        <v>310</v>
      </c>
      <c r="C254" s="75">
        <f>VLOOKUP(GroupVertices[[#This Row],[Vertex]],Vertices[],MATCH("ID",Vertices[[#Headers],[Vertex]:[Top Word Pairs in Tweet by Salience]],0),FALSE)</f>
        <v>103</v>
      </c>
    </row>
    <row r="255" spans="1:3" ht="15">
      <c r="A255" s="76" t="s">
        <v>3203</v>
      </c>
      <c r="B255" s="80" t="s">
        <v>309</v>
      </c>
      <c r="C255" s="75">
        <f>VLOOKUP(GroupVertices[[#This Row],[Vertex]],Vertices[],MATCH("ID",Vertices[[#Headers],[Vertex]:[Top Word Pairs in Tweet by Salience]],0),FALSE)</f>
        <v>101</v>
      </c>
    </row>
    <row r="256" spans="1:3" ht="15">
      <c r="A256" s="76" t="s">
        <v>3204</v>
      </c>
      <c r="B256" s="80" t="s">
        <v>326</v>
      </c>
      <c r="C256" s="75">
        <f>VLOOKUP(GroupVertices[[#This Row],[Vertex]],Vertices[],MATCH("ID",Vertices[[#Headers],[Vertex]:[Top Word Pairs in Tweet by Salience]],0),FALSE)</f>
        <v>131</v>
      </c>
    </row>
    <row r="257" spans="1:3" ht="15">
      <c r="A257" s="76" t="s">
        <v>3204</v>
      </c>
      <c r="B257" s="80" t="s">
        <v>487</v>
      </c>
      <c r="C257" s="75">
        <f>VLOOKUP(GroupVertices[[#This Row],[Vertex]],Vertices[],MATCH("ID",Vertices[[#Headers],[Vertex]:[Top Word Pairs in Tweet by Salience]],0),FALSE)</f>
        <v>134</v>
      </c>
    </row>
    <row r="258" spans="1:3" ht="15">
      <c r="A258" s="76" t="s">
        <v>3204</v>
      </c>
      <c r="B258" s="80" t="s">
        <v>486</v>
      </c>
      <c r="C258" s="75">
        <f>VLOOKUP(GroupVertices[[#This Row],[Vertex]],Vertices[],MATCH("ID",Vertices[[#Headers],[Vertex]:[Top Word Pairs in Tweet by Salience]],0),FALSE)</f>
        <v>133</v>
      </c>
    </row>
    <row r="259" spans="1:3" ht="15">
      <c r="A259" s="76" t="s">
        <v>3204</v>
      </c>
      <c r="B259" s="80" t="s">
        <v>485</v>
      </c>
      <c r="C259" s="75">
        <f>VLOOKUP(GroupVertices[[#This Row],[Vertex]],Vertices[],MATCH("ID",Vertices[[#Headers],[Vertex]:[Top Word Pairs in Tweet by Salience]],0),FALSE)</f>
        <v>132</v>
      </c>
    </row>
    <row r="260" spans="1:3" ht="15">
      <c r="A260" s="76" t="s">
        <v>3205</v>
      </c>
      <c r="B260" s="80" t="s">
        <v>260</v>
      </c>
      <c r="C260" s="75">
        <f>VLOOKUP(GroupVertices[[#This Row],[Vertex]],Vertices[],MATCH("ID",Vertices[[#Headers],[Vertex]:[Top Word Pairs in Tweet by Salience]],0),FALSE)</f>
        <v>12</v>
      </c>
    </row>
    <row r="261" spans="1:3" ht="15">
      <c r="A261" s="76" t="s">
        <v>3205</v>
      </c>
      <c r="B261" s="80" t="s">
        <v>434</v>
      </c>
      <c r="C261" s="75">
        <f>VLOOKUP(GroupVertices[[#This Row],[Vertex]],Vertices[],MATCH("ID",Vertices[[#Headers],[Vertex]:[Top Word Pairs in Tweet by Salience]],0),FALSE)</f>
        <v>15</v>
      </c>
    </row>
    <row r="262" spans="1:3" ht="15">
      <c r="A262" s="76" t="s">
        <v>3205</v>
      </c>
      <c r="B262" s="80" t="s">
        <v>433</v>
      </c>
      <c r="C262" s="75">
        <f>VLOOKUP(GroupVertices[[#This Row],[Vertex]],Vertices[],MATCH("ID",Vertices[[#Headers],[Vertex]:[Top Word Pairs in Tweet by Salience]],0),FALSE)</f>
        <v>14</v>
      </c>
    </row>
    <row r="263" spans="1:3" ht="15">
      <c r="A263" s="76" t="s">
        <v>3205</v>
      </c>
      <c r="B263" s="80" t="s">
        <v>432</v>
      </c>
      <c r="C263" s="75">
        <f>VLOOKUP(GroupVertices[[#This Row],[Vertex]],Vertices[],MATCH("ID",Vertices[[#Headers],[Vertex]:[Top Word Pairs in Tweet by Salience]],0),FALSE)</f>
        <v>13</v>
      </c>
    </row>
    <row r="264" spans="1:3" ht="15">
      <c r="A264" s="76" t="s">
        <v>3206</v>
      </c>
      <c r="B264" s="80" t="s">
        <v>421</v>
      </c>
      <c r="C264" s="75">
        <f>VLOOKUP(GroupVertices[[#This Row],[Vertex]],Vertices[],MATCH("ID",Vertices[[#Headers],[Vertex]:[Top Word Pairs in Tweet by Salience]],0),FALSE)</f>
        <v>304</v>
      </c>
    </row>
    <row r="265" spans="1:3" ht="15">
      <c r="A265" s="76" t="s">
        <v>3206</v>
      </c>
      <c r="B265" s="80" t="s">
        <v>566</v>
      </c>
      <c r="C265" s="75">
        <f>VLOOKUP(GroupVertices[[#This Row],[Vertex]],Vertices[],MATCH("ID",Vertices[[#Headers],[Vertex]:[Top Word Pairs in Tweet by Salience]],0),FALSE)</f>
        <v>306</v>
      </c>
    </row>
    <row r="266" spans="1:3" ht="15">
      <c r="A266" s="76" t="s">
        <v>3206</v>
      </c>
      <c r="B266" s="80" t="s">
        <v>565</v>
      </c>
      <c r="C266" s="75">
        <f>VLOOKUP(GroupVertices[[#This Row],[Vertex]],Vertices[],MATCH("ID",Vertices[[#Headers],[Vertex]:[Top Word Pairs in Tweet by Salience]],0),FALSE)</f>
        <v>305</v>
      </c>
    </row>
    <row r="267" spans="1:3" ht="15">
      <c r="A267" s="76" t="s">
        <v>3207</v>
      </c>
      <c r="B267" s="80" t="s">
        <v>373</v>
      </c>
      <c r="C267" s="75">
        <f>VLOOKUP(GroupVertices[[#This Row],[Vertex]],Vertices[],MATCH("ID",Vertices[[#Headers],[Vertex]:[Top Word Pairs in Tweet by Salience]],0),FALSE)</f>
        <v>215</v>
      </c>
    </row>
    <row r="268" spans="1:3" ht="15">
      <c r="A268" s="76" t="s">
        <v>3207</v>
      </c>
      <c r="B268" s="80" t="s">
        <v>524</v>
      </c>
      <c r="C268" s="75">
        <f>VLOOKUP(GroupVertices[[#This Row],[Vertex]],Vertices[],MATCH("ID",Vertices[[#Headers],[Vertex]:[Top Word Pairs in Tweet by Salience]],0),FALSE)</f>
        <v>217</v>
      </c>
    </row>
    <row r="269" spans="1:3" ht="15">
      <c r="A269" s="76" t="s">
        <v>3207</v>
      </c>
      <c r="B269" s="80" t="s">
        <v>523</v>
      </c>
      <c r="C269" s="75">
        <f>VLOOKUP(GroupVertices[[#This Row],[Vertex]],Vertices[],MATCH("ID",Vertices[[#Headers],[Vertex]:[Top Word Pairs in Tweet by Salience]],0),FALSE)</f>
        <v>216</v>
      </c>
    </row>
    <row r="270" spans="1:3" ht="15">
      <c r="A270" s="76" t="s">
        <v>3208</v>
      </c>
      <c r="B270" s="80" t="s">
        <v>372</v>
      </c>
      <c r="C270" s="75">
        <f>VLOOKUP(GroupVertices[[#This Row],[Vertex]],Vertices[],MATCH("ID",Vertices[[#Headers],[Vertex]:[Top Word Pairs in Tweet by Salience]],0),FALSE)</f>
        <v>212</v>
      </c>
    </row>
    <row r="271" spans="1:3" ht="15">
      <c r="A271" s="76" t="s">
        <v>3208</v>
      </c>
      <c r="B271" s="80" t="s">
        <v>522</v>
      </c>
      <c r="C271" s="75">
        <f>VLOOKUP(GroupVertices[[#This Row],[Vertex]],Vertices[],MATCH("ID",Vertices[[#Headers],[Vertex]:[Top Word Pairs in Tweet by Salience]],0),FALSE)</f>
        <v>214</v>
      </c>
    </row>
    <row r="272" spans="1:3" ht="15">
      <c r="A272" s="76" t="s">
        <v>3208</v>
      </c>
      <c r="B272" s="80" t="s">
        <v>521</v>
      </c>
      <c r="C272" s="75">
        <f>VLOOKUP(GroupVertices[[#This Row],[Vertex]],Vertices[],MATCH("ID",Vertices[[#Headers],[Vertex]:[Top Word Pairs in Tweet by Salience]],0),FALSE)</f>
        <v>213</v>
      </c>
    </row>
    <row r="273" spans="1:3" ht="15">
      <c r="A273" s="76" t="s">
        <v>3209</v>
      </c>
      <c r="B273" s="80" t="s">
        <v>371</v>
      </c>
      <c r="C273" s="75">
        <f>VLOOKUP(GroupVertices[[#This Row],[Vertex]],Vertices[],MATCH("ID",Vertices[[#Headers],[Vertex]:[Top Word Pairs in Tweet by Salience]],0),FALSE)</f>
        <v>209</v>
      </c>
    </row>
    <row r="274" spans="1:3" ht="15">
      <c r="A274" s="76" t="s">
        <v>3209</v>
      </c>
      <c r="B274" s="80" t="s">
        <v>520</v>
      </c>
      <c r="C274" s="75">
        <f>VLOOKUP(GroupVertices[[#This Row],[Vertex]],Vertices[],MATCH("ID",Vertices[[#Headers],[Vertex]:[Top Word Pairs in Tweet by Salience]],0),FALSE)</f>
        <v>211</v>
      </c>
    </row>
    <row r="275" spans="1:3" ht="15">
      <c r="A275" s="76" t="s">
        <v>3209</v>
      </c>
      <c r="B275" s="80" t="s">
        <v>519</v>
      </c>
      <c r="C275" s="75">
        <f>VLOOKUP(GroupVertices[[#This Row],[Vertex]],Vertices[],MATCH("ID",Vertices[[#Headers],[Vertex]:[Top Word Pairs in Tweet by Salience]],0),FALSE)</f>
        <v>210</v>
      </c>
    </row>
    <row r="276" spans="1:3" ht="15">
      <c r="A276" s="76" t="s">
        <v>3210</v>
      </c>
      <c r="B276" s="80" t="s">
        <v>352</v>
      </c>
      <c r="C276" s="75">
        <f>VLOOKUP(GroupVertices[[#This Row],[Vertex]],Vertices[],MATCH("ID",Vertices[[#Headers],[Vertex]:[Top Word Pairs in Tweet by Salience]],0),FALSE)</f>
        <v>174</v>
      </c>
    </row>
    <row r="277" spans="1:3" ht="15">
      <c r="A277" s="76" t="s">
        <v>3210</v>
      </c>
      <c r="B277" s="80" t="s">
        <v>504</v>
      </c>
      <c r="C277" s="75">
        <f>VLOOKUP(GroupVertices[[#This Row],[Vertex]],Vertices[],MATCH("ID",Vertices[[#Headers],[Vertex]:[Top Word Pairs in Tweet by Salience]],0),FALSE)</f>
        <v>176</v>
      </c>
    </row>
    <row r="278" spans="1:3" ht="15">
      <c r="A278" s="76" t="s">
        <v>3210</v>
      </c>
      <c r="B278" s="80" t="s">
        <v>503</v>
      </c>
      <c r="C278" s="75">
        <f>VLOOKUP(GroupVertices[[#This Row],[Vertex]],Vertices[],MATCH("ID",Vertices[[#Headers],[Vertex]:[Top Word Pairs in Tweet by Salience]],0),FALSE)</f>
        <v>175</v>
      </c>
    </row>
    <row r="279" spans="1:3" ht="15">
      <c r="A279" s="76" t="s">
        <v>3211</v>
      </c>
      <c r="B279" s="80" t="s">
        <v>306</v>
      </c>
      <c r="C279" s="75">
        <f>VLOOKUP(GroupVertices[[#This Row],[Vertex]],Vertices[],MATCH("ID",Vertices[[#Headers],[Vertex]:[Top Word Pairs in Tweet by Salience]],0),FALSE)</f>
        <v>91</v>
      </c>
    </row>
    <row r="280" spans="1:3" ht="15">
      <c r="A280" s="76" t="s">
        <v>3211</v>
      </c>
      <c r="B280" s="80" t="s">
        <v>467</v>
      </c>
      <c r="C280" s="75">
        <f>VLOOKUP(GroupVertices[[#This Row],[Vertex]],Vertices[],MATCH("ID",Vertices[[#Headers],[Vertex]:[Top Word Pairs in Tweet by Salience]],0),FALSE)</f>
        <v>93</v>
      </c>
    </row>
    <row r="281" spans="1:3" ht="15">
      <c r="A281" s="76" t="s">
        <v>3211</v>
      </c>
      <c r="B281" s="80" t="s">
        <v>466</v>
      </c>
      <c r="C281" s="75">
        <f>VLOOKUP(GroupVertices[[#This Row],[Vertex]],Vertices[],MATCH("ID",Vertices[[#Headers],[Vertex]:[Top Word Pairs in Tweet by Salience]],0),FALSE)</f>
        <v>92</v>
      </c>
    </row>
    <row r="282" spans="1:3" ht="15">
      <c r="A282" s="76" t="s">
        <v>3212</v>
      </c>
      <c r="B282" s="80" t="s">
        <v>273</v>
      </c>
      <c r="C282" s="75">
        <f>VLOOKUP(GroupVertices[[#This Row],[Vertex]],Vertices[],MATCH("ID",Vertices[[#Headers],[Vertex]:[Top Word Pairs in Tweet by Salience]],0),FALSE)</f>
        <v>56</v>
      </c>
    </row>
    <row r="283" spans="1:3" ht="15">
      <c r="A283" s="76" t="s">
        <v>3212</v>
      </c>
      <c r="B283" s="80" t="s">
        <v>462</v>
      </c>
      <c r="C283" s="75">
        <f>VLOOKUP(GroupVertices[[#This Row],[Vertex]],Vertices[],MATCH("ID",Vertices[[#Headers],[Vertex]:[Top Word Pairs in Tweet by Salience]],0),FALSE)</f>
        <v>55</v>
      </c>
    </row>
    <row r="284" spans="1:3" ht="15">
      <c r="A284" s="76" t="s">
        <v>3212</v>
      </c>
      <c r="B284" s="80" t="s">
        <v>272</v>
      </c>
      <c r="C284" s="75">
        <f>VLOOKUP(GroupVertices[[#This Row],[Vertex]],Vertices[],MATCH("ID",Vertices[[#Headers],[Vertex]:[Top Word Pairs in Tweet by Salience]],0),FALSE)</f>
        <v>54</v>
      </c>
    </row>
    <row r="285" spans="1:3" ht="15">
      <c r="A285" s="76" t="s">
        <v>3213</v>
      </c>
      <c r="B285" s="80" t="s">
        <v>271</v>
      </c>
      <c r="C285" s="75">
        <f>VLOOKUP(GroupVertices[[#This Row],[Vertex]],Vertices[],MATCH("ID",Vertices[[#Headers],[Vertex]:[Top Word Pairs in Tweet by Salience]],0),FALSE)</f>
        <v>53</v>
      </c>
    </row>
    <row r="286" spans="1:3" ht="15">
      <c r="A286" s="76" t="s">
        <v>3213</v>
      </c>
      <c r="B286" s="80" t="s">
        <v>461</v>
      </c>
      <c r="C286" s="75">
        <f>VLOOKUP(GroupVertices[[#This Row],[Vertex]],Vertices[],MATCH("ID",Vertices[[#Headers],[Vertex]:[Top Word Pairs in Tweet by Salience]],0),FALSE)</f>
        <v>52</v>
      </c>
    </row>
    <row r="287" spans="1:3" ht="15">
      <c r="A287" s="76" t="s">
        <v>3213</v>
      </c>
      <c r="B287" s="80" t="s">
        <v>270</v>
      </c>
      <c r="C287" s="75">
        <f>VLOOKUP(GroupVertices[[#This Row],[Vertex]],Vertices[],MATCH("ID",Vertices[[#Headers],[Vertex]:[Top Word Pairs in Tweet by Salience]],0),FALSE)</f>
        <v>51</v>
      </c>
    </row>
    <row r="288" spans="1:3" ht="15">
      <c r="A288" s="76" t="s">
        <v>3214</v>
      </c>
      <c r="B288" s="80" t="s">
        <v>405</v>
      </c>
      <c r="C288" s="75">
        <f>VLOOKUP(GroupVertices[[#This Row],[Vertex]],Vertices[],MATCH("ID",Vertices[[#Headers],[Vertex]:[Top Word Pairs in Tweet by Salience]],0),FALSE)</f>
        <v>268</v>
      </c>
    </row>
    <row r="289" spans="1:3" ht="15">
      <c r="A289" s="76" t="s">
        <v>3214</v>
      </c>
      <c r="B289" s="80" t="s">
        <v>544</v>
      </c>
      <c r="C289" s="75">
        <f>VLOOKUP(GroupVertices[[#This Row],[Vertex]],Vertices[],MATCH("ID",Vertices[[#Headers],[Vertex]:[Top Word Pairs in Tweet by Salience]],0),FALSE)</f>
        <v>269</v>
      </c>
    </row>
    <row r="290" spans="1:3" ht="15">
      <c r="A290" s="76" t="s">
        <v>3215</v>
      </c>
      <c r="B290" s="80" t="s">
        <v>400</v>
      </c>
      <c r="C290" s="75">
        <f>VLOOKUP(GroupVertices[[#This Row],[Vertex]],Vertices[],MATCH("ID",Vertices[[#Headers],[Vertex]:[Top Word Pairs in Tweet by Salience]],0),FALSE)</f>
        <v>262</v>
      </c>
    </row>
    <row r="291" spans="1:3" ht="15">
      <c r="A291" s="76" t="s">
        <v>3215</v>
      </c>
      <c r="B291" s="80" t="s">
        <v>543</v>
      </c>
      <c r="C291" s="75">
        <f>VLOOKUP(GroupVertices[[#This Row],[Vertex]],Vertices[],MATCH("ID",Vertices[[#Headers],[Vertex]:[Top Word Pairs in Tweet by Salience]],0),FALSE)</f>
        <v>263</v>
      </c>
    </row>
    <row r="292" spans="1:3" ht="15">
      <c r="A292" s="76" t="s">
        <v>3216</v>
      </c>
      <c r="B292" s="80" t="s">
        <v>395</v>
      </c>
      <c r="C292" s="75">
        <f>VLOOKUP(GroupVertices[[#This Row],[Vertex]],Vertices[],MATCH("ID",Vertices[[#Headers],[Vertex]:[Top Word Pairs in Tweet by Salience]],0),FALSE)</f>
        <v>251</v>
      </c>
    </row>
    <row r="293" spans="1:3" ht="15">
      <c r="A293" s="76" t="s">
        <v>3216</v>
      </c>
      <c r="B293" s="80" t="s">
        <v>394</v>
      </c>
      <c r="C293" s="75">
        <f>VLOOKUP(GroupVertices[[#This Row],[Vertex]],Vertices[],MATCH("ID",Vertices[[#Headers],[Vertex]:[Top Word Pairs in Tweet by Salience]],0),FALSE)</f>
        <v>250</v>
      </c>
    </row>
    <row r="294" spans="1:3" ht="15">
      <c r="A294" s="76" t="s">
        <v>3217</v>
      </c>
      <c r="B294" s="80" t="s">
        <v>390</v>
      </c>
      <c r="C294" s="75">
        <f>VLOOKUP(GroupVertices[[#This Row],[Vertex]],Vertices[],MATCH("ID",Vertices[[#Headers],[Vertex]:[Top Word Pairs in Tweet by Salience]],0),FALSE)</f>
        <v>245</v>
      </c>
    </row>
    <row r="295" spans="1:3" ht="15">
      <c r="A295" s="76" t="s">
        <v>3217</v>
      </c>
      <c r="B295" s="80" t="s">
        <v>536</v>
      </c>
      <c r="C295" s="75">
        <f>VLOOKUP(GroupVertices[[#This Row],[Vertex]],Vertices[],MATCH("ID",Vertices[[#Headers],[Vertex]:[Top Word Pairs in Tweet by Salience]],0),FALSE)</f>
        <v>246</v>
      </c>
    </row>
    <row r="296" spans="1:3" ht="15">
      <c r="A296" s="76" t="s">
        <v>3218</v>
      </c>
      <c r="B296" s="80" t="s">
        <v>388</v>
      </c>
      <c r="C296" s="75">
        <f>VLOOKUP(GroupVertices[[#This Row],[Vertex]],Vertices[],MATCH("ID",Vertices[[#Headers],[Vertex]:[Top Word Pairs in Tweet by Salience]],0),FALSE)</f>
        <v>242</v>
      </c>
    </row>
    <row r="297" spans="1:3" ht="15">
      <c r="A297" s="76" t="s">
        <v>3218</v>
      </c>
      <c r="B297" s="80" t="s">
        <v>387</v>
      </c>
      <c r="C297" s="75">
        <f>VLOOKUP(GroupVertices[[#This Row],[Vertex]],Vertices[],MATCH("ID",Vertices[[#Headers],[Vertex]:[Top Word Pairs in Tweet by Salience]],0),FALSE)</f>
        <v>241</v>
      </c>
    </row>
    <row r="298" spans="1:3" ht="15">
      <c r="A298" s="76" t="s">
        <v>3219</v>
      </c>
      <c r="B298" s="80" t="s">
        <v>376</v>
      </c>
      <c r="C298" s="75">
        <f>VLOOKUP(GroupVertices[[#This Row],[Vertex]],Vertices[],MATCH("ID",Vertices[[#Headers],[Vertex]:[Top Word Pairs in Tweet by Salience]],0),FALSE)</f>
        <v>220</v>
      </c>
    </row>
    <row r="299" spans="1:3" ht="15">
      <c r="A299" s="76" t="s">
        <v>3219</v>
      </c>
      <c r="B299" s="80" t="s">
        <v>525</v>
      </c>
      <c r="C299" s="75">
        <f>VLOOKUP(GroupVertices[[#This Row],[Vertex]],Vertices[],MATCH("ID",Vertices[[#Headers],[Vertex]:[Top Word Pairs in Tweet by Salience]],0),FALSE)</f>
        <v>221</v>
      </c>
    </row>
    <row r="300" spans="1:3" ht="15">
      <c r="A300" s="76" t="s">
        <v>3220</v>
      </c>
      <c r="B300" s="80" t="s">
        <v>370</v>
      </c>
      <c r="C300" s="75">
        <f>VLOOKUP(GroupVertices[[#This Row],[Vertex]],Vertices[],MATCH("ID",Vertices[[#Headers],[Vertex]:[Top Word Pairs in Tweet by Salience]],0),FALSE)</f>
        <v>207</v>
      </c>
    </row>
    <row r="301" spans="1:3" ht="15">
      <c r="A301" s="76" t="s">
        <v>3220</v>
      </c>
      <c r="B301" s="80" t="s">
        <v>518</v>
      </c>
      <c r="C301" s="75">
        <f>VLOOKUP(GroupVertices[[#This Row],[Vertex]],Vertices[],MATCH("ID",Vertices[[#Headers],[Vertex]:[Top Word Pairs in Tweet by Salience]],0),FALSE)</f>
        <v>208</v>
      </c>
    </row>
    <row r="302" spans="1:3" ht="15">
      <c r="A302" s="76" t="s">
        <v>3221</v>
      </c>
      <c r="B302" s="80" t="s">
        <v>367</v>
      </c>
      <c r="C302" s="75">
        <f>VLOOKUP(GroupVertices[[#This Row],[Vertex]],Vertices[],MATCH("ID",Vertices[[#Headers],[Vertex]:[Top Word Pairs in Tweet by Salience]],0),FALSE)</f>
        <v>200</v>
      </c>
    </row>
    <row r="303" spans="1:3" ht="15">
      <c r="A303" s="76" t="s">
        <v>3221</v>
      </c>
      <c r="B303" s="80" t="s">
        <v>514</v>
      </c>
      <c r="C303" s="75">
        <f>VLOOKUP(GroupVertices[[#This Row],[Vertex]],Vertices[],MATCH("ID",Vertices[[#Headers],[Vertex]:[Top Word Pairs in Tweet by Salience]],0),FALSE)</f>
        <v>201</v>
      </c>
    </row>
    <row r="304" spans="1:3" ht="15">
      <c r="A304" s="76" t="s">
        <v>3222</v>
      </c>
      <c r="B304" s="80" t="s">
        <v>366</v>
      </c>
      <c r="C304" s="75">
        <f>VLOOKUP(GroupVertices[[#This Row],[Vertex]],Vertices[],MATCH("ID",Vertices[[#Headers],[Vertex]:[Top Word Pairs in Tweet by Salience]],0),FALSE)</f>
        <v>198</v>
      </c>
    </row>
    <row r="305" spans="1:3" ht="15">
      <c r="A305" s="76" t="s">
        <v>3222</v>
      </c>
      <c r="B305" s="80" t="s">
        <v>513</v>
      </c>
      <c r="C305" s="75">
        <f>VLOOKUP(GroupVertices[[#This Row],[Vertex]],Vertices[],MATCH("ID",Vertices[[#Headers],[Vertex]:[Top Word Pairs in Tweet by Salience]],0),FALSE)</f>
        <v>199</v>
      </c>
    </row>
    <row r="306" spans="1:3" ht="15">
      <c r="A306" s="76" t="s">
        <v>3223</v>
      </c>
      <c r="B306" s="80" t="s">
        <v>362</v>
      </c>
      <c r="C306" s="75">
        <f>VLOOKUP(GroupVertices[[#This Row],[Vertex]],Vertices[],MATCH("ID",Vertices[[#Headers],[Vertex]:[Top Word Pairs in Tweet by Salience]],0),FALSE)</f>
        <v>195</v>
      </c>
    </row>
    <row r="307" spans="1:3" ht="15">
      <c r="A307" s="76" t="s">
        <v>3223</v>
      </c>
      <c r="B307" s="80" t="s">
        <v>361</v>
      </c>
      <c r="C307" s="75">
        <f>VLOOKUP(GroupVertices[[#This Row],[Vertex]],Vertices[],MATCH("ID",Vertices[[#Headers],[Vertex]:[Top Word Pairs in Tweet by Salience]],0),FALSE)</f>
        <v>194</v>
      </c>
    </row>
    <row r="308" spans="1:3" ht="15">
      <c r="A308" s="76" t="s">
        <v>3224</v>
      </c>
      <c r="B308" s="80" t="s">
        <v>351</v>
      </c>
      <c r="C308" s="75">
        <f>VLOOKUP(GroupVertices[[#This Row],[Vertex]],Vertices[],MATCH("ID",Vertices[[#Headers],[Vertex]:[Top Word Pairs in Tweet by Salience]],0),FALSE)</f>
        <v>172</v>
      </c>
    </row>
    <row r="309" spans="1:3" ht="15">
      <c r="A309" s="76" t="s">
        <v>3224</v>
      </c>
      <c r="B309" s="80" t="s">
        <v>502</v>
      </c>
      <c r="C309" s="75">
        <f>VLOOKUP(GroupVertices[[#This Row],[Vertex]],Vertices[],MATCH("ID",Vertices[[#Headers],[Vertex]:[Top Word Pairs in Tweet by Salience]],0),FALSE)</f>
        <v>173</v>
      </c>
    </row>
    <row r="310" spans="1:3" ht="15">
      <c r="A310" s="76" t="s">
        <v>3225</v>
      </c>
      <c r="B310" s="80" t="s">
        <v>343</v>
      </c>
      <c r="C310" s="75">
        <f>VLOOKUP(GroupVertices[[#This Row],[Vertex]],Vertices[],MATCH("ID",Vertices[[#Headers],[Vertex]:[Top Word Pairs in Tweet by Salience]],0),FALSE)</f>
        <v>161</v>
      </c>
    </row>
    <row r="311" spans="1:3" ht="15">
      <c r="A311" s="76" t="s">
        <v>3225</v>
      </c>
      <c r="B311" s="80" t="s">
        <v>499</v>
      </c>
      <c r="C311" s="75">
        <f>VLOOKUP(GroupVertices[[#This Row],[Vertex]],Vertices[],MATCH("ID",Vertices[[#Headers],[Vertex]:[Top Word Pairs in Tweet by Salience]],0),FALSE)</f>
        <v>162</v>
      </c>
    </row>
    <row r="312" spans="1:3" ht="15">
      <c r="A312" s="76" t="s">
        <v>3226</v>
      </c>
      <c r="B312" s="80" t="s">
        <v>339</v>
      </c>
      <c r="C312" s="75">
        <f>VLOOKUP(GroupVertices[[#This Row],[Vertex]],Vertices[],MATCH("ID",Vertices[[#Headers],[Vertex]:[Top Word Pairs in Tweet by Salience]],0),FALSE)</f>
        <v>157</v>
      </c>
    </row>
    <row r="313" spans="1:3" ht="15">
      <c r="A313" s="76" t="s">
        <v>3226</v>
      </c>
      <c r="B313" s="80" t="s">
        <v>498</v>
      </c>
      <c r="C313" s="75">
        <f>VLOOKUP(GroupVertices[[#This Row],[Vertex]],Vertices[],MATCH("ID",Vertices[[#Headers],[Vertex]:[Top Word Pairs in Tweet by Salience]],0),FALSE)</f>
        <v>158</v>
      </c>
    </row>
    <row r="314" spans="1:3" ht="15">
      <c r="A314" s="76" t="s">
        <v>3227</v>
      </c>
      <c r="B314" s="80" t="s">
        <v>324</v>
      </c>
      <c r="C314" s="75">
        <f>VLOOKUP(GroupVertices[[#This Row],[Vertex]],Vertices[],MATCH("ID",Vertices[[#Headers],[Vertex]:[Top Word Pairs in Tweet by Salience]],0),FALSE)</f>
        <v>127</v>
      </c>
    </row>
    <row r="315" spans="1:3" ht="15">
      <c r="A315" s="76" t="s">
        <v>3227</v>
      </c>
      <c r="B315" s="80" t="s">
        <v>484</v>
      </c>
      <c r="C315" s="75">
        <f>VLOOKUP(GroupVertices[[#This Row],[Vertex]],Vertices[],MATCH("ID",Vertices[[#Headers],[Vertex]:[Top Word Pairs in Tweet by Salience]],0),FALSE)</f>
        <v>128</v>
      </c>
    </row>
    <row r="316" spans="1:3" ht="15">
      <c r="A316" s="76" t="s">
        <v>3228</v>
      </c>
      <c r="B316" s="80" t="s">
        <v>323</v>
      </c>
      <c r="C316" s="75">
        <f>VLOOKUP(GroupVertices[[#This Row],[Vertex]],Vertices[],MATCH("ID",Vertices[[#Headers],[Vertex]:[Top Word Pairs in Tweet by Salience]],0),FALSE)</f>
        <v>125</v>
      </c>
    </row>
    <row r="317" spans="1:3" ht="15">
      <c r="A317" s="76" t="s">
        <v>3228</v>
      </c>
      <c r="B317" s="80" t="s">
        <v>483</v>
      </c>
      <c r="C317" s="75">
        <f>VLOOKUP(GroupVertices[[#This Row],[Vertex]],Vertices[],MATCH("ID",Vertices[[#Headers],[Vertex]:[Top Word Pairs in Tweet by Salience]],0),FALSE)</f>
        <v>126</v>
      </c>
    </row>
    <row r="318" spans="1:3" ht="15">
      <c r="A318" s="76" t="s">
        <v>3229</v>
      </c>
      <c r="B318" s="80" t="s">
        <v>285</v>
      </c>
      <c r="C318" s="75">
        <f>VLOOKUP(GroupVertices[[#This Row],[Vertex]],Vertices[],MATCH("ID",Vertices[[#Headers],[Vertex]:[Top Word Pairs in Tweet by Salience]],0),FALSE)</f>
        <v>70</v>
      </c>
    </row>
    <row r="319" spans="1:3" ht="15">
      <c r="A319" s="76" t="s">
        <v>3229</v>
      </c>
      <c r="B319" s="80" t="s">
        <v>465</v>
      </c>
      <c r="C319" s="75">
        <f>VLOOKUP(GroupVertices[[#This Row],[Vertex]],Vertices[],MATCH("ID",Vertices[[#Headers],[Vertex]:[Top Word Pairs in Tweet by Salience]],0),FALSE)</f>
        <v>71</v>
      </c>
    </row>
    <row r="320" spans="1:3" ht="15">
      <c r="A320" s="76" t="s">
        <v>3230</v>
      </c>
      <c r="B320" s="80" t="s">
        <v>279</v>
      </c>
      <c r="C320" s="75">
        <f>VLOOKUP(GroupVertices[[#This Row],[Vertex]],Vertices[],MATCH("ID",Vertices[[#Headers],[Vertex]:[Top Word Pairs in Tweet by Salience]],0),FALSE)</f>
        <v>64</v>
      </c>
    </row>
    <row r="321" spans="1:3" ht="15">
      <c r="A321" s="76" t="s">
        <v>3230</v>
      </c>
      <c r="B321" s="80" t="s">
        <v>278</v>
      </c>
      <c r="C321" s="75">
        <f>VLOOKUP(GroupVertices[[#This Row],[Vertex]],Vertices[],MATCH("ID",Vertices[[#Headers],[Vertex]:[Top Word Pairs in Tweet by Salience]],0),FALSE)</f>
        <v>63</v>
      </c>
    </row>
    <row r="322" spans="1:3" ht="15">
      <c r="A322" s="76" t="s">
        <v>3231</v>
      </c>
      <c r="B322" s="80" t="s">
        <v>277</v>
      </c>
      <c r="C322" s="75">
        <f>VLOOKUP(GroupVertices[[#This Row],[Vertex]],Vertices[],MATCH("ID",Vertices[[#Headers],[Vertex]:[Top Word Pairs in Tweet by Salience]],0),FALSE)</f>
        <v>61</v>
      </c>
    </row>
    <row r="323" spans="1:3" ht="15">
      <c r="A323" s="76" t="s">
        <v>3231</v>
      </c>
      <c r="B323" s="80" t="s">
        <v>464</v>
      </c>
      <c r="C323" s="75">
        <f>VLOOKUP(GroupVertices[[#This Row],[Vertex]],Vertices[],MATCH("ID",Vertices[[#Headers],[Vertex]:[Top Word Pairs in Tweet by Salience]],0),FALSE)</f>
        <v>62</v>
      </c>
    </row>
    <row r="324" spans="1:3" ht="15">
      <c r="A324" s="76" t="s">
        <v>3232</v>
      </c>
      <c r="B324" s="80" t="s">
        <v>276</v>
      </c>
      <c r="C324" s="75">
        <f>VLOOKUP(GroupVertices[[#This Row],[Vertex]],Vertices[],MATCH("ID",Vertices[[#Headers],[Vertex]:[Top Word Pairs in Tweet by Salience]],0),FALSE)</f>
        <v>59</v>
      </c>
    </row>
    <row r="325" spans="1:3" ht="15">
      <c r="A325" s="76" t="s">
        <v>3232</v>
      </c>
      <c r="B325" s="80" t="s">
        <v>463</v>
      </c>
      <c r="C325" s="75">
        <f>VLOOKUP(GroupVertices[[#This Row],[Vertex]],Vertices[],MATCH("ID",Vertices[[#Headers],[Vertex]:[Top Word Pairs in Tweet by Salience]],0),FALSE)</f>
        <v>60</v>
      </c>
    </row>
    <row r="326" spans="1:3" ht="15">
      <c r="A326" s="76" t="s">
        <v>3233</v>
      </c>
      <c r="B326" s="80" t="s">
        <v>261</v>
      </c>
      <c r="C326" s="75">
        <f>VLOOKUP(GroupVertices[[#This Row],[Vertex]],Vertices[],MATCH("ID",Vertices[[#Headers],[Vertex]:[Top Word Pairs in Tweet by Salience]],0),FALSE)</f>
        <v>16</v>
      </c>
    </row>
    <row r="327" spans="1:3" ht="15">
      <c r="A327" s="76" t="s">
        <v>3233</v>
      </c>
      <c r="B327" s="80" t="s">
        <v>435</v>
      </c>
      <c r="C327" s="75">
        <f>VLOOKUP(GroupVertices[[#This Row],[Vertex]],Vertices[],MATCH("ID",Vertices[[#Headers],[Vertex]:[Top Word Pairs in Tweet by Salience]],0),FALSE)</f>
        <v>17</v>
      </c>
    </row>
    <row r="328" spans="1:3" ht="15">
      <c r="A328" s="76" t="s">
        <v>3234</v>
      </c>
      <c r="B328" s="80" t="s">
        <v>304</v>
      </c>
      <c r="C328" s="75">
        <f>VLOOKUP(GroupVertices[[#This Row],[Vertex]],Vertices[],MATCH("ID",Vertices[[#Headers],[Vertex]:[Top Word Pairs in Tweet by Salience]],0),FALSE)</f>
        <v>11</v>
      </c>
    </row>
    <row r="329" spans="1:3" ht="15">
      <c r="A329" s="76" t="s">
        <v>3234</v>
      </c>
      <c r="B329" s="80" t="s">
        <v>259</v>
      </c>
      <c r="C329" s="75">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329"/>
    <dataValidation allowBlank="1" showInputMessage="1" showErrorMessage="1" promptTitle="Vertex Name" prompt="Enter the name of a vertex to include in the group." sqref="B2:B329"/>
    <dataValidation allowBlank="1" showInputMessage="1" promptTitle="Vertex ID" prompt="This is the value of the hidden ID cell in the Vertices worksheet.  It gets filled in by the items on the NodeXL, Analysis, Groups menu." sqref="C2:C32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3923</v>
      </c>
      <c r="B2" s="31" t="s">
        <v>3174</v>
      </c>
      <c r="D2" s="29">
        <f>MIN(Vertices[Degree])</f>
        <v>0</v>
      </c>
      <c r="E2">
        <f>COUNTIF(Vertices[Degree],"&gt;= "&amp;D2)-COUNTIF(Vertices[Degree],"&gt;="&amp;D3)</f>
        <v>0</v>
      </c>
      <c r="F2" s="34">
        <f>MIN(Vertices[In-Degree])</f>
        <v>0</v>
      </c>
      <c r="G2" s="35">
        <f>COUNTIF(Vertices[In-Degree],"&gt;= "&amp;F2)-COUNTIF(Vertices[In-Degree],"&gt;="&amp;F3)</f>
        <v>119</v>
      </c>
      <c r="H2" s="34">
        <f>MIN(Vertices[Out-Degree])</f>
        <v>0</v>
      </c>
      <c r="I2" s="35">
        <f>COUNTIF(Vertices[Out-Degree],"&gt;= "&amp;H2)-COUNTIF(Vertices[Out-Degree],"&gt;="&amp;H3)</f>
        <v>155</v>
      </c>
      <c r="J2" s="34">
        <f>MIN(Vertices[Betweenness Centrality])</f>
        <v>0</v>
      </c>
      <c r="K2" s="35">
        <f>COUNTIF(Vertices[Betweenness Centrality],"&gt;= "&amp;J2)-COUNTIF(Vertices[Betweenness Centrality],"&gt;="&amp;J3)</f>
        <v>302</v>
      </c>
      <c r="L2" s="34">
        <f>MIN(Vertices[Closeness Centrality])</f>
        <v>0</v>
      </c>
      <c r="M2" s="35">
        <f>COUNTIF(Vertices[Closeness Centrality],"&gt;= "&amp;L2)-COUNTIF(Vertices[Closeness Centrality],"&gt;="&amp;L3)</f>
        <v>66</v>
      </c>
      <c r="N2" s="34">
        <f>MIN(Vertices[Eigenvector Centrality])</f>
        <v>0</v>
      </c>
      <c r="O2" s="35">
        <f>COUNTIF(Vertices[Eigenvector Centrality],"&gt;= "&amp;N2)-COUNTIF(Vertices[Eigenvector Centrality],"&gt;="&amp;N3)</f>
        <v>254</v>
      </c>
      <c r="P2" s="34">
        <f>MIN(Vertices[PageRank])</f>
        <v>0.002652</v>
      </c>
      <c r="Q2" s="35">
        <f>COUNTIF(Vertices[PageRank],"&gt;= "&amp;P2)-COUNTIF(Vertices[PageRank],"&gt;="&amp;P3)</f>
        <v>193</v>
      </c>
      <c r="R2" s="34">
        <f>MIN(Vertices[Clustering Coefficient])</f>
        <v>0</v>
      </c>
      <c r="S2" s="40">
        <f>COUNTIF(Vertices[Clustering Coefficient],"&gt;= "&amp;R2)-COUNTIF(Vertices[Clustering Coefficient],"&gt;="&amp;R3)</f>
        <v>292</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09"/>
      <c r="B3" s="109"/>
      <c r="D3" s="29">
        <f aca="true" t="shared" si="1" ref="D3:D35">D2+($D$36-$D$2)/BinDivisor</f>
        <v>0</v>
      </c>
      <c r="E3">
        <f>COUNTIF(Vertices[Degree],"&gt;= "&amp;D3)-COUNTIF(Vertices[Degree],"&gt;="&amp;D4)</f>
        <v>0</v>
      </c>
      <c r="F3" s="36">
        <f aca="true" t="shared" si="2" ref="F3:F35">F2+($F$36-$F$2)/BinDivisor</f>
        <v>0.5</v>
      </c>
      <c r="G3" s="37">
        <f>COUNTIF(Vertices[In-Degree],"&gt;= "&amp;F3)-COUNTIF(Vertices[In-Degree],"&gt;="&amp;F4)</f>
        <v>0</v>
      </c>
      <c r="H3" s="36">
        <f aca="true" t="shared" si="3" ref="H3:H35">H2+($H$36-$H$2)/BinDivisor</f>
        <v>0.6176470588235294</v>
      </c>
      <c r="I3" s="37">
        <f>COUNTIF(Vertices[Out-Degree],"&gt;= "&amp;H3)-COUNTIF(Vertices[Out-Degree],"&gt;="&amp;H4)</f>
        <v>123</v>
      </c>
      <c r="J3" s="36">
        <f aca="true" t="shared" si="4" ref="J3:J35">J2+($J$36-$J$2)/BinDivisor</f>
        <v>132.30382820588235</v>
      </c>
      <c r="K3" s="37">
        <f>COUNTIF(Vertices[Betweenness Centrality],"&gt;= "&amp;J3)-COUNTIF(Vertices[Betweenness Centrality],"&gt;="&amp;J4)</f>
        <v>6</v>
      </c>
      <c r="L3" s="36">
        <f aca="true" t="shared" si="5" ref="L3:L35">L2+($L$36-$L$2)/BinDivisor</f>
        <v>0.003478735294117647</v>
      </c>
      <c r="M3" s="37">
        <f>COUNTIF(Vertices[Closeness Centrality],"&gt;= "&amp;L3)-COUNTIF(Vertices[Closeness Centrality],"&gt;="&amp;L4)</f>
        <v>51</v>
      </c>
      <c r="N3" s="36">
        <f aca="true" t="shared" si="6" ref="N3:N35">N2+($N$36-$N$2)/BinDivisor</f>
        <v>0.018503617647058823</v>
      </c>
      <c r="O3" s="37">
        <f>COUNTIF(Vertices[Eigenvector Centrality],"&gt;= "&amp;N3)-COUNTIF(Vertices[Eigenvector Centrality],"&gt;="&amp;N4)</f>
        <v>31</v>
      </c>
      <c r="P3" s="36">
        <f aca="true" t="shared" si="7" ref="P3:P35">P2+($P$36-$P$2)/BinDivisor</f>
        <v>0.002856970588235294</v>
      </c>
      <c r="Q3" s="37">
        <f>COUNTIF(Vertices[PageRank],"&gt;= "&amp;P3)-COUNTIF(Vertices[PageRank],"&gt;="&amp;P4)</f>
        <v>79</v>
      </c>
      <c r="R3" s="36">
        <f aca="true" t="shared" si="8" ref="R3:R35">R2+($R$36-$R$2)/BinDivisor</f>
        <v>0.0196078431372549</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328</v>
      </c>
      <c r="D4" s="29">
        <f t="shared" si="1"/>
        <v>0</v>
      </c>
      <c r="E4">
        <f>COUNTIF(Vertices[Degree],"&gt;= "&amp;D4)-COUNTIF(Vertices[Degree],"&gt;="&amp;D5)</f>
        <v>0</v>
      </c>
      <c r="F4" s="34">
        <f t="shared" si="2"/>
        <v>1</v>
      </c>
      <c r="G4" s="35">
        <f>COUNTIF(Vertices[In-Degree],"&gt;= "&amp;F4)-COUNTIF(Vertices[In-Degree],"&gt;="&amp;F5)</f>
        <v>165</v>
      </c>
      <c r="H4" s="34">
        <f t="shared" si="3"/>
        <v>1.2352941176470589</v>
      </c>
      <c r="I4" s="35">
        <f>COUNTIF(Vertices[Out-Degree],"&gt;= "&amp;H4)-COUNTIF(Vertices[Out-Degree],"&gt;="&amp;H5)</f>
        <v>0</v>
      </c>
      <c r="J4" s="34">
        <f t="shared" si="4"/>
        <v>264.6076564117647</v>
      </c>
      <c r="K4" s="35">
        <f>COUNTIF(Vertices[Betweenness Centrality],"&gt;= "&amp;J4)-COUNTIF(Vertices[Betweenness Centrality],"&gt;="&amp;J5)</f>
        <v>2</v>
      </c>
      <c r="L4" s="34">
        <f t="shared" si="5"/>
        <v>0.006957470588235294</v>
      </c>
      <c r="M4" s="35">
        <f>COUNTIF(Vertices[Closeness Centrality],"&gt;= "&amp;L4)-COUNTIF(Vertices[Closeness Centrality],"&gt;="&amp;L5)</f>
        <v>42</v>
      </c>
      <c r="N4" s="34">
        <f t="shared" si="6"/>
        <v>0.037007235294117646</v>
      </c>
      <c r="O4" s="35">
        <f>COUNTIF(Vertices[Eigenvector Centrality],"&gt;= "&amp;N4)-COUNTIF(Vertices[Eigenvector Centrality],"&gt;="&amp;N5)</f>
        <v>9</v>
      </c>
      <c r="P4" s="34">
        <f t="shared" si="7"/>
        <v>0.0030619411764705885</v>
      </c>
      <c r="Q4" s="35">
        <f>COUNTIF(Vertices[PageRank],"&gt;= "&amp;P4)-COUNTIF(Vertices[PageRank],"&gt;="&amp;P5)</f>
        <v>15</v>
      </c>
      <c r="R4" s="34">
        <f t="shared" si="8"/>
        <v>0.0392156862745098</v>
      </c>
      <c r="S4" s="40">
        <f>COUNTIF(Vertices[Clustering Coefficient],"&gt;= "&amp;R4)-COUNTIF(Vertices[Clustering Coefficient],"&gt;="&amp;R5)</f>
        <v>0</v>
      </c>
      <c r="T4" s="34" t="e">
        <f ca="1" t="shared" si="9"/>
        <v>#REF!</v>
      </c>
      <c r="U4" s="35" t="e">
        <f ca="1" t="shared" si="0"/>
        <v>#REF!</v>
      </c>
      <c r="W4" t="s">
        <v>126</v>
      </c>
      <c r="X4" t="s">
        <v>128</v>
      </c>
    </row>
    <row r="5" spans="1:21" ht="15">
      <c r="A5" s="109"/>
      <c r="B5" s="109"/>
      <c r="D5" s="29">
        <f t="shared" si="1"/>
        <v>0</v>
      </c>
      <c r="E5">
        <f>COUNTIF(Vertices[Degree],"&gt;= "&amp;D5)-COUNTIF(Vertices[Degree],"&gt;="&amp;D6)</f>
        <v>0</v>
      </c>
      <c r="F5" s="36">
        <f t="shared" si="2"/>
        <v>1.5</v>
      </c>
      <c r="G5" s="37">
        <f>COUNTIF(Vertices[In-Degree],"&gt;= "&amp;F5)-COUNTIF(Vertices[In-Degree],"&gt;="&amp;F6)</f>
        <v>0</v>
      </c>
      <c r="H5" s="36">
        <f t="shared" si="3"/>
        <v>1.8529411764705883</v>
      </c>
      <c r="I5" s="37">
        <f>COUNTIF(Vertices[Out-Degree],"&gt;= "&amp;H5)-COUNTIF(Vertices[Out-Degree],"&gt;="&amp;H6)</f>
        <v>16</v>
      </c>
      <c r="J5" s="36">
        <f t="shared" si="4"/>
        <v>396.91148461764703</v>
      </c>
      <c r="K5" s="37">
        <f>COUNTIF(Vertices[Betweenness Centrality],"&gt;= "&amp;J5)-COUNTIF(Vertices[Betweenness Centrality],"&gt;="&amp;J6)</f>
        <v>4</v>
      </c>
      <c r="L5" s="36">
        <f t="shared" si="5"/>
        <v>0.010436205882352941</v>
      </c>
      <c r="M5" s="37">
        <f>COUNTIF(Vertices[Closeness Centrality],"&gt;= "&amp;L5)-COUNTIF(Vertices[Closeness Centrality],"&gt;="&amp;L6)</f>
        <v>12</v>
      </c>
      <c r="N5" s="36">
        <f t="shared" si="6"/>
        <v>0.05551085294117647</v>
      </c>
      <c r="O5" s="37">
        <f>COUNTIF(Vertices[Eigenvector Centrality],"&gt;= "&amp;N5)-COUNTIF(Vertices[Eigenvector Centrality],"&gt;="&amp;N6)</f>
        <v>5</v>
      </c>
      <c r="P5" s="36">
        <f t="shared" si="7"/>
        <v>0.0032669117647058828</v>
      </c>
      <c r="Q5" s="37">
        <f>COUNTIF(Vertices[PageRank],"&gt;= "&amp;P5)-COUNTIF(Vertices[PageRank],"&gt;="&amp;P6)</f>
        <v>11</v>
      </c>
      <c r="R5" s="36">
        <f t="shared" si="8"/>
        <v>0.058823529411764705</v>
      </c>
      <c r="S5" s="41">
        <f>COUNTIF(Vertices[Clustering Coefficient],"&gt;= "&amp;R5)-COUNTIF(Vertices[Clustering Coefficient],"&gt;="&amp;R6)</f>
        <v>1</v>
      </c>
      <c r="T5" s="36" t="e">
        <f ca="1" t="shared" si="9"/>
        <v>#REF!</v>
      </c>
      <c r="U5" s="37" t="e">
        <f ca="1" t="shared" si="0"/>
        <v>#REF!</v>
      </c>
    </row>
    <row r="6" spans="1:21" ht="15">
      <c r="A6" s="31" t="s">
        <v>148</v>
      </c>
      <c r="B6" s="31">
        <v>302</v>
      </c>
      <c r="D6" s="29">
        <f t="shared" si="1"/>
        <v>0</v>
      </c>
      <c r="E6">
        <f>COUNTIF(Vertices[Degree],"&gt;= "&amp;D6)-COUNTIF(Vertices[Degree],"&gt;="&amp;D7)</f>
        <v>0</v>
      </c>
      <c r="F6" s="34">
        <f t="shared" si="2"/>
        <v>2</v>
      </c>
      <c r="G6" s="35">
        <f>COUNTIF(Vertices[In-Degree],"&gt;= "&amp;F6)-COUNTIF(Vertices[In-Degree],"&gt;="&amp;F7)</f>
        <v>20</v>
      </c>
      <c r="H6" s="34">
        <f t="shared" si="3"/>
        <v>2.4705882352941178</v>
      </c>
      <c r="I6" s="35">
        <f>COUNTIF(Vertices[Out-Degree],"&gt;= "&amp;H6)-COUNTIF(Vertices[Out-Degree],"&gt;="&amp;H7)</f>
        <v>18</v>
      </c>
      <c r="J6" s="34">
        <f t="shared" si="4"/>
        <v>529.2153128235294</v>
      </c>
      <c r="K6" s="35">
        <f>COUNTIF(Vertices[Betweenness Centrality],"&gt;= "&amp;J6)-COUNTIF(Vertices[Betweenness Centrality],"&gt;="&amp;J7)</f>
        <v>2</v>
      </c>
      <c r="L6" s="34">
        <f t="shared" si="5"/>
        <v>0.013914941176470588</v>
      </c>
      <c r="M6" s="35">
        <f>COUNTIF(Vertices[Closeness Centrality],"&gt;= "&amp;L6)-COUNTIF(Vertices[Closeness Centrality],"&gt;="&amp;L7)</f>
        <v>18</v>
      </c>
      <c r="N6" s="34">
        <f t="shared" si="6"/>
        <v>0.07401447058823529</v>
      </c>
      <c r="O6" s="35">
        <f>COUNTIF(Vertices[Eigenvector Centrality],"&gt;= "&amp;N6)-COUNTIF(Vertices[Eigenvector Centrality],"&gt;="&amp;N7)</f>
        <v>2</v>
      </c>
      <c r="P6" s="34">
        <f t="shared" si="7"/>
        <v>0.003471882352941177</v>
      </c>
      <c r="Q6" s="35">
        <f>COUNTIF(Vertices[PageRank],"&gt;= "&amp;P6)-COUNTIF(Vertices[PageRank],"&gt;="&amp;P7)</f>
        <v>3</v>
      </c>
      <c r="R6" s="34">
        <f t="shared" si="8"/>
        <v>0.0784313725490196</v>
      </c>
      <c r="S6" s="40">
        <f>COUNTIF(Vertices[Clustering Coefficient],"&gt;= "&amp;R6)-COUNTIF(Vertices[Clustering Coefficient],"&gt;="&amp;R7)</f>
        <v>2</v>
      </c>
      <c r="T6" s="34" t="e">
        <f ca="1" t="shared" si="9"/>
        <v>#REF!</v>
      </c>
      <c r="U6" s="35" t="e">
        <f ca="1" t="shared" si="0"/>
        <v>#REF!</v>
      </c>
    </row>
    <row r="7" spans="1:21" ht="15">
      <c r="A7" s="31" t="s">
        <v>149</v>
      </c>
      <c r="B7" s="31">
        <v>167</v>
      </c>
      <c r="D7" s="29">
        <f t="shared" si="1"/>
        <v>0</v>
      </c>
      <c r="E7">
        <f>COUNTIF(Vertices[Degree],"&gt;= "&amp;D7)-COUNTIF(Vertices[Degree],"&gt;="&amp;D8)</f>
        <v>0</v>
      </c>
      <c r="F7" s="36">
        <f t="shared" si="2"/>
        <v>2.5</v>
      </c>
      <c r="G7" s="37">
        <f>COUNTIF(Vertices[In-Degree],"&gt;= "&amp;F7)-COUNTIF(Vertices[In-Degree],"&gt;="&amp;F8)</f>
        <v>0</v>
      </c>
      <c r="H7" s="36">
        <f t="shared" si="3"/>
        <v>3.088235294117647</v>
      </c>
      <c r="I7" s="37">
        <f>COUNTIF(Vertices[Out-Degree],"&gt;= "&amp;H7)-COUNTIF(Vertices[Out-Degree],"&gt;="&amp;H8)</f>
        <v>0</v>
      </c>
      <c r="J7" s="36">
        <f t="shared" si="4"/>
        <v>661.5191410294118</v>
      </c>
      <c r="K7" s="37">
        <f>COUNTIF(Vertices[Betweenness Centrality],"&gt;= "&amp;J7)-COUNTIF(Vertices[Betweenness Centrality],"&gt;="&amp;J8)</f>
        <v>2</v>
      </c>
      <c r="L7" s="36">
        <f t="shared" si="5"/>
        <v>0.017393676470588235</v>
      </c>
      <c r="M7" s="37">
        <f>COUNTIF(Vertices[Closeness Centrality],"&gt;= "&amp;L7)-COUNTIF(Vertices[Closeness Centrality],"&gt;="&amp;L8)</f>
        <v>2</v>
      </c>
      <c r="N7" s="36">
        <f t="shared" si="6"/>
        <v>0.09251808823529412</v>
      </c>
      <c r="O7" s="37">
        <f>COUNTIF(Vertices[Eigenvector Centrality],"&gt;= "&amp;N7)-COUNTIF(Vertices[Eigenvector Centrality],"&gt;="&amp;N8)</f>
        <v>2</v>
      </c>
      <c r="P7" s="36">
        <f t="shared" si="7"/>
        <v>0.0036768529411764714</v>
      </c>
      <c r="Q7" s="37">
        <f>COUNTIF(Vertices[PageRank],"&gt;= "&amp;P7)-COUNTIF(Vertices[PageRank],"&gt;="&amp;P8)</f>
        <v>7</v>
      </c>
      <c r="R7" s="36">
        <f t="shared" si="8"/>
        <v>0.09803921568627451</v>
      </c>
      <c r="S7" s="41">
        <f>COUNTIF(Vertices[Clustering Coefficient],"&gt;= "&amp;R7)-COUNTIF(Vertices[Clustering Coefficient],"&gt;="&amp;R8)</f>
        <v>0</v>
      </c>
      <c r="T7" s="36" t="e">
        <f ca="1" t="shared" si="9"/>
        <v>#REF!</v>
      </c>
      <c r="U7" s="37" t="e">
        <f ca="1" t="shared" si="0"/>
        <v>#REF!</v>
      </c>
    </row>
    <row r="8" spans="1:21" ht="15">
      <c r="A8" s="31" t="s">
        <v>150</v>
      </c>
      <c r="B8" s="31">
        <v>469</v>
      </c>
      <c r="D8" s="29">
        <f t="shared" si="1"/>
        <v>0</v>
      </c>
      <c r="E8">
        <f>COUNTIF(Vertices[Degree],"&gt;= "&amp;D8)-COUNTIF(Vertices[Degree],"&gt;="&amp;D9)</f>
        <v>0</v>
      </c>
      <c r="F8" s="34">
        <f t="shared" si="2"/>
        <v>3</v>
      </c>
      <c r="G8" s="35">
        <f>COUNTIF(Vertices[In-Degree],"&gt;= "&amp;F8)-COUNTIF(Vertices[In-Degree],"&gt;="&amp;F9)</f>
        <v>6</v>
      </c>
      <c r="H8" s="34">
        <f t="shared" si="3"/>
        <v>3.7058823529411766</v>
      </c>
      <c r="I8" s="35">
        <f>COUNTIF(Vertices[Out-Degree],"&gt;= "&amp;H8)-COUNTIF(Vertices[Out-Degree],"&gt;="&amp;H9)</f>
        <v>7</v>
      </c>
      <c r="J8" s="34">
        <f t="shared" si="4"/>
        <v>793.8229692352942</v>
      </c>
      <c r="K8" s="35">
        <f>COUNTIF(Vertices[Betweenness Centrality],"&gt;= "&amp;J8)-COUNTIF(Vertices[Betweenness Centrality],"&gt;="&amp;J9)</f>
        <v>0</v>
      </c>
      <c r="L8" s="34">
        <f t="shared" si="5"/>
        <v>0.020872411764705882</v>
      </c>
      <c r="M8" s="35">
        <f>COUNTIF(Vertices[Closeness Centrality],"&gt;= "&amp;L8)-COUNTIF(Vertices[Closeness Centrality],"&gt;="&amp;L9)</f>
        <v>14</v>
      </c>
      <c r="N8" s="34">
        <f t="shared" si="6"/>
        <v>0.11102170588235294</v>
      </c>
      <c r="O8" s="35">
        <f>COUNTIF(Vertices[Eigenvector Centrality],"&gt;= "&amp;N8)-COUNTIF(Vertices[Eigenvector Centrality],"&gt;="&amp;N9)</f>
        <v>16</v>
      </c>
      <c r="P8" s="34">
        <f t="shared" si="7"/>
        <v>0.0038818235294117657</v>
      </c>
      <c r="Q8" s="35">
        <f>COUNTIF(Vertices[PageRank],"&gt;= "&amp;P8)-COUNTIF(Vertices[PageRank],"&gt;="&amp;P9)</f>
        <v>5</v>
      </c>
      <c r="R8" s="34">
        <f t="shared" si="8"/>
        <v>0.11764705882352941</v>
      </c>
      <c r="S8" s="40">
        <f>COUNTIF(Vertices[Clustering Coefficient],"&gt;= "&amp;R8)-COUNTIF(Vertices[Clustering Coefficient],"&gt;="&amp;R9)</f>
        <v>0</v>
      </c>
      <c r="T8" s="34" t="e">
        <f ca="1" t="shared" si="9"/>
        <v>#REF!</v>
      </c>
      <c r="U8" s="35" t="e">
        <f ca="1" t="shared" si="0"/>
        <v>#REF!</v>
      </c>
    </row>
    <row r="9" spans="1:21" ht="15">
      <c r="A9" s="109"/>
      <c r="B9" s="109"/>
      <c r="D9" s="29">
        <f t="shared" si="1"/>
        <v>0</v>
      </c>
      <c r="E9">
        <f>COUNTIF(Vertices[Degree],"&gt;= "&amp;D9)-COUNTIF(Vertices[Degree],"&gt;="&amp;D10)</f>
        <v>0</v>
      </c>
      <c r="F9" s="36">
        <f t="shared" si="2"/>
        <v>3.5</v>
      </c>
      <c r="G9" s="37">
        <f>COUNTIF(Vertices[In-Degree],"&gt;= "&amp;F9)-COUNTIF(Vertices[In-Degree],"&gt;="&amp;F10)</f>
        <v>0</v>
      </c>
      <c r="H9" s="36">
        <f t="shared" si="3"/>
        <v>4.3235294117647065</v>
      </c>
      <c r="I9" s="37">
        <f>COUNTIF(Vertices[Out-Degree],"&gt;= "&amp;H9)-COUNTIF(Vertices[Out-Degree],"&gt;="&amp;H10)</f>
        <v>0</v>
      </c>
      <c r="J9" s="36">
        <f t="shared" si="4"/>
        <v>926.1267974411766</v>
      </c>
      <c r="K9" s="37">
        <f>COUNTIF(Vertices[Betweenness Centrality],"&gt;= "&amp;J9)-COUNTIF(Vertices[Betweenness Centrality],"&gt;="&amp;J10)</f>
        <v>1</v>
      </c>
      <c r="L9" s="36">
        <f t="shared" si="5"/>
        <v>0.02435114705882353</v>
      </c>
      <c r="M9" s="37">
        <f>COUNTIF(Vertices[Closeness Centrality],"&gt;= "&amp;L9)-COUNTIF(Vertices[Closeness Centrality],"&gt;="&amp;L10)</f>
        <v>18</v>
      </c>
      <c r="N9" s="36">
        <f t="shared" si="6"/>
        <v>0.12952532352941176</v>
      </c>
      <c r="O9" s="37">
        <f>COUNTIF(Vertices[Eigenvector Centrality],"&gt;= "&amp;N9)-COUNTIF(Vertices[Eigenvector Centrality],"&gt;="&amp;N10)</f>
        <v>1</v>
      </c>
      <c r="P9" s="36">
        <f t="shared" si="7"/>
        <v>0.00408679411764706</v>
      </c>
      <c r="Q9" s="37">
        <f>COUNTIF(Vertices[PageRank],"&gt;= "&amp;P9)-COUNTIF(Vertices[PageRank],"&gt;="&amp;P10)</f>
        <v>1</v>
      </c>
      <c r="R9" s="36">
        <f t="shared" si="8"/>
        <v>0.13725490196078433</v>
      </c>
      <c r="S9" s="41">
        <f>COUNTIF(Vertices[Clustering Coefficient],"&gt;= "&amp;R9)-COUNTIF(Vertices[Clustering Coefficient],"&gt;="&amp;R10)</f>
        <v>0</v>
      </c>
      <c r="T9" s="36" t="e">
        <f ca="1" t="shared" si="9"/>
        <v>#REF!</v>
      </c>
      <c r="U9" s="37" t="e">
        <f ca="1" t="shared" si="0"/>
        <v>#REF!</v>
      </c>
    </row>
    <row r="10" spans="1:21" ht="15">
      <c r="A10" s="31" t="s">
        <v>3924</v>
      </c>
      <c r="B10" s="31">
        <v>5</v>
      </c>
      <c r="D10" s="29">
        <f t="shared" si="1"/>
        <v>0</v>
      </c>
      <c r="E10">
        <f>COUNTIF(Vertices[Degree],"&gt;= "&amp;D10)-COUNTIF(Vertices[Degree],"&gt;="&amp;D11)</f>
        <v>0</v>
      </c>
      <c r="F10" s="34">
        <f t="shared" si="2"/>
        <v>4</v>
      </c>
      <c r="G10" s="35">
        <f>COUNTIF(Vertices[In-Degree],"&gt;= "&amp;F10)-COUNTIF(Vertices[In-Degree],"&gt;="&amp;F11)</f>
        <v>7</v>
      </c>
      <c r="H10" s="34">
        <f t="shared" si="3"/>
        <v>4.9411764705882355</v>
      </c>
      <c r="I10" s="35">
        <f>COUNTIF(Vertices[Out-Degree],"&gt;= "&amp;H10)-COUNTIF(Vertices[Out-Degree],"&gt;="&amp;H11)</f>
        <v>0</v>
      </c>
      <c r="J10" s="34">
        <f t="shared" si="4"/>
        <v>1058.4306256470588</v>
      </c>
      <c r="K10" s="35">
        <f>COUNTIF(Vertices[Betweenness Centrality],"&gt;= "&amp;J10)-COUNTIF(Vertices[Betweenness Centrality],"&gt;="&amp;J11)</f>
        <v>0</v>
      </c>
      <c r="L10" s="34">
        <f t="shared" si="5"/>
        <v>0.027829882352941177</v>
      </c>
      <c r="M10" s="35">
        <f>COUNTIF(Vertices[Closeness Centrality],"&gt;= "&amp;L10)-COUNTIF(Vertices[Closeness Centrality],"&gt;="&amp;L11)</f>
        <v>0</v>
      </c>
      <c r="N10" s="34">
        <f t="shared" si="6"/>
        <v>0.14802894117647059</v>
      </c>
      <c r="O10" s="35">
        <f>COUNTIF(Vertices[Eigenvector Centrality],"&gt;= "&amp;N10)-COUNTIF(Vertices[Eigenvector Centrality],"&gt;="&amp;N11)</f>
        <v>1</v>
      </c>
      <c r="P10" s="34">
        <f t="shared" si="7"/>
        <v>0.004291764705882354</v>
      </c>
      <c r="Q10" s="35">
        <f>COUNTIF(Vertices[PageRank],"&gt;= "&amp;P10)-COUNTIF(Vertices[PageRank],"&gt;="&amp;P11)</f>
        <v>2</v>
      </c>
      <c r="R10" s="34">
        <f t="shared" si="8"/>
        <v>0.1568627450980392</v>
      </c>
      <c r="S10" s="40">
        <f>COUNTIF(Vertices[Clustering Coefficient],"&gt;= "&amp;R10)-COUNTIF(Vertices[Clustering Coefficient],"&gt;="&amp;R11)</f>
        <v>2</v>
      </c>
      <c r="T10" s="34" t="e">
        <f ca="1" t="shared" si="9"/>
        <v>#REF!</v>
      </c>
      <c r="U10" s="35" t="e">
        <f ca="1" t="shared" si="0"/>
        <v>#REF!</v>
      </c>
    </row>
    <row r="11" spans="1:21" ht="15">
      <c r="A11" s="109"/>
      <c r="B11" s="109"/>
      <c r="D11" s="29">
        <f t="shared" si="1"/>
        <v>0</v>
      </c>
      <c r="E11">
        <f>COUNTIF(Vertices[Degree],"&gt;= "&amp;D11)-COUNTIF(Vertices[Degree],"&gt;="&amp;D12)</f>
        <v>0</v>
      </c>
      <c r="F11" s="36">
        <f t="shared" si="2"/>
        <v>4.5</v>
      </c>
      <c r="G11" s="37">
        <f>COUNTIF(Vertices[In-Degree],"&gt;= "&amp;F11)-COUNTIF(Vertices[In-Degree],"&gt;="&amp;F12)</f>
        <v>0</v>
      </c>
      <c r="H11" s="36">
        <f t="shared" si="3"/>
        <v>5.5588235294117645</v>
      </c>
      <c r="I11" s="37">
        <f>COUNTIF(Vertices[Out-Degree],"&gt;= "&amp;H11)-COUNTIF(Vertices[Out-Degree],"&gt;="&amp;H12)</f>
        <v>2</v>
      </c>
      <c r="J11" s="36">
        <f t="shared" si="4"/>
        <v>1190.7344538529412</v>
      </c>
      <c r="K11" s="37">
        <f>COUNTIF(Vertices[Betweenness Centrality],"&gt;= "&amp;J11)-COUNTIF(Vertices[Betweenness Centrality],"&gt;="&amp;J12)</f>
        <v>1</v>
      </c>
      <c r="L11" s="36">
        <f t="shared" si="5"/>
        <v>0.03130861764705882</v>
      </c>
      <c r="M11" s="37">
        <f>COUNTIF(Vertices[Closeness Centrality],"&gt;= "&amp;L11)-COUNTIF(Vertices[Closeness Centrality],"&gt;="&amp;L12)</f>
        <v>0</v>
      </c>
      <c r="N11" s="36">
        <f t="shared" si="6"/>
        <v>0.1665325588235294</v>
      </c>
      <c r="O11" s="37">
        <f>COUNTIF(Vertices[Eigenvector Centrality],"&gt;= "&amp;N11)-COUNTIF(Vertices[Eigenvector Centrality],"&gt;="&amp;N12)</f>
        <v>2</v>
      </c>
      <c r="P11" s="36">
        <f t="shared" si="7"/>
        <v>0.004496735294117649</v>
      </c>
      <c r="Q11" s="37">
        <f>COUNTIF(Vertices[PageRank],"&gt;= "&amp;P11)-COUNTIF(Vertices[PageRank],"&gt;="&amp;P12)</f>
        <v>0</v>
      </c>
      <c r="R11" s="36">
        <f t="shared" si="8"/>
        <v>0.1764705882352941</v>
      </c>
      <c r="S11" s="41">
        <f>COUNTIF(Vertices[Clustering Coefficient],"&gt;= "&amp;R11)-COUNTIF(Vertices[Clustering Coefficient],"&gt;="&amp;R12)</f>
        <v>0</v>
      </c>
      <c r="T11" s="36" t="e">
        <f ca="1" t="shared" si="9"/>
        <v>#REF!</v>
      </c>
      <c r="U11" s="37" t="e">
        <f ca="1" t="shared" si="0"/>
        <v>#REF!</v>
      </c>
    </row>
    <row r="12" spans="1:21" ht="15">
      <c r="A12" s="31" t="s">
        <v>219</v>
      </c>
      <c r="B12" s="31">
        <v>122</v>
      </c>
      <c r="D12" s="29">
        <f t="shared" si="1"/>
        <v>0</v>
      </c>
      <c r="E12">
        <f>COUNTIF(Vertices[Degree],"&gt;= "&amp;D12)-COUNTIF(Vertices[Degree],"&gt;="&amp;D13)</f>
        <v>0</v>
      </c>
      <c r="F12" s="34">
        <f t="shared" si="2"/>
        <v>5</v>
      </c>
      <c r="G12" s="35">
        <f>COUNTIF(Vertices[In-Degree],"&gt;= "&amp;F12)-COUNTIF(Vertices[In-Degree],"&gt;="&amp;F13)</f>
        <v>6</v>
      </c>
      <c r="H12" s="34">
        <f t="shared" si="3"/>
        <v>6.1764705882352935</v>
      </c>
      <c r="I12" s="35">
        <f>COUNTIF(Vertices[Out-Degree],"&gt;= "&amp;H12)-COUNTIF(Vertices[Out-Degree],"&gt;="&amp;H13)</f>
        <v>0</v>
      </c>
      <c r="J12" s="34">
        <f t="shared" si="4"/>
        <v>1323.0382820588236</v>
      </c>
      <c r="K12" s="35">
        <f>COUNTIF(Vertices[Betweenness Centrality],"&gt;= "&amp;J12)-COUNTIF(Vertices[Betweenness Centrality],"&gt;="&amp;J13)</f>
        <v>0</v>
      </c>
      <c r="L12" s="34">
        <f t="shared" si="5"/>
        <v>0.034787352941176464</v>
      </c>
      <c r="M12" s="35">
        <f>COUNTIF(Vertices[Closeness Centrality],"&gt;= "&amp;L12)-COUNTIF(Vertices[Closeness Centrality],"&gt;="&amp;L13)</f>
        <v>0</v>
      </c>
      <c r="N12" s="34">
        <f t="shared" si="6"/>
        <v>0.18503617647058823</v>
      </c>
      <c r="O12" s="35">
        <f>COUNTIF(Vertices[Eigenvector Centrality],"&gt;= "&amp;N12)-COUNTIF(Vertices[Eigenvector Centrality],"&gt;="&amp;N13)</f>
        <v>0</v>
      </c>
      <c r="P12" s="34">
        <f t="shared" si="7"/>
        <v>0.004701705882352943</v>
      </c>
      <c r="Q12" s="35">
        <f>COUNTIF(Vertices[PageRank],"&gt;= "&amp;P12)-COUNTIF(Vertices[PageRank],"&gt;="&amp;P13)</f>
        <v>1</v>
      </c>
      <c r="R12" s="34">
        <f t="shared" si="8"/>
        <v>0.196078431372549</v>
      </c>
      <c r="S12" s="40">
        <f>COUNTIF(Vertices[Clustering Coefficient],"&gt;= "&amp;R12)-COUNTIF(Vertices[Clustering Coefficient],"&gt;="&amp;R13)</f>
        <v>3</v>
      </c>
      <c r="T12" s="34" t="e">
        <f ca="1" t="shared" si="9"/>
        <v>#REF!</v>
      </c>
      <c r="U12" s="35" t="e">
        <f ca="1" t="shared" si="0"/>
        <v>#REF!</v>
      </c>
    </row>
    <row r="13" spans="1:21" ht="15">
      <c r="A13" s="31" t="s">
        <v>587</v>
      </c>
      <c r="B13" s="31">
        <v>118</v>
      </c>
      <c r="D13" s="29">
        <f t="shared" si="1"/>
        <v>0</v>
      </c>
      <c r="E13">
        <f>COUNTIF(Vertices[Degree],"&gt;= "&amp;D13)-COUNTIF(Vertices[Degree],"&gt;="&amp;D14)</f>
        <v>0</v>
      </c>
      <c r="F13" s="36">
        <f t="shared" si="2"/>
        <v>5.5</v>
      </c>
      <c r="G13" s="37">
        <f>COUNTIF(Vertices[In-Degree],"&gt;= "&amp;F13)-COUNTIF(Vertices[In-Degree],"&gt;="&amp;F14)</f>
        <v>0</v>
      </c>
      <c r="H13" s="36">
        <f t="shared" si="3"/>
        <v>6.7941176470588225</v>
      </c>
      <c r="I13" s="37">
        <f>COUNTIF(Vertices[Out-Degree],"&gt;= "&amp;H13)-COUNTIF(Vertices[Out-Degree],"&gt;="&amp;H14)</f>
        <v>0</v>
      </c>
      <c r="J13" s="36">
        <f t="shared" si="4"/>
        <v>1455.342110264706</v>
      </c>
      <c r="K13" s="37">
        <f>COUNTIF(Vertices[Betweenness Centrality],"&gt;= "&amp;J13)-COUNTIF(Vertices[Betweenness Centrality],"&gt;="&amp;J14)</f>
        <v>0</v>
      </c>
      <c r="L13" s="36">
        <f t="shared" si="5"/>
        <v>0.03826608823529411</v>
      </c>
      <c r="M13" s="37">
        <f>COUNTIF(Vertices[Closeness Centrality],"&gt;= "&amp;L13)-COUNTIF(Vertices[Closeness Centrality],"&gt;="&amp;L14)</f>
        <v>1</v>
      </c>
      <c r="N13" s="36">
        <f t="shared" si="6"/>
        <v>0.20353979411764705</v>
      </c>
      <c r="O13" s="37">
        <f>COUNTIF(Vertices[Eigenvector Centrality],"&gt;= "&amp;N13)-COUNTIF(Vertices[Eigenvector Centrality],"&gt;="&amp;N14)</f>
        <v>2</v>
      </c>
      <c r="P13" s="36">
        <f t="shared" si="7"/>
        <v>0.004906676470588237</v>
      </c>
      <c r="Q13" s="37">
        <f>COUNTIF(Vertices[PageRank],"&gt;= "&amp;P13)-COUNTIF(Vertices[PageRank],"&gt;="&amp;P14)</f>
        <v>1</v>
      </c>
      <c r="R13" s="36">
        <f t="shared" si="8"/>
        <v>0.21568627450980388</v>
      </c>
      <c r="S13" s="41">
        <f>COUNTIF(Vertices[Clustering Coefficient],"&gt;= "&amp;R13)-COUNTIF(Vertices[Clustering Coefficient],"&gt;="&amp;R14)</f>
        <v>0</v>
      </c>
      <c r="T13" s="36" t="e">
        <f ca="1" t="shared" si="9"/>
        <v>#REF!</v>
      </c>
      <c r="U13" s="37" t="e">
        <f ca="1" t="shared" si="0"/>
        <v>#REF!</v>
      </c>
    </row>
    <row r="14" spans="1:21" ht="15">
      <c r="A14" s="31" t="s">
        <v>588</v>
      </c>
      <c r="B14" s="31">
        <v>107</v>
      </c>
      <c r="D14" s="29">
        <f t="shared" si="1"/>
        <v>0</v>
      </c>
      <c r="E14">
        <f>COUNTIF(Vertices[Degree],"&gt;= "&amp;D14)-COUNTIF(Vertices[Degree],"&gt;="&amp;D15)</f>
        <v>0</v>
      </c>
      <c r="F14" s="34">
        <f t="shared" si="2"/>
        <v>6</v>
      </c>
      <c r="G14" s="35">
        <f>COUNTIF(Vertices[In-Degree],"&gt;= "&amp;F14)-COUNTIF(Vertices[In-Degree],"&gt;="&amp;F15)</f>
        <v>2</v>
      </c>
      <c r="H14" s="34">
        <f t="shared" si="3"/>
        <v>7.4117647058823515</v>
      </c>
      <c r="I14" s="35">
        <f>COUNTIF(Vertices[Out-Degree],"&gt;= "&amp;H14)-COUNTIF(Vertices[Out-Degree],"&gt;="&amp;H15)</f>
        <v>0</v>
      </c>
      <c r="J14" s="34">
        <f t="shared" si="4"/>
        <v>1587.6459384705884</v>
      </c>
      <c r="K14" s="35">
        <f>COUNTIF(Vertices[Betweenness Centrality],"&gt;= "&amp;J14)-COUNTIF(Vertices[Betweenness Centrality],"&gt;="&amp;J15)</f>
        <v>0</v>
      </c>
      <c r="L14" s="34">
        <f t="shared" si="5"/>
        <v>0.04174482352941175</v>
      </c>
      <c r="M14" s="35">
        <f>COUNTIF(Vertices[Closeness Centrality],"&gt;= "&amp;L14)-COUNTIF(Vertices[Closeness Centrality],"&gt;="&amp;L15)</f>
        <v>0</v>
      </c>
      <c r="N14" s="34">
        <f t="shared" si="6"/>
        <v>0.22204341176470588</v>
      </c>
      <c r="O14" s="35">
        <f>COUNTIF(Vertices[Eigenvector Centrality],"&gt;= "&amp;N14)-COUNTIF(Vertices[Eigenvector Centrality],"&gt;="&amp;N15)</f>
        <v>2</v>
      </c>
      <c r="P14" s="34">
        <f t="shared" si="7"/>
        <v>0.0051116470588235315</v>
      </c>
      <c r="Q14" s="35">
        <f>COUNTIF(Vertices[PageRank],"&gt;= "&amp;P14)-COUNTIF(Vertices[PageRank],"&gt;="&amp;P15)</f>
        <v>1</v>
      </c>
      <c r="R14" s="34">
        <f t="shared" si="8"/>
        <v>0.23529411764705876</v>
      </c>
      <c r="S14" s="40">
        <f>COUNTIF(Vertices[Clustering Coefficient],"&gt;= "&amp;R14)-COUNTIF(Vertices[Clustering Coefficient],"&gt;="&amp;R15)</f>
        <v>7</v>
      </c>
      <c r="T14" s="34" t="e">
        <f ca="1" t="shared" si="9"/>
        <v>#REF!</v>
      </c>
      <c r="U14" s="35" t="e">
        <f ca="1" t="shared" si="0"/>
        <v>#REF!</v>
      </c>
    </row>
    <row r="15" spans="1:21" ht="15">
      <c r="A15" s="31" t="s">
        <v>586</v>
      </c>
      <c r="B15" s="31">
        <v>100</v>
      </c>
      <c r="D15" s="29">
        <f t="shared" si="1"/>
        <v>0</v>
      </c>
      <c r="E15">
        <f>COUNTIF(Vertices[Degree],"&gt;= "&amp;D15)-COUNTIF(Vertices[Degree],"&gt;="&amp;D16)</f>
        <v>0</v>
      </c>
      <c r="F15" s="36">
        <f t="shared" si="2"/>
        <v>6.5</v>
      </c>
      <c r="G15" s="37">
        <f>COUNTIF(Vertices[In-Degree],"&gt;= "&amp;F15)-COUNTIF(Vertices[In-Degree],"&gt;="&amp;F16)</f>
        <v>0</v>
      </c>
      <c r="H15" s="36">
        <f t="shared" si="3"/>
        <v>8.02941176470588</v>
      </c>
      <c r="I15" s="37">
        <f>COUNTIF(Vertices[Out-Degree],"&gt;= "&amp;H15)-COUNTIF(Vertices[Out-Degree],"&gt;="&amp;H16)</f>
        <v>0</v>
      </c>
      <c r="J15" s="36">
        <f t="shared" si="4"/>
        <v>1719.9497666764707</v>
      </c>
      <c r="K15" s="37">
        <f>COUNTIF(Vertices[Betweenness Centrality],"&gt;= "&amp;J15)-COUNTIF(Vertices[Betweenness Centrality],"&gt;="&amp;J16)</f>
        <v>1</v>
      </c>
      <c r="L15" s="36">
        <f t="shared" si="5"/>
        <v>0.045223558823529394</v>
      </c>
      <c r="M15" s="37">
        <f>COUNTIF(Vertices[Closeness Centrality],"&gt;= "&amp;L15)-COUNTIF(Vertices[Closeness Centrality],"&gt;="&amp;L16)</f>
        <v>0</v>
      </c>
      <c r="N15" s="36">
        <f t="shared" si="6"/>
        <v>0.2405470294117647</v>
      </c>
      <c r="O15" s="37">
        <f>COUNTIF(Vertices[Eigenvector Centrality],"&gt;= "&amp;N15)-COUNTIF(Vertices[Eigenvector Centrality],"&gt;="&amp;N16)</f>
        <v>0</v>
      </c>
      <c r="P15" s="36">
        <f t="shared" si="7"/>
        <v>0.005316617647058826</v>
      </c>
      <c r="Q15" s="37">
        <f>COUNTIF(Vertices[PageRank],"&gt;= "&amp;P15)-COUNTIF(Vertices[PageRank],"&gt;="&amp;P16)</f>
        <v>1</v>
      </c>
      <c r="R15" s="36">
        <f t="shared" si="8"/>
        <v>0.25490196078431365</v>
      </c>
      <c r="S15" s="41">
        <f>COUNTIF(Vertices[Clustering Coefficient],"&gt;= "&amp;R15)-COUNTIF(Vertices[Clustering Coefficient],"&gt;="&amp;R16)</f>
        <v>0</v>
      </c>
      <c r="T15" s="36" t="e">
        <f ca="1" t="shared" si="9"/>
        <v>#REF!</v>
      </c>
      <c r="U15" s="37" t="e">
        <f ca="1" t="shared" si="0"/>
        <v>#REF!</v>
      </c>
    </row>
    <row r="16" spans="1:21" ht="15">
      <c r="A16" s="31" t="s">
        <v>585</v>
      </c>
      <c r="B16" s="31">
        <v>22</v>
      </c>
      <c r="D16" s="29">
        <f t="shared" si="1"/>
        <v>0</v>
      </c>
      <c r="E16">
        <f>COUNTIF(Vertices[Degree],"&gt;= "&amp;D16)-COUNTIF(Vertices[Degree],"&gt;="&amp;D17)</f>
        <v>0</v>
      </c>
      <c r="F16" s="34">
        <f t="shared" si="2"/>
        <v>7</v>
      </c>
      <c r="G16" s="35">
        <f>COUNTIF(Vertices[In-Degree],"&gt;= "&amp;F16)-COUNTIF(Vertices[In-Degree],"&gt;="&amp;F17)</f>
        <v>0</v>
      </c>
      <c r="H16" s="34">
        <f t="shared" si="3"/>
        <v>8.64705882352941</v>
      </c>
      <c r="I16" s="35">
        <f>COUNTIF(Vertices[Out-Degree],"&gt;= "&amp;H16)-COUNTIF(Vertices[Out-Degree],"&gt;="&amp;H17)</f>
        <v>2</v>
      </c>
      <c r="J16" s="34">
        <f t="shared" si="4"/>
        <v>1852.2535948823531</v>
      </c>
      <c r="K16" s="35">
        <f>COUNTIF(Vertices[Betweenness Centrality],"&gt;= "&amp;J16)-COUNTIF(Vertices[Betweenness Centrality],"&gt;="&amp;J17)</f>
        <v>1</v>
      </c>
      <c r="L16" s="34">
        <f t="shared" si="5"/>
        <v>0.04870229411764704</v>
      </c>
      <c r="M16" s="35">
        <f>COUNTIF(Vertices[Closeness Centrality],"&gt;= "&amp;L16)-COUNTIF(Vertices[Closeness Centrality],"&gt;="&amp;L17)</f>
        <v>3</v>
      </c>
      <c r="N16" s="34">
        <f t="shared" si="6"/>
        <v>0.2590506470588235</v>
      </c>
      <c r="O16" s="35">
        <f>COUNTIF(Vertices[Eigenvector Centrality],"&gt;= "&amp;N16)-COUNTIF(Vertices[Eigenvector Centrality],"&gt;="&amp;N17)</f>
        <v>0</v>
      </c>
      <c r="P16" s="34">
        <f t="shared" si="7"/>
        <v>0.00552158823529412</v>
      </c>
      <c r="Q16" s="35">
        <f>COUNTIF(Vertices[PageRank],"&gt;= "&amp;P16)-COUNTIF(Vertices[PageRank],"&gt;="&amp;P17)</f>
        <v>0</v>
      </c>
      <c r="R16" s="34">
        <f t="shared" si="8"/>
        <v>0.27450980392156854</v>
      </c>
      <c r="S16" s="40">
        <f>COUNTIF(Vertices[Clustering Coefficient],"&gt;= "&amp;R16)-COUNTIF(Vertices[Clustering Coefficient],"&gt;="&amp;R17)</f>
        <v>1</v>
      </c>
      <c r="T16" s="34" t="e">
        <f ca="1" t="shared" si="9"/>
        <v>#REF!</v>
      </c>
      <c r="U16" s="35" t="e">
        <f ca="1" t="shared" si="0"/>
        <v>#REF!</v>
      </c>
    </row>
    <row r="17" spans="1:21" ht="15">
      <c r="A17" s="109"/>
      <c r="B17" s="109"/>
      <c r="D17" s="29">
        <f t="shared" si="1"/>
        <v>0</v>
      </c>
      <c r="E17">
        <f>COUNTIF(Vertices[Degree],"&gt;= "&amp;D17)-COUNTIF(Vertices[Degree],"&gt;="&amp;D18)</f>
        <v>0</v>
      </c>
      <c r="F17" s="36">
        <f t="shared" si="2"/>
        <v>7.5</v>
      </c>
      <c r="G17" s="37">
        <f>COUNTIF(Vertices[In-Degree],"&gt;= "&amp;F17)-COUNTIF(Vertices[In-Degree],"&gt;="&amp;F18)</f>
        <v>0</v>
      </c>
      <c r="H17" s="36">
        <f t="shared" si="3"/>
        <v>9.264705882352938</v>
      </c>
      <c r="I17" s="37">
        <f>COUNTIF(Vertices[Out-Degree],"&gt;= "&amp;H17)-COUNTIF(Vertices[Out-Degree],"&gt;="&amp;H18)</f>
        <v>0</v>
      </c>
      <c r="J17" s="36">
        <f t="shared" si="4"/>
        <v>1984.5574230882355</v>
      </c>
      <c r="K17" s="37">
        <f>COUNTIF(Vertices[Betweenness Centrality],"&gt;= "&amp;J17)-COUNTIF(Vertices[Betweenness Centrality],"&gt;="&amp;J18)</f>
        <v>1</v>
      </c>
      <c r="L17" s="36">
        <f t="shared" si="5"/>
        <v>0.05218102941176468</v>
      </c>
      <c r="M17" s="37">
        <f>COUNTIF(Vertices[Closeness Centrality],"&gt;= "&amp;L17)-COUNTIF(Vertices[Closeness Centrality],"&gt;="&amp;L18)</f>
        <v>0</v>
      </c>
      <c r="N17" s="36">
        <f t="shared" si="6"/>
        <v>0.27755426470588235</v>
      </c>
      <c r="O17" s="37">
        <f>COUNTIF(Vertices[Eigenvector Centrality],"&gt;= "&amp;N17)-COUNTIF(Vertices[Eigenvector Centrality],"&gt;="&amp;N18)</f>
        <v>0</v>
      </c>
      <c r="P17" s="36">
        <f t="shared" si="7"/>
        <v>0.0057265588235294144</v>
      </c>
      <c r="Q17" s="37">
        <f>COUNTIF(Vertices[PageRank],"&gt;= "&amp;P17)-COUNTIF(Vertices[PageRank],"&gt;="&amp;P18)</f>
        <v>0</v>
      </c>
      <c r="R17" s="36">
        <f t="shared" si="8"/>
        <v>0.29411764705882343</v>
      </c>
      <c r="S17" s="41">
        <f>COUNTIF(Vertices[Clustering Coefficient],"&gt;= "&amp;R17)-COUNTIF(Vertices[Clustering Coefficient],"&gt;="&amp;R18)</f>
        <v>0</v>
      </c>
      <c r="T17" s="36" t="e">
        <f ca="1" t="shared" si="9"/>
        <v>#REF!</v>
      </c>
      <c r="U17" s="37" t="e">
        <f ca="1" t="shared" si="0"/>
        <v>#REF!</v>
      </c>
    </row>
    <row r="18" spans="1:21" ht="15">
      <c r="A18" s="31" t="s">
        <v>151</v>
      </c>
      <c r="B18" s="31">
        <v>124</v>
      </c>
      <c r="D18" s="29">
        <f t="shared" si="1"/>
        <v>0</v>
      </c>
      <c r="E18">
        <f>COUNTIF(Vertices[Degree],"&gt;= "&amp;D18)-COUNTIF(Vertices[Degree],"&gt;="&amp;D19)</f>
        <v>0</v>
      </c>
      <c r="F18" s="34">
        <f t="shared" si="2"/>
        <v>8</v>
      </c>
      <c r="G18" s="35">
        <f>COUNTIF(Vertices[In-Degree],"&gt;= "&amp;F18)-COUNTIF(Vertices[In-Degree],"&gt;="&amp;F19)</f>
        <v>0</v>
      </c>
      <c r="H18" s="34">
        <f t="shared" si="3"/>
        <v>9.882352941176467</v>
      </c>
      <c r="I18" s="35">
        <f>COUNTIF(Vertices[Out-Degree],"&gt;= "&amp;H18)-COUNTIF(Vertices[Out-Degree],"&gt;="&amp;H19)</f>
        <v>1</v>
      </c>
      <c r="J18" s="34">
        <f t="shared" si="4"/>
        <v>2116.8612512941177</v>
      </c>
      <c r="K18" s="35">
        <f>COUNTIF(Vertices[Betweenness Centrality],"&gt;= "&amp;J18)-COUNTIF(Vertices[Betweenness Centrality],"&gt;="&amp;J19)</f>
        <v>0</v>
      </c>
      <c r="L18" s="34">
        <f t="shared" si="5"/>
        <v>0.055659764705882325</v>
      </c>
      <c r="M18" s="35">
        <f>COUNTIF(Vertices[Closeness Centrality],"&gt;= "&amp;L18)-COUNTIF(Vertices[Closeness Centrality],"&gt;="&amp;L19)</f>
        <v>5</v>
      </c>
      <c r="N18" s="34">
        <f t="shared" si="6"/>
        <v>0.29605788235294117</v>
      </c>
      <c r="O18" s="35">
        <f>COUNTIF(Vertices[Eigenvector Centrality],"&gt;= "&amp;N18)-COUNTIF(Vertices[Eigenvector Centrality],"&gt;="&amp;N19)</f>
        <v>0</v>
      </c>
      <c r="P18" s="34">
        <f t="shared" si="7"/>
        <v>0.005931529411764709</v>
      </c>
      <c r="Q18" s="35">
        <f>COUNTIF(Vertices[PageRank],"&gt;= "&amp;P18)-COUNTIF(Vertices[PageRank],"&gt;="&amp;P19)</f>
        <v>1</v>
      </c>
      <c r="R18" s="34">
        <f t="shared" si="8"/>
        <v>0.3137254901960783</v>
      </c>
      <c r="S18" s="40">
        <f>COUNTIF(Vertices[Clustering Coefficient],"&gt;= "&amp;R18)-COUNTIF(Vertices[Clustering Coefficient],"&gt;="&amp;R19)</f>
        <v>0</v>
      </c>
      <c r="T18" s="34" t="e">
        <f ca="1" t="shared" si="9"/>
        <v>#REF!</v>
      </c>
      <c r="U18" s="35" t="e">
        <f ca="1" t="shared" si="0"/>
        <v>#REF!</v>
      </c>
    </row>
    <row r="19" spans="1:21" ht="15">
      <c r="A19" s="109"/>
      <c r="B19" s="109"/>
      <c r="D19" s="29">
        <f t="shared" si="1"/>
        <v>0</v>
      </c>
      <c r="E19">
        <f>COUNTIF(Vertices[Degree],"&gt;= "&amp;D19)-COUNTIF(Vertices[Degree],"&gt;="&amp;D20)</f>
        <v>0</v>
      </c>
      <c r="F19" s="36">
        <f t="shared" si="2"/>
        <v>8.5</v>
      </c>
      <c r="G19" s="37">
        <f>COUNTIF(Vertices[In-Degree],"&gt;= "&amp;F19)-COUNTIF(Vertices[In-Degree],"&gt;="&amp;F20)</f>
        <v>0</v>
      </c>
      <c r="H19" s="36">
        <f t="shared" si="3"/>
        <v>10.499999999999996</v>
      </c>
      <c r="I19" s="37">
        <f>COUNTIF(Vertices[Out-Degree],"&gt;= "&amp;H19)-COUNTIF(Vertices[Out-Degree],"&gt;="&amp;H20)</f>
        <v>0</v>
      </c>
      <c r="J19" s="36">
        <f t="shared" si="4"/>
        <v>2249.1650795</v>
      </c>
      <c r="K19" s="37">
        <f>COUNTIF(Vertices[Betweenness Centrality],"&gt;= "&amp;J19)-COUNTIF(Vertices[Betweenness Centrality],"&gt;="&amp;J20)</f>
        <v>0</v>
      </c>
      <c r="L19" s="36">
        <f t="shared" si="5"/>
        <v>0.05913849999999997</v>
      </c>
      <c r="M19" s="37">
        <f>COUNTIF(Vertices[Closeness Centrality],"&gt;= "&amp;L19)-COUNTIF(Vertices[Closeness Centrality],"&gt;="&amp;L20)</f>
        <v>1</v>
      </c>
      <c r="N19" s="36">
        <f t="shared" si="6"/>
        <v>0.3145615</v>
      </c>
      <c r="O19" s="37">
        <f>COUNTIF(Vertices[Eigenvector Centrality],"&gt;= "&amp;N19)-COUNTIF(Vertices[Eigenvector Centrality],"&gt;="&amp;N20)</f>
        <v>0</v>
      </c>
      <c r="P19" s="36">
        <f t="shared" si="7"/>
        <v>0.006136500000000003</v>
      </c>
      <c r="Q19" s="37">
        <f>COUNTIF(Vertices[PageRank],"&gt;= "&amp;P19)-COUNTIF(Vertices[PageRank],"&gt;="&amp;P20)</f>
        <v>1</v>
      </c>
      <c r="R19" s="36">
        <f t="shared" si="8"/>
        <v>0.3333333333333332</v>
      </c>
      <c r="S19" s="41">
        <f>COUNTIF(Vertices[Clustering Coefficient],"&gt;= "&amp;R19)-COUNTIF(Vertices[Clustering Coefficient],"&gt;="&amp;R20)</f>
        <v>3</v>
      </c>
      <c r="T19" s="36" t="e">
        <f ca="1" t="shared" si="9"/>
        <v>#REF!</v>
      </c>
      <c r="U19" s="37" t="e">
        <f ca="1" t="shared" si="0"/>
        <v>#REF!</v>
      </c>
    </row>
    <row r="20" spans="1:21" ht="15">
      <c r="A20" s="31" t="s">
        <v>170</v>
      </c>
      <c r="B20" s="31">
        <v>0.003436426116838488</v>
      </c>
      <c r="D20" s="29">
        <f t="shared" si="1"/>
        <v>0</v>
      </c>
      <c r="E20">
        <f>COUNTIF(Vertices[Degree],"&gt;= "&amp;D20)-COUNTIF(Vertices[Degree],"&gt;="&amp;D21)</f>
        <v>0</v>
      </c>
      <c r="F20" s="34">
        <f t="shared" si="2"/>
        <v>9</v>
      </c>
      <c r="G20" s="35">
        <f>COUNTIF(Vertices[In-Degree],"&gt;= "&amp;F20)-COUNTIF(Vertices[In-Degree],"&gt;="&amp;F21)</f>
        <v>0</v>
      </c>
      <c r="H20" s="34">
        <f t="shared" si="3"/>
        <v>11.117647058823525</v>
      </c>
      <c r="I20" s="35">
        <f>COUNTIF(Vertices[Out-Degree],"&gt;= "&amp;H20)-COUNTIF(Vertices[Out-Degree],"&gt;="&amp;H21)</f>
        <v>0</v>
      </c>
      <c r="J20" s="34">
        <f t="shared" si="4"/>
        <v>2381.4689077058824</v>
      </c>
      <c r="K20" s="35">
        <f>COUNTIF(Vertices[Betweenness Centrality],"&gt;= "&amp;J20)-COUNTIF(Vertices[Betweenness Centrality],"&gt;="&amp;J21)</f>
        <v>0</v>
      </c>
      <c r="L20" s="34">
        <f t="shared" si="5"/>
        <v>0.06261723529411761</v>
      </c>
      <c r="M20" s="35">
        <f>COUNTIF(Vertices[Closeness Centrality],"&gt;= "&amp;L20)-COUNTIF(Vertices[Closeness Centrality],"&gt;="&amp;L21)</f>
        <v>0</v>
      </c>
      <c r="N20" s="34">
        <f t="shared" si="6"/>
        <v>0.3330651176470588</v>
      </c>
      <c r="O20" s="35">
        <f>COUNTIF(Vertices[Eigenvector Centrality],"&gt;= "&amp;N20)-COUNTIF(Vertices[Eigenvector Centrality],"&gt;="&amp;N21)</f>
        <v>0</v>
      </c>
      <c r="P20" s="34">
        <f t="shared" si="7"/>
        <v>0.006341470588235297</v>
      </c>
      <c r="Q20" s="35">
        <f>COUNTIF(Vertices[PageRank],"&gt;= "&amp;P20)-COUNTIF(Vertices[PageRank],"&gt;="&amp;P21)</f>
        <v>0</v>
      </c>
      <c r="R20" s="34">
        <f t="shared" si="8"/>
        <v>0.3529411764705881</v>
      </c>
      <c r="S20" s="40">
        <f>COUNTIF(Vertices[Clustering Coefficient],"&gt;= "&amp;R20)-COUNTIF(Vertices[Clustering Coefficient],"&gt;="&amp;R21)</f>
        <v>0</v>
      </c>
      <c r="T20" s="34" t="e">
        <f ca="1" t="shared" si="9"/>
        <v>#REF!</v>
      </c>
      <c r="U20" s="35" t="e">
        <f ca="1" t="shared" si="0"/>
        <v>#REF!</v>
      </c>
    </row>
    <row r="21" spans="1:21" ht="15">
      <c r="A21" s="31" t="s">
        <v>171</v>
      </c>
      <c r="B21" s="31">
        <v>0.00684931506849315</v>
      </c>
      <c r="D21" s="29">
        <f t="shared" si="1"/>
        <v>0</v>
      </c>
      <c r="E21">
        <f>COUNTIF(Vertices[Degree],"&gt;= "&amp;D21)-COUNTIF(Vertices[Degree],"&gt;="&amp;D22)</f>
        <v>0</v>
      </c>
      <c r="F21" s="36">
        <f t="shared" si="2"/>
        <v>9.5</v>
      </c>
      <c r="G21" s="37">
        <f>COUNTIF(Vertices[In-Degree],"&gt;= "&amp;F21)-COUNTIF(Vertices[In-Degree],"&gt;="&amp;F22)</f>
        <v>0</v>
      </c>
      <c r="H21" s="36">
        <f t="shared" si="3"/>
        <v>11.735294117647054</v>
      </c>
      <c r="I21" s="37">
        <f>COUNTIF(Vertices[Out-Degree],"&gt;= "&amp;H21)-COUNTIF(Vertices[Out-Degree],"&gt;="&amp;H22)</f>
        <v>1</v>
      </c>
      <c r="J21" s="36">
        <f t="shared" si="4"/>
        <v>2513.772735911765</v>
      </c>
      <c r="K21" s="37">
        <f>COUNTIF(Vertices[Betweenness Centrality],"&gt;= "&amp;J21)-COUNTIF(Vertices[Betweenness Centrality],"&gt;="&amp;J22)</f>
        <v>0</v>
      </c>
      <c r="L21" s="36">
        <f t="shared" si="5"/>
        <v>0.06609597058823526</v>
      </c>
      <c r="M21" s="37">
        <f>COUNTIF(Vertices[Closeness Centrality],"&gt;= "&amp;L21)-COUNTIF(Vertices[Closeness Centrality],"&gt;="&amp;L22)</f>
        <v>12</v>
      </c>
      <c r="N21" s="36">
        <f t="shared" si="6"/>
        <v>0.35156873529411764</v>
      </c>
      <c r="O21" s="37">
        <f>COUNTIF(Vertices[Eigenvector Centrality],"&gt;= "&amp;N21)-COUNTIF(Vertices[Eigenvector Centrality],"&gt;="&amp;N22)</f>
        <v>0</v>
      </c>
      <c r="P21" s="36">
        <f t="shared" si="7"/>
        <v>0.006546441176470592</v>
      </c>
      <c r="Q21" s="37">
        <f>COUNTIF(Vertices[PageRank],"&gt;= "&amp;P21)-COUNTIF(Vertices[PageRank],"&gt;="&amp;P22)</f>
        <v>0</v>
      </c>
      <c r="R21" s="36">
        <f t="shared" si="8"/>
        <v>0.372549019607843</v>
      </c>
      <c r="S21" s="41">
        <f>COUNTIF(Vertices[Clustering Coefficient],"&gt;= "&amp;R21)-COUNTIF(Vertices[Clustering Coefficient],"&gt;="&amp;R22)</f>
        <v>0</v>
      </c>
      <c r="T21" s="36" t="e">
        <f ca="1" t="shared" si="9"/>
        <v>#REF!</v>
      </c>
      <c r="U21" s="37" t="e">
        <f ca="1" t="shared" si="0"/>
        <v>#REF!</v>
      </c>
    </row>
    <row r="22" spans="1:21" ht="15">
      <c r="A22" s="109"/>
      <c r="B22" s="109"/>
      <c r="D22" s="29">
        <f t="shared" si="1"/>
        <v>0</v>
      </c>
      <c r="E22">
        <f>COUNTIF(Vertices[Degree],"&gt;= "&amp;D22)-COUNTIF(Vertices[Degree],"&gt;="&amp;D23)</f>
        <v>0</v>
      </c>
      <c r="F22" s="34">
        <f t="shared" si="2"/>
        <v>10</v>
      </c>
      <c r="G22" s="35">
        <f>COUNTIF(Vertices[In-Degree],"&gt;= "&amp;F22)-COUNTIF(Vertices[In-Degree],"&gt;="&amp;F23)</f>
        <v>0</v>
      </c>
      <c r="H22" s="34">
        <f t="shared" si="3"/>
        <v>12.352941176470583</v>
      </c>
      <c r="I22" s="35">
        <f>COUNTIF(Vertices[Out-Degree],"&gt;= "&amp;H22)-COUNTIF(Vertices[Out-Degree],"&gt;="&amp;H23)</f>
        <v>0</v>
      </c>
      <c r="J22" s="34">
        <f t="shared" si="4"/>
        <v>2646.076564117647</v>
      </c>
      <c r="K22" s="35">
        <f>COUNTIF(Vertices[Betweenness Centrality],"&gt;= "&amp;J22)-COUNTIF(Vertices[Betweenness Centrality],"&gt;="&amp;J23)</f>
        <v>1</v>
      </c>
      <c r="L22" s="34">
        <f t="shared" si="5"/>
        <v>0.0695747058823529</v>
      </c>
      <c r="M22" s="35">
        <f>COUNTIF(Vertices[Closeness Centrality],"&gt;= "&amp;L22)-COUNTIF(Vertices[Closeness Centrality],"&gt;="&amp;L23)</f>
        <v>24</v>
      </c>
      <c r="N22" s="34">
        <f t="shared" si="6"/>
        <v>0.37007235294117646</v>
      </c>
      <c r="O22" s="35">
        <f>COUNTIF(Vertices[Eigenvector Centrality],"&gt;= "&amp;N22)-COUNTIF(Vertices[Eigenvector Centrality],"&gt;="&amp;N23)</f>
        <v>0</v>
      </c>
      <c r="P22" s="34">
        <f t="shared" si="7"/>
        <v>0.006751411764705886</v>
      </c>
      <c r="Q22" s="35">
        <f>COUNTIF(Vertices[PageRank],"&gt;= "&amp;P22)-COUNTIF(Vertices[PageRank],"&gt;="&amp;P23)</f>
        <v>2</v>
      </c>
      <c r="R22" s="34">
        <f t="shared" si="8"/>
        <v>0.39215686274509787</v>
      </c>
      <c r="S22" s="40">
        <f>COUNTIF(Vertices[Clustering Coefficient],"&gt;= "&amp;R22)-COUNTIF(Vertices[Clustering Coefficient],"&gt;="&amp;R23)</f>
        <v>0</v>
      </c>
      <c r="T22" s="34" t="e">
        <f ca="1" t="shared" si="9"/>
        <v>#REF!</v>
      </c>
      <c r="U22" s="35" t="e">
        <f ca="1" t="shared" si="0"/>
        <v>#REF!</v>
      </c>
    </row>
    <row r="23" spans="1:21" ht="15">
      <c r="A23" s="31" t="s">
        <v>152</v>
      </c>
      <c r="B23" s="31">
        <v>75</v>
      </c>
      <c r="D23" s="29">
        <f t="shared" si="1"/>
        <v>0</v>
      </c>
      <c r="E23">
        <f>COUNTIF(Vertices[Degree],"&gt;= "&amp;D23)-COUNTIF(Vertices[Degree],"&gt;="&amp;D24)</f>
        <v>0</v>
      </c>
      <c r="F23" s="36">
        <f t="shared" si="2"/>
        <v>10.5</v>
      </c>
      <c r="G23" s="37">
        <f>COUNTIF(Vertices[In-Degree],"&gt;= "&amp;F23)-COUNTIF(Vertices[In-Degree],"&gt;="&amp;F24)</f>
        <v>0</v>
      </c>
      <c r="H23" s="36">
        <f t="shared" si="3"/>
        <v>12.970588235294112</v>
      </c>
      <c r="I23" s="37">
        <f>COUNTIF(Vertices[Out-Degree],"&gt;= "&amp;H23)-COUNTIF(Vertices[Out-Degree],"&gt;="&amp;H24)</f>
        <v>1</v>
      </c>
      <c r="J23" s="36">
        <f t="shared" si="4"/>
        <v>2778.3803923235296</v>
      </c>
      <c r="K23" s="37">
        <f>COUNTIF(Vertices[Betweenness Centrality],"&gt;= "&amp;J23)-COUNTIF(Vertices[Betweenness Centrality],"&gt;="&amp;J24)</f>
        <v>0</v>
      </c>
      <c r="L23" s="36">
        <f t="shared" si="5"/>
        <v>0.07305344117647054</v>
      </c>
      <c r="M23" s="37">
        <f>COUNTIF(Vertices[Closeness Centrality],"&gt;= "&amp;L23)-COUNTIF(Vertices[Closeness Centrality],"&gt;="&amp;L24)</f>
        <v>16</v>
      </c>
      <c r="N23" s="36">
        <f t="shared" si="6"/>
        <v>0.3885759705882353</v>
      </c>
      <c r="O23" s="37">
        <f>COUNTIF(Vertices[Eigenvector Centrality],"&gt;= "&amp;N23)-COUNTIF(Vertices[Eigenvector Centrality],"&gt;="&amp;N24)</f>
        <v>0</v>
      </c>
      <c r="P23" s="36">
        <f t="shared" si="7"/>
        <v>0.00695638235294118</v>
      </c>
      <c r="Q23" s="37">
        <f>COUNTIF(Vertices[PageRank],"&gt;= "&amp;P23)-COUNTIF(Vertices[PageRank],"&gt;="&amp;P24)</f>
        <v>0</v>
      </c>
      <c r="R23" s="36">
        <f t="shared" si="8"/>
        <v>0.41176470588235276</v>
      </c>
      <c r="S23" s="41">
        <f>COUNTIF(Vertices[Clustering Coefficient],"&gt;= "&amp;R23)-COUNTIF(Vertices[Clustering Coefficient],"&gt;="&amp;R24)</f>
        <v>1</v>
      </c>
      <c r="T23" s="36" t="e">
        <f ca="1" t="shared" si="9"/>
        <v>#REF!</v>
      </c>
      <c r="U23" s="37" t="e">
        <f ca="1" t="shared" si="0"/>
        <v>#REF!</v>
      </c>
    </row>
    <row r="24" spans="1:21" ht="15">
      <c r="A24" s="31" t="s">
        <v>153</v>
      </c>
      <c r="B24" s="31">
        <v>24</v>
      </c>
      <c r="D24" s="29">
        <f t="shared" si="1"/>
        <v>0</v>
      </c>
      <c r="E24">
        <f>COUNTIF(Vertices[Degree],"&gt;= "&amp;D24)-COUNTIF(Vertices[Degree],"&gt;="&amp;D25)</f>
        <v>0</v>
      </c>
      <c r="F24" s="34">
        <f t="shared" si="2"/>
        <v>11</v>
      </c>
      <c r="G24" s="35">
        <f>COUNTIF(Vertices[In-Degree],"&gt;= "&amp;F24)-COUNTIF(Vertices[In-Degree],"&gt;="&amp;F25)</f>
        <v>1</v>
      </c>
      <c r="H24" s="34">
        <f t="shared" si="3"/>
        <v>13.588235294117641</v>
      </c>
      <c r="I24" s="35">
        <f>COUNTIF(Vertices[Out-Degree],"&gt;= "&amp;H24)-COUNTIF(Vertices[Out-Degree],"&gt;="&amp;H25)</f>
        <v>0</v>
      </c>
      <c r="J24" s="34">
        <f t="shared" si="4"/>
        <v>2910.684220529412</v>
      </c>
      <c r="K24" s="35">
        <f>COUNTIF(Vertices[Betweenness Centrality],"&gt;= "&amp;J24)-COUNTIF(Vertices[Betweenness Centrality],"&gt;="&amp;J25)</f>
        <v>0</v>
      </c>
      <c r="L24" s="34">
        <f t="shared" si="5"/>
        <v>0.07653217647058819</v>
      </c>
      <c r="M24" s="35">
        <f>COUNTIF(Vertices[Closeness Centrality],"&gt;= "&amp;L24)-COUNTIF(Vertices[Closeness Centrality],"&gt;="&amp;L25)</f>
        <v>0</v>
      </c>
      <c r="N24" s="34">
        <f t="shared" si="6"/>
        <v>0.4070795882352941</v>
      </c>
      <c r="O24" s="35">
        <f>COUNTIF(Vertices[Eigenvector Centrality],"&gt;= "&amp;N24)-COUNTIF(Vertices[Eigenvector Centrality],"&gt;="&amp;N25)</f>
        <v>0</v>
      </c>
      <c r="P24" s="34">
        <f t="shared" si="7"/>
        <v>0.007161352941176475</v>
      </c>
      <c r="Q24" s="35">
        <f>COUNTIF(Vertices[PageRank],"&gt;= "&amp;P24)-COUNTIF(Vertices[PageRank],"&gt;="&amp;P25)</f>
        <v>0</v>
      </c>
      <c r="R24" s="34">
        <f t="shared" si="8"/>
        <v>0.43137254901960764</v>
      </c>
      <c r="S24" s="40">
        <f>COUNTIF(Vertices[Clustering Coefficient],"&gt;= "&amp;R24)-COUNTIF(Vertices[Clustering Coefficient],"&gt;="&amp;R25)</f>
        <v>0</v>
      </c>
      <c r="T24" s="34" t="e">
        <f ca="1" t="shared" si="9"/>
        <v>#REF!</v>
      </c>
      <c r="U24" s="35" t="e">
        <f ca="1" t="shared" si="0"/>
        <v>#REF!</v>
      </c>
    </row>
    <row r="25" spans="1:21" ht="15">
      <c r="A25" s="31" t="s">
        <v>154</v>
      </c>
      <c r="B25" s="31">
        <v>103</v>
      </c>
      <c r="D25" s="29">
        <f t="shared" si="1"/>
        <v>0</v>
      </c>
      <c r="E25">
        <f>COUNTIF(Vertices[Degree],"&gt;= "&amp;D25)-COUNTIF(Vertices[Degree],"&gt;="&amp;D26)</f>
        <v>0</v>
      </c>
      <c r="F25" s="36">
        <f t="shared" si="2"/>
        <v>11.5</v>
      </c>
      <c r="G25" s="37">
        <f>COUNTIF(Vertices[In-Degree],"&gt;= "&amp;F25)-COUNTIF(Vertices[In-Degree],"&gt;="&amp;F26)</f>
        <v>0</v>
      </c>
      <c r="H25" s="36">
        <f t="shared" si="3"/>
        <v>14.20588235294117</v>
      </c>
      <c r="I25" s="37">
        <f>COUNTIF(Vertices[Out-Degree],"&gt;= "&amp;H25)-COUNTIF(Vertices[Out-Degree],"&gt;="&amp;H26)</f>
        <v>0</v>
      </c>
      <c r="J25" s="36">
        <f t="shared" si="4"/>
        <v>3042.9880487352943</v>
      </c>
      <c r="K25" s="37">
        <f>COUNTIF(Vertices[Betweenness Centrality],"&gt;= "&amp;J25)-COUNTIF(Vertices[Betweenness Centrality],"&gt;="&amp;J26)</f>
        <v>0</v>
      </c>
      <c r="L25" s="36">
        <f t="shared" si="5"/>
        <v>0.08001091176470583</v>
      </c>
      <c r="M25" s="37">
        <f>COUNTIF(Vertices[Closeness Centrality],"&gt;= "&amp;L25)-COUNTIF(Vertices[Closeness Centrality],"&gt;="&amp;L26)</f>
        <v>0</v>
      </c>
      <c r="N25" s="36">
        <f t="shared" si="6"/>
        <v>0.42558320588235293</v>
      </c>
      <c r="O25" s="37">
        <f>COUNTIF(Vertices[Eigenvector Centrality],"&gt;= "&amp;N25)-COUNTIF(Vertices[Eigenvector Centrality],"&gt;="&amp;N26)</f>
        <v>0</v>
      </c>
      <c r="P25" s="36">
        <f t="shared" si="7"/>
        <v>0.007366323529411769</v>
      </c>
      <c r="Q25" s="37">
        <f>COUNTIF(Vertices[PageRank],"&gt;= "&amp;P25)-COUNTIF(Vertices[PageRank],"&gt;="&amp;P26)</f>
        <v>0</v>
      </c>
      <c r="R25" s="36">
        <f t="shared" si="8"/>
        <v>0.45098039215686253</v>
      </c>
      <c r="S25" s="41">
        <f>COUNTIF(Vertices[Clustering Coefficient],"&gt;= "&amp;R25)-COUNTIF(Vertices[Clustering Coefficient],"&gt;="&amp;R26)</f>
        <v>0</v>
      </c>
      <c r="T25" s="36" t="e">
        <f ca="1" t="shared" si="9"/>
        <v>#REF!</v>
      </c>
      <c r="U25" s="37" t="e">
        <f ca="1" t="shared" si="0"/>
        <v>#REF!</v>
      </c>
    </row>
    <row r="26" spans="1:21" ht="15">
      <c r="A26" s="31" t="s">
        <v>155</v>
      </c>
      <c r="B26" s="31">
        <v>179</v>
      </c>
      <c r="D26" s="29">
        <f t="shared" si="1"/>
        <v>0</v>
      </c>
      <c r="E26">
        <f>COUNTIF(Vertices[Degree],"&gt;= "&amp;D26)-COUNTIF(Vertices[Degree],"&gt;="&amp;D27)</f>
        <v>0</v>
      </c>
      <c r="F26" s="34">
        <f t="shared" si="2"/>
        <v>12</v>
      </c>
      <c r="G26" s="35">
        <f>COUNTIF(Vertices[In-Degree],"&gt;= "&amp;F26)-COUNTIF(Vertices[In-Degree],"&gt;="&amp;F27)</f>
        <v>0</v>
      </c>
      <c r="H26" s="34">
        <f t="shared" si="3"/>
        <v>14.8235294117647</v>
      </c>
      <c r="I26" s="35">
        <f>COUNTIF(Vertices[Out-Degree],"&gt;= "&amp;H26)-COUNTIF(Vertices[Out-Degree],"&gt;="&amp;H27)</f>
        <v>1</v>
      </c>
      <c r="J26" s="34">
        <f t="shared" si="4"/>
        <v>3175.2918769411767</v>
      </c>
      <c r="K26" s="35">
        <f>COUNTIF(Vertices[Betweenness Centrality],"&gt;= "&amp;J26)-COUNTIF(Vertices[Betweenness Centrality],"&gt;="&amp;J27)</f>
        <v>1</v>
      </c>
      <c r="L26" s="34">
        <f t="shared" si="5"/>
        <v>0.08348964705882347</v>
      </c>
      <c r="M26" s="35">
        <f>COUNTIF(Vertices[Closeness Centrality],"&gt;= "&amp;L26)-COUNTIF(Vertices[Closeness Centrality],"&gt;="&amp;L27)</f>
        <v>24</v>
      </c>
      <c r="N26" s="34">
        <f t="shared" si="6"/>
        <v>0.44408682352941176</v>
      </c>
      <c r="O26" s="35">
        <f>COUNTIF(Vertices[Eigenvector Centrality],"&gt;= "&amp;N26)-COUNTIF(Vertices[Eigenvector Centrality],"&gt;="&amp;N27)</f>
        <v>0</v>
      </c>
      <c r="P26" s="34">
        <f t="shared" si="7"/>
        <v>0.007571294117647063</v>
      </c>
      <c r="Q26" s="35">
        <f>COUNTIF(Vertices[PageRank],"&gt;= "&amp;P26)-COUNTIF(Vertices[PageRank],"&gt;="&amp;P27)</f>
        <v>1</v>
      </c>
      <c r="R26" s="34">
        <f t="shared" si="8"/>
        <v>0.4705882352941174</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09"/>
      <c r="B27" s="109"/>
      <c r="D27" s="29">
        <f t="shared" si="1"/>
        <v>0</v>
      </c>
      <c r="E27">
        <f>COUNTIF(Vertices[Degree],"&gt;= "&amp;D27)-COUNTIF(Vertices[Degree],"&gt;="&amp;D28)</f>
        <v>0</v>
      </c>
      <c r="F27" s="36">
        <f t="shared" si="2"/>
        <v>12.5</v>
      </c>
      <c r="G27" s="37">
        <f>COUNTIF(Vertices[In-Degree],"&gt;= "&amp;F27)-COUNTIF(Vertices[In-Degree],"&gt;="&amp;F28)</f>
        <v>0</v>
      </c>
      <c r="H27" s="36">
        <f t="shared" si="3"/>
        <v>15.441176470588228</v>
      </c>
      <c r="I27" s="37">
        <f>COUNTIF(Vertices[Out-Degree],"&gt;= "&amp;H27)-COUNTIF(Vertices[Out-Degree],"&gt;="&amp;H28)</f>
        <v>0</v>
      </c>
      <c r="J27" s="36">
        <f t="shared" si="4"/>
        <v>3307.595705147059</v>
      </c>
      <c r="K27" s="37">
        <f>COUNTIF(Vertices[Betweenness Centrality],"&gt;= "&amp;J27)-COUNTIF(Vertices[Betweenness Centrality],"&gt;="&amp;J28)</f>
        <v>0</v>
      </c>
      <c r="L27" s="36">
        <f t="shared" si="5"/>
        <v>0.08696838235294112</v>
      </c>
      <c r="M27" s="37">
        <f>COUNTIF(Vertices[Closeness Centrality],"&gt;= "&amp;L27)-COUNTIF(Vertices[Closeness Centrality],"&gt;="&amp;L28)</f>
        <v>6</v>
      </c>
      <c r="N27" s="36">
        <f t="shared" si="6"/>
        <v>0.4625904411764706</v>
      </c>
      <c r="O27" s="37">
        <f>COUNTIF(Vertices[Eigenvector Centrality],"&gt;= "&amp;N27)-COUNTIF(Vertices[Eigenvector Centrality],"&gt;="&amp;N28)</f>
        <v>0</v>
      </c>
      <c r="P27" s="36">
        <f t="shared" si="7"/>
        <v>0.0077762647058823575</v>
      </c>
      <c r="Q27" s="37">
        <f>COUNTIF(Vertices[PageRank],"&gt;= "&amp;P27)-COUNTIF(Vertices[PageRank],"&gt;="&amp;P28)</f>
        <v>0</v>
      </c>
      <c r="R27" s="36">
        <f t="shared" si="8"/>
        <v>0.4901960784313723</v>
      </c>
      <c r="S27" s="41">
        <f>COUNTIF(Vertices[Clustering Coefficient],"&gt;= "&amp;R27)-COUNTIF(Vertices[Clustering Coefficient],"&gt;="&amp;R28)</f>
        <v>14</v>
      </c>
      <c r="T27" s="36" t="e">
        <f ca="1" t="shared" si="9"/>
        <v>#REF!</v>
      </c>
      <c r="U27" s="37" t="e">
        <f ca="1" t="shared" si="10"/>
        <v>#REF!</v>
      </c>
    </row>
    <row r="28" spans="1:21" ht="15">
      <c r="A28" s="31" t="s">
        <v>156</v>
      </c>
      <c r="B28" s="31">
        <v>8</v>
      </c>
      <c r="D28" s="29">
        <f t="shared" si="1"/>
        <v>0</v>
      </c>
      <c r="E28">
        <f>COUNTIF(Vertices[Degree],"&gt;= "&amp;D28)-COUNTIF(Vertices[Degree],"&gt;="&amp;D29)</f>
        <v>0</v>
      </c>
      <c r="F28" s="34">
        <f t="shared" si="2"/>
        <v>13</v>
      </c>
      <c r="G28" s="35">
        <f>COUNTIF(Vertices[In-Degree],"&gt;= "&amp;F28)-COUNTIF(Vertices[In-Degree],"&gt;="&amp;F29)</f>
        <v>0</v>
      </c>
      <c r="H28" s="34">
        <f t="shared" si="3"/>
        <v>16.058823529411757</v>
      </c>
      <c r="I28" s="35">
        <f>COUNTIF(Vertices[Out-Degree],"&gt;= "&amp;H28)-COUNTIF(Vertices[Out-Degree],"&gt;="&amp;H29)</f>
        <v>0</v>
      </c>
      <c r="J28" s="34">
        <f t="shared" si="4"/>
        <v>3439.8995333529415</v>
      </c>
      <c r="K28" s="35">
        <f>COUNTIF(Vertices[Betweenness Centrality],"&gt;= "&amp;J28)-COUNTIF(Vertices[Betweenness Centrality],"&gt;="&amp;J29)</f>
        <v>0</v>
      </c>
      <c r="L28" s="34">
        <f t="shared" si="5"/>
        <v>0.09044711764705876</v>
      </c>
      <c r="M28" s="35">
        <f>COUNTIF(Vertices[Closeness Centrality],"&gt;= "&amp;L28)-COUNTIF(Vertices[Closeness Centrality],"&gt;="&amp;L29)</f>
        <v>3</v>
      </c>
      <c r="N28" s="34">
        <f t="shared" si="6"/>
        <v>0.4810940588235294</v>
      </c>
      <c r="O28" s="35">
        <f>COUNTIF(Vertices[Eigenvector Centrality],"&gt;= "&amp;N28)-COUNTIF(Vertices[Eigenvector Centrality],"&gt;="&amp;N29)</f>
        <v>0</v>
      </c>
      <c r="P28" s="34">
        <f t="shared" si="7"/>
        <v>0.007981235294117652</v>
      </c>
      <c r="Q28" s="35">
        <f>COUNTIF(Vertices[PageRank],"&gt;= "&amp;P28)-COUNTIF(Vertices[PageRank],"&gt;="&amp;P29)</f>
        <v>0</v>
      </c>
      <c r="R28" s="34">
        <f t="shared" si="8"/>
        <v>0.5098039215686272</v>
      </c>
      <c r="S28" s="40">
        <f>COUNTIF(Vertices[Clustering Coefficient],"&gt;= "&amp;R28)-COUNTIF(Vertices[Clustering Coefficient],"&gt;="&amp;R29)</f>
        <v>0</v>
      </c>
      <c r="T28" s="34" t="e">
        <f ca="1" t="shared" si="9"/>
        <v>#REF!</v>
      </c>
      <c r="U28" s="35" t="e">
        <f ca="1" t="shared" si="10"/>
        <v>#REF!</v>
      </c>
    </row>
    <row r="29" spans="1:21" ht="15">
      <c r="A29" s="31" t="s">
        <v>157</v>
      </c>
      <c r="B29" s="31">
        <v>3.752676</v>
      </c>
      <c r="D29" s="29">
        <f t="shared" si="1"/>
        <v>0</v>
      </c>
      <c r="E29">
        <f>COUNTIF(Vertices[Degree],"&gt;= "&amp;D29)-COUNTIF(Vertices[Degree],"&gt;="&amp;D30)</f>
        <v>0</v>
      </c>
      <c r="F29" s="36">
        <f t="shared" si="2"/>
        <v>13.5</v>
      </c>
      <c r="G29" s="37">
        <f>COUNTIF(Vertices[In-Degree],"&gt;= "&amp;F29)-COUNTIF(Vertices[In-Degree],"&gt;="&amp;F30)</f>
        <v>0</v>
      </c>
      <c r="H29" s="36">
        <f t="shared" si="3"/>
        <v>16.676470588235286</v>
      </c>
      <c r="I29" s="37">
        <f>COUNTIF(Vertices[Out-Degree],"&gt;= "&amp;H29)-COUNTIF(Vertices[Out-Degree],"&gt;="&amp;H30)</f>
        <v>0</v>
      </c>
      <c r="J29" s="36">
        <f t="shared" si="4"/>
        <v>3572.203361558824</v>
      </c>
      <c r="K29" s="37">
        <f>COUNTIF(Vertices[Betweenness Centrality],"&gt;= "&amp;J29)-COUNTIF(Vertices[Betweenness Centrality],"&gt;="&amp;J30)</f>
        <v>0</v>
      </c>
      <c r="L29" s="36">
        <f t="shared" si="5"/>
        <v>0.0939258529411764</v>
      </c>
      <c r="M29" s="37">
        <f>COUNTIF(Vertices[Closeness Centrality],"&gt;= "&amp;L29)-COUNTIF(Vertices[Closeness Centrality],"&gt;="&amp;L30)</f>
        <v>5</v>
      </c>
      <c r="N29" s="36">
        <f t="shared" si="6"/>
        <v>0.4995976764705882</v>
      </c>
      <c r="O29" s="37">
        <f>COUNTIF(Vertices[Eigenvector Centrality],"&gt;= "&amp;N29)-COUNTIF(Vertices[Eigenvector Centrality],"&gt;="&amp;N30)</f>
        <v>0</v>
      </c>
      <c r="P29" s="36">
        <f t="shared" si="7"/>
        <v>0.008186205882352946</v>
      </c>
      <c r="Q29" s="37">
        <f>COUNTIF(Vertices[PageRank],"&gt;= "&amp;P29)-COUNTIF(Vertices[PageRank],"&gt;="&amp;P30)</f>
        <v>0</v>
      </c>
      <c r="R29" s="36">
        <f t="shared" si="8"/>
        <v>0.5294117647058821</v>
      </c>
      <c r="S29" s="41">
        <f>COUNTIF(Vertices[Clustering Coefficient],"&gt;= "&amp;R29)-COUNTIF(Vertices[Clustering Coefficient],"&gt;="&amp;R30)</f>
        <v>0</v>
      </c>
      <c r="T29" s="36" t="e">
        <f ca="1" t="shared" si="9"/>
        <v>#REF!</v>
      </c>
      <c r="U29" s="37" t="e">
        <f ca="1" t="shared" si="10"/>
        <v>#REF!</v>
      </c>
    </row>
    <row r="30" spans="1:21" ht="15">
      <c r="A30" s="109"/>
      <c r="B30" s="109"/>
      <c r="D30" s="29">
        <f t="shared" si="1"/>
        <v>0</v>
      </c>
      <c r="E30">
        <f>COUNTIF(Vertices[Degree],"&gt;= "&amp;D30)-COUNTIF(Vertices[Degree],"&gt;="&amp;D31)</f>
        <v>0</v>
      </c>
      <c r="F30" s="34">
        <f t="shared" si="2"/>
        <v>14</v>
      </c>
      <c r="G30" s="35">
        <f>COUNTIF(Vertices[In-Degree],"&gt;= "&amp;F30)-COUNTIF(Vertices[In-Degree],"&gt;="&amp;F31)</f>
        <v>0</v>
      </c>
      <c r="H30" s="34">
        <f t="shared" si="3"/>
        <v>17.294117647058815</v>
      </c>
      <c r="I30" s="35">
        <f>COUNTIF(Vertices[Out-Degree],"&gt;= "&amp;H30)-COUNTIF(Vertices[Out-Degree],"&gt;="&amp;H31)</f>
        <v>0</v>
      </c>
      <c r="J30" s="34">
        <f t="shared" si="4"/>
        <v>3704.5071897647063</v>
      </c>
      <c r="K30" s="35">
        <f>COUNTIF(Vertices[Betweenness Centrality],"&gt;= "&amp;J30)-COUNTIF(Vertices[Betweenness Centrality],"&gt;="&amp;J31)</f>
        <v>0</v>
      </c>
      <c r="L30" s="34">
        <f t="shared" si="5"/>
        <v>0.09740458823529405</v>
      </c>
      <c r="M30" s="35">
        <f>COUNTIF(Vertices[Closeness Centrality],"&gt;= "&amp;L30)-COUNTIF(Vertices[Closeness Centrality],"&gt;="&amp;L31)</f>
        <v>0</v>
      </c>
      <c r="N30" s="34">
        <f t="shared" si="6"/>
        <v>0.518101294117647</v>
      </c>
      <c r="O30" s="35">
        <f>COUNTIF(Vertices[Eigenvector Centrality],"&gt;= "&amp;N30)-COUNTIF(Vertices[Eigenvector Centrality],"&gt;="&amp;N31)</f>
        <v>0</v>
      </c>
      <c r="P30" s="34">
        <f t="shared" si="7"/>
        <v>0.00839117647058824</v>
      </c>
      <c r="Q30" s="35">
        <f>COUNTIF(Vertices[PageRank],"&gt;= "&amp;P30)-COUNTIF(Vertices[PageRank],"&gt;="&amp;P31)</f>
        <v>0</v>
      </c>
      <c r="R30" s="34">
        <f t="shared" si="8"/>
        <v>0.5490196078431371</v>
      </c>
      <c r="S30" s="40">
        <f>COUNTIF(Vertices[Clustering Coefficient],"&gt;= "&amp;R30)-COUNTIF(Vertices[Clustering Coefficient],"&gt;="&amp;R31)</f>
        <v>0</v>
      </c>
      <c r="T30" s="34" t="e">
        <f ca="1" t="shared" si="9"/>
        <v>#REF!</v>
      </c>
      <c r="U30" s="35" t="e">
        <f ca="1" t="shared" si="10"/>
        <v>#REF!</v>
      </c>
    </row>
    <row r="31" spans="1:21" ht="15">
      <c r="A31" s="31" t="s">
        <v>158</v>
      </c>
      <c r="B31" s="31">
        <v>0.002722458417244723</v>
      </c>
      <c r="D31" s="29">
        <f t="shared" si="1"/>
        <v>0</v>
      </c>
      <c r="E31">
        <f>COUNTIF(Vertices[Degree],"&gt;= "&amp;D31)-COUNTIF(Vertices[Degree],"&gt;="&amp;D32)</f>
        <v>0</v>
      </c>
      <c r="F31" s="36">
        <f t="shared" si="2"/>
        <v>14.5</v>
      </c>
      <c r="G31" s="37">
        <f>COUNTIF(Vertices[In-Degree],"&gt;= "&amp;F31)-COUNTIF(Vertices[In-Degree],"&gt;="&amp;F32)</f>
        <v>0</v>
      </c>
      <c r="H31" s="36">
        <f t="shared" si="3"/>
        <v>17.911764705882344</v>
      </c>
      <c r="I31" s="37">
        <f>COUNTIF(Vertices[Out-Degree],"&gt;= "&amp;H31)-COUNTIF(Vertices[Out-Degree],"&gt;="&amp;H32)</f>
        <v>0</v>
      </c>
      <c r="J31" s="36">
        <f t="shared" si="4"/>
        <v>3836.8110179705886</v>
      </c>
      <c r="K31" s="37">
        <f>COUNTIF(Vertices[Betweenness Centrality],"&gt;= "&amp;J31)-COUNTIF(Vertices[Betweenness Centrality],"&gt;="&amp;J32)</f>
        <v>0</v>
      </c>
      <c r="L31" s="36">
        <f t="shared" si="5"/>
        <v>0.10088332352941169</v>
      </c>
      <c r="M31" s="37">
        <f>COUNTIF(Vertices[Closeness Centrality],"&gt;= "&amp;L31)-COUNTIF(Vertices[Closeness Centrality],"&gt;="&amp;L32)</f>
        <v>1</v>
      </c>
      <c r="N31" s="36">
        <f t="shared" si="6"/>
        <v>0.5366049117647058</v>
      </c>
      <c r="O31" s="37">
        <f>COUNTIF(Vertices[Eigenvector Centrality],"&gt;= "&amp;N31)-COUNTIF(Vertices[Eigenvector Centrality],"&gt;="&amp;N32)</f>
        <v>0</v>
      </c>
      <c r="P31" s="36">
        <f t="shared" si="7"/>
        <v>0.008596147058823535</v>
      </c>
      <c r="Q31" s="37">
        <f>COUNTIF(Vertices[PageRank],"&gt;= "&amp;P31)-COUNTIF(Vertices[PageRank],"&gt;="&amp;P32)</f>
        <v>1</v>
      </c>
      <c r="R31" s="36">
        <f t="shared" si="8"/>
        <v>0.568627450980392</v>
      </c>
      <c r="S31" s="41">
        <f>COUNTIF(Vertices[Clustering Coefficient],"&gt;= "&amp;R31)-COUNTIF(Vertices[Clustering Coefficient],"&gt;="&amp;R32)</f>
        <v>0</v>
      </c>
      <c r="T31" s="36" t="e">
        <f ca="1" t="shared" si="9"/>
        <v>#REF!</v>
      </c>
      <c r="U31" s="37" t="e">
        <f ca="1" t="shared" si="10"/>
        <v>#REF!</v>
      </c>
    </row>
    <row r="32" spans="1:21" ht="15">
      <c r="A32" s="31" t="s">
        <v>3925</v>
      </c>
      <c r="B32" s="31">
        <v>0.621992</v>
      </c>
      <c r="D32" s="29">
        <f t="shared" si="1"/>
        <v>0</v>
      </c>
      <c r="E32">
        <f>COUNTIF(Vertices[Degree],"&gt;= "&amp;D32)-COUNTIF(Vertices[Degree],"&gt;="&amp;D33)</f>
        <v>0</v>
      </c>
      <c r="F32" s="34">
        <f t="shared" si="2"/>
        <v>15</v>
      </c>
      <c r="G32" s="35">
        <f>COUNTIF(Vertices[In-Degree],"&gt;= "&amp;F32)-COUNTIF(Vertices[In-Degree],"&gt;="&amp;F33)</f>
        <v>0</v>
      </c>
      <c r="H32" s="34">
        <f t="shared" si="3"/>
        <v>18.529411764705873</v>
      </c>
      <c r="I32" s="35">
        <f>COUNTIF(Vertices[Out-Degree],"&gt;= "&amp;H32)-COUNTIF(Vertices[Out-Degree],"&gt;="&amp;H33)</f>
        <v>0</v>
      </c>
      <c r="J32" s="34">
        <f t="shared" si="4"/>
        <v>3969.114846176471</v>
      </c>
      <c r="K32" s="35">
        <f>COUNTIF(Vertices[Betweenness Centrality],"&gt;= "&amp;J32)-COUNTIF(Vertices[Betweenness Centrality],"&gt;="&amp;J33)</f>
        <v>2</v>
      </c>
      <c r="L32" s="34">
        <f t="shared" si="5"/>
        <v>0.10436205882352934</v>
      </c>
      <c r="M32" s="35">
        <f>COUNTIF(Vertices[Closeness Centrality],"&gt;= "&amp;L32)-COUNTIF(Vertices[Closeness Centrality],"&gt;="&amp;L33)</f>
        <v>0</v>
      </c>
      <c r="N32" s="34">
        <f t="shared" si="6"/>
        <v>0.5551085294117646</v>
      </c>
      <c r="O32" s="35">
        <f>COUNTIF(Vertices[Eigenvector Centrality],"&gt;= "&amp;N32)-COUNTIF(Vertices[Eigenvector Centrality],"&gt;="&amp;N33)</f>
        <v>0</v>
      </c>
      <c r="P32" s="34">
        <f t="shared" si="7"/>
        <v>0.008801117647058829</v>
      </c>
      <c r="Q32" s="35">
        <f>COUNTIF(Vertices[PageRank],"&gt;= "&amp;P32)-COUNTIF(Vertices[PageRank],"&gt;="&amp;P33)</f>
        <v>0</v>
      </c>
      <c r="R32" s="34">
        <f t="shared" si="8"/>
        <v>0.588235294117647</v>
      </c>
      <c r="S32" s="40">
        <f>COUNTIF(Vertices[Clustering Coefficient],"&gt;= "&amp;R32)-COUNTIF(Vertices[Clustering Coefficient],"&gt;="&amp;R33)</f>
        <v>0</v>
      </c>
      <c r="T32" s="34" t="e">
        <f ca="1" t="shared" si="9"/>
        <v>#REF!</v>
      </c>
      <c r="U32" s="35" t="e">
        <f ca="1" t="shared" si="10"/>
        <v>#REF!</v>
      </c>
    </row>
    <row r="33" spans="1:21" ht="15">
      <c r="A33" s="109"/>
      <c r="B33" s="109"/>
      <c r="D33" s="29">
        <f t="shared" si="1"/>
        <v>0</v>
      </c>
      <c r="E33">
        <f>COUNTIF(Vertices[Degree],"&gt;= "&amp;D33)-COUNTIF(Vertices[Degree],"&gt;="&amp;D34)</f>
        <v>0</v>
      </c>
      <c r="F33" s="36">
        <f t="shared" si="2"/>
        <v>15.5</v>
      </c>
      <c r="G33" s="37">
        <f>COUNTIF(Vertices[In-Degree],"&gt;= "&amp;F33)-COUNTIF(Vertices[In-Degree],"&gt;="&amp;F34)</f>
        <v>0</v>
      </c>
      <c r="H33" s="36">
        <f t="shared" si="3"/>
        <v>19.147058823529402</v>
      </c>
      <c r="I33" s="37">
        <f>COUNTIF(Vertices[Out-Degree],"&gt;= "&amp;H33)-COUNTIF(Vertices[Out-Degree],"&gt;="&amp;H34)</f>
        <v>0</v>
      </c>
      <c r="J33" s="36">
        <f t="shared" si="4"/>
        <v>4101.418674382353</v>
      </c>
      <c r="K33" s="37">
        <f>COUNTIF(Vertices[Betweenness Centrality],"&gt;= "&amp;J33)-COUNTIF(Vertices[Betweenness Centrality],"&gt;="&amp;J34)</f>
        <v>0</v>
      </c>
      <c r="L33" s="36">
        <f t="shared" si="5"/>
        <v>0.10784079411764698</v>
      </c>
      <c r="M33" s="37">
        <f>COUNTIF(Vertices[Closeness Centrality],"&gt;= "&amp;L33)-COUNTIF(Vertices[Closeness Centrality],"&gt;="&amp;L34)</f>
        <v>0</v>
      </c>
      <c r="N33" s="36">
        <f t="shared" si="6"/>
        <v>0.5736121470588234</v>
      </c>
      <c r="O33" s="37">
        <f>COUNTIF(Vertices[Eigenvector Centrality],"&gt;= "&amp;N33)-COUNTIF(Vertices[Eigenvector Centrality],"&gt;="&amp;N34)</f>
        <v>0</v>
      </c>
      <c r="P33" s="36">
        <f t="shared" si="7"/>
        <v>0.009006088235294123</v>
      </c>
      <c r="Q33" s="37">
        <f>COUNTIF(Vertices[PageRank],"&gt;= "&amp;P33)-COUNTIF(Vertices[PageRank],"&gt;="&amp;P34)</f>
        <v>1</v>
      </c>
      <c r="R33" s="36">
        <f t="shared" si="8"/>
        <v>0.6078431372549019</v>
      </c>
      <c r="S33" s="41">
        <f>COUNTIF(Vertices[Clustering Coefficient],"&gt;= "&amp;R33)-COUNTIF(Vertices[Clustering Coefficient],"&gt;="&amp;R34)</f>
        <v>0</v>
      </c>
      <c r="T33" s="36" t="e">
        <f ca="1" t="shared" si="9"/>
        <v>#REF!</v>
      </c>
      <c r="U33" s="37" t="e">
        <f ca="1" t="shared" si="10"/>
        <v>#REF!</v>
      </c>
    </row>
    <row r="34" spans="1:21" ht="15">
      <c r="A34" s="31" t="s">
        <v>3926</v>
      </c>
      <c r="B34" s="31" t="s">
        <v>3941</v>
      </c>
      <c r="D34" s="29">
        <f t="shared" si="1"/>
        <v>0</v>
      </c>
      <c r="E34">
        <f>COUNTIF(Vertices[Degree],"&gt;= "&amp;D34)-COUNTIF(Vertices[Degree],"&gt;="&amp;D35)</f>
        <v>0</v>
      </c>
      <c r="F34" s="34">
        <f t="shared" si="2"/>
        <v>16</v>
      </c>
      <c r="G34" s="35">
        <f>COUNTIF(Vertices[In-Degree],"&gt;= "&amp;F34)-COUNTIF(Vertices[In-Degree],"&gt;="&amp;F35)</f>
        <v>0</v>
      </c>
      <c r="H34" s="34">
        <f t="shared" si="3"/>
        <v>19.76470588235293</v>
      </c>
      <c r="I34" s="35">
        <f>COUNTIF(Vertices[Out-Degree],"&gt;= "&amp;H34)-COUNTIF(Vertices[Out-Degree],"&gt;="&amp;H35)</f>
        <v>0</v>
      </c>
      <c r="J34" s="34">
        <f t="shared" si="4"/>
        <v>4233.722502588235</v>
      </c>
      <c r="K34" s="35">
        <f>COUNTIF(Vertices[Betweenness Centrality],"&gt;= "&amp;J34)-COUNTIF(Vertices[Betweenness Centrality],"&gt;="&amp;J35)</f>
        <v>0</v>
      </c>
      <c r="L34" s="34">
        <f t="shared" si="5"/>
        <v>0.11131952941176462</v>
      </c>
      <c r="M34" s="35">
        <f>COUNTIF(Vertices[Closeness Centrality],"&gt;= "&amp;L34)-COUNTIF(Vertices[Closeness Centrality],"&gt;="&amp;L35)</f>
        <v>0</v>
      </c>
      <c r="N34" s="34">
        <f t="shared" si="6"/>
        <v>0.5921157647058821</v>
      </c>
      <c r="O34" s="35">
        <f>COUNTIF(Vertices[Eigenvector Centrality],"&gt;= "&amp;N34)-COUNTIF(Vertices[Eigenvector Centrality],"&gt;="&amp;N35)</f>
        <v>0</v>
      </c>
      <c r="P34" s="34">
        <f t="shared" si="7"/>
        <v>0.009211058823529418</v>
      </c>
      <c r="Q34" s="35">
        <f>COUNTIF(Vertices[PageRank],"&gt;= "&amp;P34)-COUNTIF(Vertices[PageRank],"&gt;="&amp;P35)</f>
        <v>0</v>
      </c>
      <c r="R34" s="34">
        <f t="shared" si="8"/>
        <v>0.6274509803921569</v>
      </c>
      <c r="S34" s="40">
        <f>COUNTIF(Vertices[Clustering Coefficient],"&gt;= "&amp;R34)-COUNTIF(Vertices[Clustering Coefficient],"&gt;="&amp;R35)</f>
        <v>0</v>
      </c>
      <c r="T34" s="34" t="e">
        <f ca="1" t="shared" si="9"/>
        <v>#REF!</v>
      </c>
      <c r="U34" s="35" t="e">
        <f ca="1" t="shared" si="10"/>
        <v>#REF!</v>
      </c>
    </row>
    <row r="35" spans="1:21" ht="15">
      <c r="A35" s="109"/>
      <c r="B35" s="109"/>
      <c r="D35" s="29">
        <f t="shared" si="1"/>
        <v>0</v>
      </c>
      <c r="E35">
        <f>COUNTIF(Vertices[Degree],"&gt;= "&amp;D35)-COUNTIF(Vertices[Degree],"&gt;="&amp;D36)</f>
        <v>0</v>
      </c>
      <c r="F35" s="36">
        <f t="shared" si="2"/>
        <v>16.5</v>
      </c>
      <c r="G35" s="37">
        <f>COUNTIF(Vertices[In-Degree],"&gt;= "&amp;F35)-COUNTIF(Vertices[In-Degree],"&gt;="&amp;F36)</f>
        <v>0</v>
      </c>
      <c r="H35" s="36">
        <f t="shared" si="3"/>
        <v>20.38235294117646</v>
      </c>
      <c r="I35" s="37">
        <f>COUNTIF(Vertices[Out-Degree],"&gt;= "&amp;H35)-COUNTIF(Vertices[Out-Degree],"&gt;="&amp;H36)</f>
        <v>0</v>
      </c>
      <c r="J35" s="36">
        <f t="shared" si="4"/>
        <v>4366.026330794118</v>
      </c>
      <c r="K35" s="37">
        <f>COUNTIF(Vertices[Betweenness Centrality],"&gt;= "&amp;J35)-COUNTIF(Vertices[Betweenness Centrality],"&gt;="&amp;J36)</f>
        <v>0</v>
      </c>
      <c r="L35" s="36">
        <f t="shared" si="5"/>
        <v>0.11479826470588227</v>
      </c>
      <c r="M35" s="37">
        <f>COUNTIF(Vertices[Closeness Centrality],"&gt;= "&amp;L35)-COUNTIF(Vertices[Closeness Centrality],"&gt;="&amp;L36)</f>
        <v>3</v>
      </c>
      <c r="N35" s="36">
        <f t="shared" si="6"/>
        <v>0.6106193823529409</v>
      </c>
      <c r="O35" s="37">
        <f>COUNTIF(Vertices[Eigenvector Centrality],"&gt;= "&amp;N35)-COUNTIF(Vertices[Eigenvector Centrality],"&gt;="&amp;N36)</f>
        <v>0</v>
      </c>
      <c r="P35" s="36">
        <f t="shared" si="7"/>
        <v>0.009416029411764712</v>
      </c>
      <c r="Q35" s="37">
        <f>COUNTIF(Vertices[PageRank],"&gt;= "&amp;P35)-COUNTIF(Vertices[PageRank],"&gt;="&amp;P36)</f>
        <v>0</v>
      </c>
      <c r="R35" s="36">
        <f t="shared" si="8"/>
        <v>0.6470588235294118</v>
      </c>
      <c r="S35" s="41">
        <f>COUNTIF(Vertices[Clustering Coefficient],"&gt;= "&amp;R35)-COUNTIF(Vertices[Clustering Coefficient],"&gt;="&amp;R36)</f>
        <v>0</v>
      </c>
      <c r="T35" s="36" t="e">
        <f ca="1" t="shared" si="9"/>
        <v>#REF!</v>
      </c>
      <c r="U35" s="37" t="e">
        <f ca="1" t="shared" si="10"/>
        <v>#REF!</v>
      </c>
    </row>
    <row r="36" spans="1:21" ht="15">
      <c r="A36" s="31" t="s">
        <v>3927</v>
      </c>
      <c r="B36" s="31" t="s">
        <v>4757</v>
      </c>
      <c r="D36" s="29">
        <f>MAX(Vertices[Degree])</f>
        <v>0</v>
      </c>
      <c r="E36">
        <f>COUNTIF(Vertices[Degree],"&gt;= "&amp;D36)-COUNTIF(Vertices[Degree],"&gt;="&amp;#REF!)</f>
        <v>0</v>
      </c>
      <c r="F36" s="38">
        <f>MAX(Vertices[In-Degree])</f>
        <v>17</v>
      </c>
      <c r="G36" s="39">
        <f>COUNTIF(Vertices[In-Degree],"&gt;= "&amp;F36)-COUNTIF(Vertices[In-Degree],"&gt;="&amp;#REF!)</f>
        <v>2</v>
      </c>
      <c r="H36" s="38">
        <f>MAX(Vertices[Out-Degree])</f>
        <v>21</v>
      </c>
      <c r="I36" s="39">
        <f>COUNTIF(Vertices[Out-Degree],"&gt;= "&amp;H36)-COUNTIF(Vertices[Out-Degree],"&gt;="&amp;#REF!)</f>
        <v>1</v>
      </c>
      <c r="J36" s="38">
        <f>MAX(Vertices[Betweenness Centrality])</f>
        <v>4498.330159</v>
      </c>
      <c r="K36" s="39">
        <f>COUNTIF(Vertices[Betweenness Centrality],"&gt;= "&amp;J36)-COUNTIF(Vertices[Betweenness Centrality],"&gt;="&amp;#REF!)</f>
        <v>1</v>
      </c>
      <c r="L36" s="38">
        <f>MAX(Vertices[Closeness Centrality])</f>
        <v>0.118277</v>
      </c>
      <c r="M36" s="39">
        <f>COUNTIF(Vertices[Closeness Centrality],"&gt;= "&amp;L36)-COUNTIF(Vertices[Closeness Centrality],"&gt;="&amp;#REF!)</f>
        <v>1</v>
      </c>
      <c r="N36" s="38">
        <f>MAX(Vertices[Eigenvector Centrality])</f>
        <v>0.629123</v>
      </c>
      <c r="O36" s="39">
        <f>COUNTIF(Vertices[Eigenvector Centrality],"&gt;= "&amp;N36)-COUNTIF(Vertices[Eigenvector Centrality],"&gt;="&amp;#REF!)</f>
        <v>1</v>
      </c>
      <c r="P36" s="38">
        <f>MAX(Vertices[PageRank])</f>
        <v>0.009621</v>
      </c>
      <c r="Q36" s="39">
        <f>COUNTIF(Vertices[PageRank],"&gt;= "&amp;P36)-COUNTIF(Vertices[PageRank],"&gt;="&amp;#REF!)</f>
        <v>1</v>
      </c>
      <c r="R36" s="38">
        <f>MAX(Vertices[Clustering Coefficient])</f>
        <v>0.6666666666666666</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31" t="s">
        <v>3928</v>
      </c>
      <c r="B37" s="31" t="s">
        <v>4758</v>
      </c>
    </row>
    <row r="38" spans="1:2" ht="15">
      <c r="A38" s="109"/>
      <c r="B38" s="109"/>
    </row>
    <row r="39" spans="1:2" ht="15">
      <c r="A39" s="31" t="s">
        <v>3929</v>
      </c>
      <c r="B39" s="31" t="s">
        <v>4753</v>
      </c>
    </row>
    <row r="40" spans="1:2" ht="15">
      <c r="A40" s="31" t="s">
        <v>3930</v>
      </c>
      <c r="B40" s="31" t="s">
        <v>795</v>
      </c>
    </row>
    <row r="41" spans="1:2" ht="409.6">
      <c r="A41" s="31" t="s">
        <v>3931</v>
      </c>
      <c r="B41" s="50" t="s">
        <v>4754</v>
      </c>
    </row>
    <row r="42" spans="1:2" ht="15">
      <c r="A42" s="31" t="s">
        <v>3932</v>
      </c>
      <c r="B42" s="31" t="s">
        <v>4755</v>
      </c>
    </row>
    <row r="43" spans="1:2" ht="15">
      <c r="A43" s="31" t="s">
        <v>3933</v>
      </c>
      <c r="B43" s="31" t="s">
        <v>4756</v>
      </c>
    </row>
    <row r="44" spans="1:2" ht="15">
      <c r="A44" s="31" t="s">
        <v>3934</v>
      </c>
      <c r="B44" s="31" t="s">
        <v>3175</v>
      </c>
    </row>
    <row r="45" spans="1:2" ht="15">
      <c r="A45" s="31" t="s">
        <v>3935</v>
      </c>
      <c r="B45" s="31" t="s">
        <v>3175</v>
      </c>
    </row>
    <row r="46" spans="1:2" ht="15">
      <c r="A46" s="31" t="s">
        <v>3936</v>
      </c>
      <c r="B46" s="31" t="s">
        <v>3175</v>
      </c>
    </row>
    <row r="47" spans="1:2" ht="15">
      <c r="A47" s="31" t="s">
        <v>3937</v>
      </c>
      <c r="B47" s="31"/>
    </row>
    <row r="48" spans="1:2" ht="15">
      <c r="A48" s="31" t="s">
        <v>21</v>
      </c>
      <c r="B48" s="31"/>
    </row>
    <row r="49" spans="1:2" ht="15">
      <c r="A49" s="31" t="s">
        <v>3938</v>
      </c>
      <c r="B49" s="31" t="s">
        <v>34</v>
      </c>
    </row>
    <row r="50" spans="1:2" ht="15">
      <c r="A50" s="31" t="s">
        <v>3939</v>
      </c>
      <c r="B50" s="31"/>
    </row>
    <row r="51" spans="1:2" ht="15">
      <c r="A51" s="31" t="s">
        <v>3940</v>
      </c>
      <c r="B51" s="31"/>
    </row>
    <row r="53" spans="1:2" ht="15">
      <c r="A53" t="s">
        <v>163</v>
      </c>
      <c r="B53" t="s">
        <v>17</v>
      </c>
    </row>
    <row r="54" spans="1:2" ht="15">
      <c r="A54" s="30"/>
      <c r="B54" s="30"/>
    </row>
    <row r="67" spans="1:2" ht="15">
      <c r="A67" s="30" t="s">
        <v>81</v>
      </c>
      <c r="B67" s="43" t="str">
        <f>IF(COUNT(Vertices[Degree])&gt;0,D2,NoMetricMessage)</f>
        <v>Not Available</v>
      </c>
    </row>
    <row r="68" spans="1:2" ht="15">
      <c r="A68" s="30" t="s">
        <v>82</v>
      </c>
      <c r="B68" s="43" t="str">
        <f>IF(COUNT(Vertices[Degree])&gt;0,D36,NoMetricMessage)</f>
        <v>Not Available</v>
      </c>
    </row>
    <row r="69" spans="1:2" ht="15">
      <c r="A69" s="30" t="s">
        <v>83</v>
      </c>
      <c r="B69" s="44" t="str">
        <f>_xlfn.IFERROR(AVERAGE(Vertices[Degree]),NoMetricMessage)</f>
        <v>Not Available</v>
      </c>
    </row>
    <row r="70" spans="1:2" ht="15">
      <c r="A70" s="30" t="s">
        <v>84</v>
      </c>
      <c r="B70" s="44" t="str">
        <f>_xlfn.IFERROR(MEDIAN(Vertices[Degree]),NoMetricMessage)</f>
        <v>Not Available</v>
      </c>
    </row>
    <row r="81" spans="1:2" ht="15">
      <c r="A81" s="30" t="s">
        <v>88</v>
      </c>
      <c r="B81" s="43">
        <f>IF(COUNT(Vertices[In-Degree])&gt;0,F2,NoMetricMessage)</f>
        <v>0</v>
      </c>
    </row>
    <row r="82" spans="1:2" ht="15">
      <c r="A82" s="30" t="s">
        <v>89</v>
      </c>
      <c r="B82" s="43">
        <f>IF(COUNT(Vertices[In-Degree])&gt;0,F36,NoMetricMessage)</f>
        <v>17</v>
      </c>
    </row>
    <row r="83" spans="1:2" ht="15">
      <c r="A83" s="30" t="s">
        <v>90</v>
      </c>
      <c r="B83" s="44">
        <f>_xlfn.IFERROR(AVERAGE(Vertices[In-Degree]),NoMetricMessage)</f>
        <v>1.0304878048780488</v>
      </c>
    </row>
    <row r="84" spans="1:2" ht="15">
      <c r="A84" s="30" t="s">
        <v>91</v>
      </c>
      <c r="B84" s="44">
        <f>_xlfn.IFERROR(MEDIAN(Vertices[In-Degree]),NoMetricMessage)</f>
        <v>1</v>
      </c>
    </row>
    <row r="95" spans="1:2" ht="15">
      <c r="A95" s="30" t="s">
        <v>94</v>
      </c>
      <c r="B95" s="43">
        <f>IF(COUNT(Vertices[Out-Degree])&gt;0,H2,NoMetricMessage)</f>
        <v>0</v>
      </c>
    </row>
    <row r="96" spans="1:2" ht="15">
      <c r="A96" s="30" t="s">
        <v>95</v>
      </c>
      <c r="B96" s="43">
        <f>IF(COUNT(Vertices[Out-Degree])&gt;0,H36,NoMetricMessage)</f>
        <v>21</v>
      </c>
    </row>
    <row r="97" spans="1:2" ht="15">
      <c r="A97" s="30" t="s">
        <v>96</v>
      </c>
      <c r="B97" s="44">
        <f>_xlfn.IFERROR(AVERAGE(Vertices[Out-Degree]),NoMetricMessage)</f>
        <v>1.0304878048780488</v>
      </c>
    </row>
    <row r="98" spans="1:2" ht="15">
      <c r="A98" s="30" t="s">
        <v>97</v>
      </c>
      <c r="B98" s="44">
        <f>_xlfn.IFERROR(MEDIAN(Vertices[Out-Degree]),NoMetricMessage)</f>
        <v>1</v>
      </c>
    </row>
    <row r="109" spans="1:2" ht="15">
      <c r="A109" s="30" t="s">
        <v>100</v>
      </c>
      <c r="B109" s="44">
        <f>IF(COUNT(Vertices[Betweenness Centrality])&gt;0,J2,NoMetricMessage)</f>
        <v>0</v>
      </c>
    </row>
    <row r="110" spans="1:2" ht="15">
      <c r="A110" s="30" t="s">
        <v>101</v>
      </c>
      <c r="B110" s="44">
        <f>IF(COUNT(Vertices[Betweenness Centrality])&gt;0,J36,NoMetricMessage)</f>
        <v>4498.330159</v>
      </c>
    </row>
    <row r="111" spans="1:2" ht="15">
      <c r="A111" s="30" t="s">
        <v>102</v>
      </c>
      <c r="B111" s="44">
        <f>_xlfn.IFERROR(AVERAGE(Vertices[Betweenness Centrality]),NoMetricMessage)</f>
        <v>101.37195122560978</v>
      </c>
    </row>
    <row r="112" spans="1:2" ht="15">
      <c r="A112" s="30" t="s">
        <v>103</v>
      </c>
      <c r="B112" s="44">
        <f>_xlfn.IFERROR(MEDIAN(Vertices[Betweenness Centrality]),NoMetricMessage)</f>
        <v>0</v>
      </c>
    </row>
    <row r="123" spans="1:2" ht="15">
      <c r="A123" s="30" t="s">
        <v>106</v>
      </c>
      <c r="B123" s="44">
        <f>IF(COUNT(Vertices[Closeness Centrality])&gt;0,L2,NoMetricMessage)</f>
        <v>0</v>
      </c>
    </row>
    <row r="124" spans="1:2" ht="15">
      <c r="A124" s="30" t="s">
        <v>107</v>
      </c>
      <c r="B124" s="44">
        <f>IF(COUNT(Vertices[Closeness Centrality])&gt;0,L36,NoMetricMessage)</f>
        <v>0.118277</v>
      </c>
    </row>
    <row r="125" spans="1:2" ht="15">
      <c r="A125" s="30" t="s">
        <v>108</v>
      </c>
      <c r="B125" s="44">
        <f>_xlfn.IFERROR(AVERAGE(Vertices[Closeness Centrality]),NoMetricMessage)</f>
        <v>0.030955990853658494</v>
      </c>
    </row>
    <row r="126" spans="1:2" ht="15">
      <c r="A126" s="30" t="s">
        <v>109</v>
      </c>
      <c r="B126" s="44">
        <f>_xlfn.IFERROR(MEDIAN(Vertices[Closeness Centrality]),NoMetricMessage)</f>
        <v>0.012232</v>
      </c>
    </row>
    <row r="137" spans="1:2" ht="15">
      <c r="A137" s="30" t="s">
        <v>112</v>
      </c>
      <c r="B137" s="44">
        <f>IF(COUNT(Vertices[Eigenvector Centrality])&gt;0,N2,NoMetricMessage)</f>
        <v>0</v>
      </c>
    </row>
    <row r="138" spans="1:2" ht="15">
      <c r="A138" s="30" t="s">
        <v>113</v>
      </c>
      <c r="B138" s="44">
        <f>IF(COUNT(Vertices[Eigenvector Centrality])&gt;0,N36,NoMetricMessage)</f>
        <v>0.629123</v>
      </c>
    </row>
    <row r="139" spans="1:2" ht="15">
      <c r="A139" s="30" t="s">
        <v>114</v>
      </c>
      <c r="B139" s="44">
        <f>_xlfn.IFERROR(AVERAGE(Vertices[Eigenvector Centrality]),NoMetricMessage)</f>
        <v>0.018628457317073153</v>
      </c>
    </row>
    <row r="140" spans="1:2" ht="15">
      <c r="A140" s="30" t="s">
        <v>115</v>
      </c>
      <c r="B140" s="44">
        <f>_xlfn.IFERROR(MEDIAN(Vertices[Eigenvector Centrality]),NoMetricMessage)</f>
        <v>0</v>
      </c>
    </row>
    <row r="151" spans="1:2" ht="15">
      <c r="A151" s="30" t="s">
        <v>140</v>
      </c>
      <c r="B151" s="44">
        <f>IF(COUNT(Vertices[PageRank])&gt;0,P2,NoMetricMessage)</f>
        <v>0.002652</v>
      </c>
    </row>
    <row r="152" spans="1:2" ht="15">
      <c r="A152" s="30" t="s">
        <v>141</v>
      </c>
      <c r="B152" s="44">
        <f>IF(COUNT(Vertices[PageRank])&gt;0,P36,NoMetricMessage)</f>
        <v>0.009621</v>
      </c>
    </row>
    <row r="153" spans="1:2" ht="15">
      <c r="A153" s="30" t="s">
        <v>142</v>
      </c>
      <c r="B153" s="44">
        <f>_xlfn.IFERROR(AVERAGE(Vertices[PageRank]),NoMetricMessage)</f>
        <v>0.003048783536585365</v>
      </c>
    </row>
    <row r="154" spans="1:2" ht="15">
      <c r="A154" s="30" t="s">
        <v>143</v>
      </c>
      <c r="B154" s="44">
        <f>_xlfn.IFERROR(MEDIAN(Vertices[PageRank]),NoMetricMessage)</f>
        <v>0.002784</v>
      </c>
    </row>
    <row r="165" spans="1:2" ht="15">
      <c r="A165" s="30" t="s">
        <v>118</v>
      </c>
      <c r="B165" s="44">
        <f>IF(COUNT(Vertices[Clustering Coefficient])&gt;0,R2,NoMetricMessage)</f>
        <v>0</v>
      </c>
    </row>
    <row r="166" spans="1:2" ht="15">
      <c r="A166" s="30" t="s">
        <v>119</v>
      </c>
      <c r="B166" s="44">
        <f>IF(COUNT(Vertices[Clustering Coefficient])&gt;0,R36,NoMetricMessage)</f>
        <v>0.6666666666666666</v>
      </c>
    </row>
    <row r="167" spans="1:2" ht="15">
      <c r="A167" s="30" t="s">
        <v>120</v>
      </c>
      <c r="B167" s="44">
        <f>_xlfn.IFERROR(AVERAGE(Vertices[Clustering Coefficient]),NoMetricMessage)</f>
        <v>0.039541333546893084</v>
      </c>
    </row>
    <row r="168" spans="1:2" ht="15">
      <c r="A168" s="30" t="s">
        <v>121</v>
      </c>
      <c r="B168"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8"/>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3174</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21</v>
      </c>
      <c r="R6" t="s">
        <v>129</v>
      </c>
    </row>
    <row r="7" spans="1:11" ht="409.6">
      <c r="A7">
        <v>2</v>
      </c>
      <c r="B7">
        <v>1</v>
      </c>
      <c r="C7">
        <v>0</v>
      </c>
      <c r="D7" t="s">
        <v>60</v>
      </c>
      <c r="E7" t="s">
        <v>60</v>
      </c>
      <c r="F7">
        <v>2</v>
      </c>
      <c r="H7" t="s">
        <v>72</v>
      </c>
      <c r="J7" t="s">
        <v>175</v>
      </c>
      <c r="K7" s="7" t="s">
        <v>176</v>
      </c>
    </row>
    <row r="8" spans="1:11" ht="409.6">
      <c r="A8"/>
      <c r="B8">
        <v>2</v>
      </c>
      <c r="C8">
        <v>2</v>
      </c>
      <c r="D8" t="s">
        <v>61</v>
      </c>
      <c r="E8" t="s">
        <v>61</v>
      </c>
      <c r="H8" t="s">
        <v>73</v>
      </c>
      <c r="J8" t="s">
        <v>177</v>
      </c>
      <c r="K8" s="7" t="s">
        <v>178</v>
      </c>
    </row>
    <row r="9" spans="1:11" ht="409.6">
      <c r="A9"/>
      <c r="B9">
        <v>3</v>
      </c>
      <c r="C9">
        <v>4</v>
      </c>
      <c r="D9" t="s">
        <v>62</v>
      </c>
      <c r="E9" t="s">
        <v>62</v>
      </c>
      <c r="H9" t="s">
        <v>74</v>
      </c>
      <c r="J9" t="s">
        <v>179</v>
      </c>
      <c r="K9" s="7" t="s">
        <v>180</v>
      </c>
    </row>
    <row r="10" spans="1:11" ht="409.6">
      <c r="A10"/>
      <c r="B10">
        <v>4</v>
      </c>
      <c r="D10" t="s">
        <v>63</v>
      </c>
      <c r="E10" t="s">
        <v>63</v>
      </c>
      <c r="H10" t="s">
        <v>75</v>
      </c>
      <c r="J10" t="s">
        <v>181</v>
      </c>
      <c r="K10" s="7" t="s">
        <v>198</v>
      </c>
    </row>
    <row r="11" spans="1:11" ht="409.6">
      <c r="A11"/>
      <c r="B11">
        <v>5</v>
      </c>
      <c r="D11" t="s">
        <v>46</v>
      </c>
      <c r="E11">
        <v>1</v>
      </c>
      <c r="H11" t="s">
        <v>76</v>
      </c>
      <c r="J11" t="s">
        <v>182</v>
      </c>
      <c r="K11" s="7" t="s">
        <v>199</v>
      </c>
    </row>
    <row r="12" spans="1:11" ht="409.6">
      <c r="A12"/>
      <c r="B12"/>
      <c r="D12" t="s">
        <v>64</v>
      </c>
      <c r="E12">
        <v>2</v>
      </c>
      <c r="H12">
        <v>0</v>
      </c>
      <c r="J12" t="s">
        <v>183</v>
      </c>
      <c r="K12" s="7" t="s">
        <v>200</v>
      </c>
    </row>
    <row r="13" spans="1:11" ht="409.6">
      <c r="A13"/>
      <c r="B13"/>
      <c r="D13">
        <v>1</v>
      </c>
      <c r="E13">
        <v>3</v>
      </c>
      <c r="H13">
        <v>1</v>
      </c>
      <c r="J13" t="s">
        <v>184</v>
      </c>
      <c r="K13" s="7" t="s">
        <v>201</v>
      </c>
    </row>
    <row r="14" spans="4:11" ht="15">
      <c r="D14">
        <v>2</v>
      </c>
      <c r="E14">
        <v>4</v>
      </c>
      <c r="H14">
        <v>2</v>
      </c>
      <c r="J14" t="s">
        <v>185</v>
      </c>
      <c r="K14" t="s">
        <v>202</v>
      </c>
    </row>
    <row r="15" spans="4:11" ht="15">
      <c r="D15">
        <v>3</v>
      </c>
      <c r="E15">
        <v>5</v>
      </c>
      <c r="H15">
        <v>3</v>
      </c>
      <c r="J15" t="s">
        <v>186</v>
      </c>
      <c r="K15" t="s">
        <v>203</v>
      </c>
    </row>
    <row r="16" spans="4:11" ht="15">
      <c r="D16">
        <v>4</v>
      </c>
      <c r="E16">
        <v>6</v>
      </c>
      <c r="H16">
        <v>4</v>
      </c>
      <c r="J16" t="s">
        <v>187</v>
      </c>
      <c r="K16" t="s">
        <v>204</v>
      </c>
    </row>
    <row r="17" spans="4:11" ht="15">
      <c r="D17">
        <v>5</v>
      </c>
      <c r="E17">
        <v>7</v>
      </c>
      <c r="H17">
        <v>5</v>
      </c>
      <c r="J17" t="s">
        <v>188</v>
      </c>
      <c r="K17" t="s">
        <v>205</v>
      </c>
    </row>
    <row r="18" spans="4:11" ht="15">
      <c r="D18">
        <v>6</v>
      </c>
      <c r="E18">
        <v>8</v>
      </c>
      <c r="H18">
        <v>6</v>
      </c>
      <c r="J18" t="s">
        <v>189</v>
      </c>
      <c r="K18" t="s">
        <v>206</v>
      </c>
    </row>
    <row r="19" spans="4:11" ht="15">
      <c r="D19">
        <v>7</v>
      </c>
      <c r="E19">
        <v>9</v>
      </c>
      <c r="H19">
        <v>7</v>
      </c>
      <c r="J19" t="s">
        <v>190</v>
      </c>
      <c r="K19" t="s">
        <v>207</v>
      </c>
    </row>
    <row r="20" spans="4:11" ht="15">
      <c r="D20">
        <v>8</v>
      </c>
      <c r="H20">
        <v>8</v>
      </c>
      <c r="J20" t="s">
        <v>191</v>
      </c>
      <c r="K20" t="s">
        <v>208</v>
      </c>
    </row>
    <row r="21" spans="4:11" ht="15">
      <c r="D21">
        <v>9</v>
      </c>
      <c r="H21">
        <v>9</v>
      </c>
      <c r="J21" t="s">
        <v>192</v>
      </c>
      <c r="K21" t="s">
        <v>209</v>
      </c>
    </row>
    <row r="22" spans="4:11" ht="15">
      <c r="D22">
        <v>10</v>
      </c>
      <c r="J22" t="s">
        <v>193</v>
      </c>
      <c r="K22" t="s">
        <v>210</v>
      </c>
    </row>
    <row r="23" spans="4:11" ht="15">
      <c r="D23">
        <v>11</v>
      </c>
      <c r="J23" t="s">
        <v>194</v>
      </c>
      <c r="K23" t="s">
        <v>211</v>
      </c>
    </row>
    <row r="24" spans="10:11" ht="409.6">
      <c r="J24" t="s">
        <v>195</v>
      </c>
      <c r="K24" s="7" t="s">
        <v>212</v>
      </c>
    </row>
    <row r="25" spans="10:11" ht="409.6">
      <c r="J25" t="s">
        <v>196</v>
      </c>
      <c r="K25" s="7" t="s">
        <v>213</v>
      </c>
    </row>
    <row r="26" spans="10:11" ht="409.6">
      <c r="J26" t="s">
        <v>197</v>
      </c>
      <c r="K26" s="7" t="s">
        <v>214</v>
      </c>
    </row>
    <row r="27" spans="10:11" ht="15">
      <c r="J27" t="s">
        <v>215</v>
      </c>
      <c r="K27" t="s">
        <v>4751</v>
      </c>
    </row>
    <row r="28" spans="10:11" ht="409.6">
      <c r="J28" t="s">
        <v>216</v>
      </c>
      <c r="K28" s="7" t="s">
        <v>4752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9E3BD-C551-4038-B85B-636AF69EEF9D}">
  <dimension ref="A1:G1441"/>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3251</v>
      </c>
      <c r="B1" s="7" t="s">
        <v>3891</v>
      </c>
      <c r="C1" s="7" t="s">
        <v>3895</v>
      </c>
      <c r="D1" s="7" t="s">
        <v>144</v>
      </c>
      <c r="E1" s="7" t="s">
        <v>3897</v>
      </c>
      <c r="F1" s="7" t="s">
        <v>3898</v>
      </c>
      <c r="G1" s="7" t="s">
        <v>3899</v>
      </c>
    </row>
    <row r="2" spans="1:7" ht="15">
      <c r="A2" s="75" t="s">
        <v>3252</v>
      </c>
      <c r="B2" s="75" t="s">
        <v>3892</v>
      </c>
      <c r="C2" s="104"/>
      <c r="D2" s="75"/>
      <c r="E2" s="75"/>
      <c r="F2" s="75"/>
      <c r="G2" s="75"/>
    </row>
    <row r="3" spans="1:7" ht="15">
      <c r="A3" s="76" t="s">
        <v>3253</v>
      </c>
      <c r="B3" s="75" t="s">
        <v>3893</v>
      </c>
      <c r="C3" s="104"/>
      <c r="D3" s="75"/>
      <c r="E3" s="75"/>
      <c r="F3" s="75"/>
      <c r="G3" s="75"/>
    </row>
    <row r="4" spans="1:7" ht="15">
      <c r="A4" s="76" t="s">
        <v>3254</v>
      </c>
      <c r="B4" s="75" t="s">
        <v>3894</v>
      </c>
      <c r="C4" s="104"/>
      <c r="D4" s="75"/>
      <c r="E4" s="75"/>
      <c r="F4" s="75"/>
      <c r="G4" s="75"/>
    </row>
    <row r="5" spans="1:7" ht="15">
      <c r="A5" s="76" t="s">
        <v>3255</v>
      </c>
      <c r="B5" s="75">
        <v>85</v>
      </c>
      <c r="C5" s="104">
        <v>0.012878787878787878</v>
      </c>
      <c r="D5" s="75"/>
      <c r="E5" s="75"/>
      <c r="F5" s="75"/>
      <c r="G5" s="75"/>
    </row>
    <row r="6" spans="1:7" ht="15">
      <c r="A6" s="76" t="s">
        <v>3256</v>
      </c>
      <c r="B6" s="75">
        <v>102</v>
      </c>
      <c r="C6" s="104">
        <v>0.015454545454545453</v>
      </c>
      <c r="D6" s="75"/>
      <c r="E6" s="75"/>
      <c r="F6" s="75"/>
      <c r="G6" s="75"/>
    </row>
    <row r="7" spans="1:7" ht="15">
      <c r="A7" s="76" t="s">
        <v>3257</v>
      </c>
      <c r="B7" s="75">
        <v>0</v>
      </c>
      <c r="C7" s="104">
        <v>0</v>
      </c>
      <c r="D7" s="75"/>
      <c r="E7" s="75"/>
      <c r="F7" s="75"/>
      <c r="G7" s="75"/>
    </row>
    <row r="8" spans="1:7" ht="15">
      <c r="A8" s="76" t="s">
        <v>3258</v>
      </c>
      <c r="B8" s="75">
        <v>6413</v>
      </c>
      <c r="C8" s="104">
        <v>0.9716666666666667</v>
      </c>
      <c r="D8" s="75"/>
      <c r="E8" s="75"/>
      <c r="F8" s="75"/>
      <c r="G8" s="75"/>
    </row>
    <row r="9" spans="1:7" ht="15">
      <c r="A9" s="76" t="s">
        <v>3259</v>
      </c>
      <c r="B9" s="75">
        <v>6600</v>
      </c>
      <c r="C9" s="104">
        <v>1</v>
      </c>
      <c r="D9" s="75"/>
      <c r="E9" s="75"/>
      <c r="F9" s="75"/>
      <c r="G9" s="75"/>
    </row>
    <row r="10" spans="1:7" ht="15">
      <c r="A10" s="81" t="s">
        <v>3260</v>
      </c>
      <c r="B10" s="80">
        <v>332</v>
      </c>
      <c r="C10" s="105">
        <v>0.0010769836104058657</v>
      </c>
      <c r="D10" s="80" t="s">
        <v>3896</v>
      </c>
      <c r="E10" s="80" t="b">
        <v>0</v>
      </c>
      <c r="F10" s="80" t="b">
        <v>0</v>
      </c>
      <c r="G10" s="80" t="b">
        <v>0</v>
      </c>
    </row>
    <row r="11" spans="1:7" ht="15">
      <c r="A11" s="81" t="s">
        <v>3261</v>
      </c>
      <c r="B11" s="80">
        <v>79</v>
      </c>
      <c r="C11" s="105">
        <v>0.010357147346341682</v>
      </c>
      <c r="D11" s="80" t="s">
        <v>3896</v>
      </c>
      <c r="E11" s="80" t="b">
        <v>0</v>
      </c>
      <c r="F11" s="80" t="b">
        <v>0</v>
      </c>
      <c r="G11" s="80" t="b">
        <v>0</v>
      </c>
    </row>
    <row r="12" spans="1:7" ht="15">
      <c r="A12" s="81" t="s">
        <v>3262</v>
      </c>
      <c r="B12" s="80">
        <v>50</v>
      </c>
      <c r="C12" s="105">
        <v>0.01585699169122365</v>
      </c>
      <c r="D12" s="80" t="s">
        <v>3896</v>
      </c>
      <c r="E12" s="80" t="b">
        <v>0</v>
      </c>
      <c r="F12" s="80" t="b">
        <v>0</v>
      </c>
      <c r="G12" s="80" t="b">
        <v>0</v>
      </c>
    </row>
    <row r="13" spans="1:7" ht="15">
      <c r="A13" s="81" t="s">
        <v>3263</v>
      </c>
      <c r="B13" s="80">
        <v>43</v>
      </c>
      <c r="C13" s="105">
        <v>0.007991594493846696</v>
      </c>
      <c r="D13" s="80" t="s">
        <v>3896</v>
      </c>
      <c r="E13" s="80" t="b">
        <v>0</v>
      </c>
      <c r="F13" s="80" t="b">
        <v>0</v>
      </c>
      <c r="G13" s="80" t="b">
        <v>0</v>
      </c>
    </row>
    <row r="14" spans="1:7" ht="15">
      <c r="A14" s="81" t="s">
        <v>3264</v>
      </c>
      <c r="B14" s="80">
        <v>43</v>
      </c>
      <c r="C14" s="105">
        <v>0.007991594493846696</v>
      </c>
      <c r="D14" s="80" t="s">
        <v>3896</v>
      </c>
      <c r="E14" s="80" t="b">
        <v>0</v>
      </c>
      <c r="F14" s="80" t="b">
        <v>0</v>
      </c>
      <c r="G14" s="80" t="b">
        <v>0</v>
      </c>
    </row>
    <row r="15" spans="1:7" ht="15">
      <c r="A15" s="81" t="s">
        <v>3265</v>
      </c>
      <c r="B15" s="80">
        <v>43</v>
      </c>
      <c r="C15" s="105">
        <v>0.007991594493846696</v>
      </c>
      <c r="D15" s="80" t="s">
        <v>3896</v>
      </c>
      <c r="E15" s="80" t="b">
        <v>0</v>
      </c>
      <c r="F15" s="80" t="b">
        <v>0</v>
      </c>
      <c r="G15" s="80" t="b">
        <v>0</v>
      </c>
    </row>
    <row r="16" spans="1:7" ht="15">
      <c r="A16" s="81" t="s">
        <v>500</v>
      </c>
      <c r="B16" s="80">
        <v>42</v>
      </c>
      <c r="C16" s="105">
        <v>0.008477447107213137</v>
      </c>
      <c r="D16" s="80" t="s">
        <v>3896</v>
      </c>
      <c r="E16" s="80" t="b">
        <v>0</v>
      </c>
      <c r="F16" s="80" t="b">
        <v>0</v>
      </c>
      <c r="G16" s="80" t="b">
        <v>0</v>
      </c>
    </row>
    <row r="17" spans="1:7" ht="15">
      <c r="A17" s="81" t="s">
        <v>3266</v>
      </c>
      <c r="B17" s="80">
        <v>37</v>
      </c>
      <c r="C17" s="105">
        <v>0.007376979283530617</v>
      </c>
      <c r="D17" s="80" t="s">
        <v>3896</v>
      </c>
      <c r="E17" s="80" t="b">
        <v>0</v>
      </c>
      <c r="F17" s="80" t="b">
        <v>0</v>
      </c>
      <c r="G17" s="80" t="b">
        <v>0</v>
      </c>
    </row>
    <row r="18" spans="1:7" ht="15">
      <c r="A18" s="81" t="s">
        <v>3267</v>
      </c>
      <c r="B18" s="80">
        <v>35</v>
      </c>
      <c r="C18" s="105">
        <v>0.009248176530257442</v>
      </c>
      <c r="D18" s="80" t="s">
        <v>3896</v>
      </c>
      <c r="E18" s="80" t="b">
        <v>0</v>
      </c>
      <c r="F18" s="80" t="b">
        <v>0</v>
      </c>
      <c r="G18" s="80" t="b">
        <v>0</v>
      </c>
    </row>
    <row r="19" spans="1:7" ht="15">
      <c r="A19" s="81" t="s">
        <v>3268</v>
      </c>
      <c r="B19" s="80">
        <v>34</v>
      </c>
      <c r="C19" s="105">
        <v>0.009158865577625592</v>
      </c>
      <c r="D19" s="80" t="s">
        <v>3896</v>
      </c>
      <c r="E19" s="80" t="b">
        <v>0</v>
      </c>
      <c r="F19" s="80" t="b">
        <v>0</v>
      </c>
      <c r="G19" s="80" t="b">
        <v>0</v>
      </c>
    </row>
    <row r="20" spans="1:7" ht="15">
      <c r="A20" s="81" t="s">
        <v>3269</v>
      </c>
      <c r="B20" s="80">
        <v>27</v>
      </c>
      <c r="C20" s="105">
        <v>0.006148926470298561</v>
      </c>
      <c r="D20" s="80" t="s">
        <v>3896</v>
      </c>
      <c r="E20" s="80" t="b">
        <v>0</v>
      </c>
      <c r="F20" s="80" t="b">
        <v>0</v>
      </c>
      <c r="G20" s="80" t="b">
        <v>0</v>
      </c>
    </row>
    <row r="21" spans="1:7" ht="15">
      <c r="A21" s="81" t="s">
        <v>3270</v>
      </c>
      <c r="B21" s="80">
        <v>25</v>
      </c>
      <c r="C21" s="105">
        <v>0.005866630515704895</v>
      </c>
      <c r="D21" s="80" t="s">
        <v>3896</v>
      </c>
      <c r="E21" s="80" t="b">
        <v>0</v>
      </c>
      <c r="F21" s="80" t="b">
        <v>0</v>
      </c>
      <c r="G21" s="80" t="b">
        <v>0</v>
      </c>
    </row>
    <row r="22" spans="1:7" ht="15">
      <c r="A22" s="81" t="s">
        <v>3271</v>
      </c>
      <c r="B22" s="80">
        <v>25</v>
      </c>
      <c r="C22" s="105">
        <v>0.005866630515704895</v>
      </c>
      <c r="D22" s="80" t="s">
        <v>3896</v>
      </c>
      <c r="E22" s="80" t="b">
        <v>0</v>
      </c>
      <c r="F22" s="80" t="b">
        <v>0</v>
      </c>
      <c r="G22" s="80" t="b">
        <v>0</v>
      </c>
    </row>
    <row r="23" spans="1:7" ht="15">
      <c r="A23" s="81" t="s">
        <v>3272</v>
      </c>
      <c r="B23" s="80">
        <v>25</v>
      </c>
      <c r="C23" s="105">
        <v>0.005866630515704895</v>
      </c>
      <c r="D23" s="80" t="s">
        <v>3896</v>
      </c>
      <c r="E23" s="80" t="b">
        <v>0</v>
      </c>
      <c r="F23" s="80" t="b">
        <v>0</v>
      </c>
      <c r="G23" s="80" t="b">
        <v>0</v>
      </c>
    </row>
    <row r="24" spans="1:7" ht="15">
      <c r="A24" s="81" t="s">
        <v>3273</v>
      </c>
      <c r="B24" s="80">
        <v>25</v>
      </c>
      <c r="C24" s="105">
        <v>0.005866630515704895</v>
      </c>
      <c r="D24" s="80" t="s">
        <v>3896</v>
      </c>
      <c r="E24" s="80" t="b">
        <v>0</v>
      </c>
      <c r="F24" s="80" t="b">
        <v>0</v>
      </c>
      <c r="G24" s="80" t="b">
        <v>0</v>
      </c>
    </row>
    <row r="25" spans="1:7" ht="15">
      <c r="A25" s="81" t="s">
        <v>3274</v>
      </c>
      <c r="B25" s="80">
        <v>25</v>
      </c>
      <c r="C25" s="105">
        <v>0.005866630515704895</v>
      </c>
      <c r="D25" s="80" t="s">
        <v>3896</v>
      </c>
      <c r="E25" s="80" t="b">
        <v>0</v>
      </c>
      <c r="F25" s="80" t="b">
        <v>0</v>
      </c>
      <c r="G25" s="80" t="b">
        <v>0</v>
      </c>
    </row>
    <row r="26" spans="1:7" ht="15">
      <c r="A26" s="81" t="s">
        <v>3275</v>
      </c>
      <c r="B26" s="80">
        <v>25</v>
      </c>
      <c r="C26" s="105">
        <v>0.005866630515704895</v>
      </c>
      <c r="D26" s="80" t="s">
        <v>3896</v>
      </c>
      <c r="E26" s="80" t="b">
        <v>0</v>
      </c>
      <c r="F26" s="80" t="b">
        <v>0</v>
      </c>
      <c r="G26" s="80" t="b">
        <v>0</v>
      </c>
    </row>
    <row r="27" spans="1:7" ht="15">
      <c r="A27" s="81" t="s">
        <v>3276</v>
      </c>
      <c r="B27" s="80">
        <v>25</v>
      </c>
      <c r="C27" s="105">
        <v>0.005866630515704895</v>
      </c>
      <c r="D27" s="80" t="s">
        <v>3896</v>
      </c>
      <c r="E27" s="80" t="b">
        <v>0</v>
      </c>
      <c r="F27" s="80" t="b">
        <v>0</v>
      </c>
      <c r="G27" s="80" t="b">
        <v>0</v>
      </c>
    </row>
    <row r="28" spans="1:7" ht="15">
      <c r="A28" s="81" t="s">
        <v>3277</v>
      </c>
      <c r="B28" s="80">
        <v>25</v>
      </c>
      <c r="C28" s="105">
        <v>0.005866630515704895</v>
      </c>
      <c r="D28" s="80" t="s">
        <v>3896</v>
      </c>
      <c r="E28" s="80" t="b">
        <v>0</v>
      </c>
      <c r="F28" s="80" t="b">
        <v>0</v>
      </c>
      <c r="G28" s="80" t="b">
        <v>0</v>
      </c>
    </row>
    <row r="29" spans="1:7" ht="15">
      <c r="A29" s="81" t="s">
        <v>3278</v>
      </c>
      <c r="B29" s="80">
        <v>25</v>
      </c>
      <c r="C29" s="105">
        <v>0.005866630515704895</v>
      </c>
      <c r="D29" s="80" t="s">
        <v>3896</v>
      </c>
      <c r="E29" s="80" t="b">
        <v>0</v>
      </c>
      <c r="F29" s="80" t="b">
        <v>0</v>
      </c>
      <c r="G29" s="80" t="b">
        <v>0</v>
      </c>
    </row>
    <row r="30" spans="1:7" ht="15">
      <c r="A30" s="81" t="s">
        <v>3279</v>
      </c>
      <c r="B30" s="80">
        <v>20</v>
      </c>
      <c r="C30" s="105">
        <v>0.005095003948348604</v>
      </c>
      <c r="D30" s="80" t="s">
        <v>3896</v>
      </c>
      <c r="E30" s="80" t="b">
        <v>0</v>
      </c>
      <c r="F30" s="80" t="b">
        <v>0</v>
      </c>
      <c r="G30" s="80" t="b">
        <v>0</v>
      </c>
    </row>
    <row r="31" spans="1:7" ht="15">
      <c r="A31" s="81" t="s">
        <v>3280</v>
      </c>
      <c r="B31" s="80">
        <v>19</v>
      </c>
      <c r="C31" s="105">
        <v>0.004927974268964728</v>
      </c>
      <c r="D31" s="80" t="s">
        <v>3896</v>
      </c>
      <c r="E31" s="80" t="b">
        <v>0</v>
      </c>
      <c r="F31" s="80" t="b">
        <v>0</v>
      </c>
      <c r="G31" s="80" t="b">
        <v>0</v>
      </c>
    </row>
    <row r="32" spans="1:7" ht="15">
      <c r="A32" s="81" t="s">
        <v>3281</v>
      </c>
      <c r="B32" s="80">
        <v>19</v>
      </c>
      <c r="C32" s="105">
        <v>0.004927974268964728</v>
      </c>
      <c r="D32" s="80" t="s">
        <v>3896</v>
      </c>
      <c r="E32" s="80" t="b">
        <v>0</v>
      </c>
      <c r="F32" s="80" t="b">
        <v>0</v>
      </c>
      <c r="G32" s="80" t="b">
        <v>0</v>
      </c>
    </row>
    <row r="33" spans="1:7" ht="15">
      <c r="A33" s="81" t="s">
        <v>3282</v>
      </c>
      <c r="B33" s="80">
        <v>18</v>
      </c>
      <c r="C33" s="105">
        <v>0.004756205072703828</v>
      </c>
      <c r="D33" s="80" t="s">
        <v>3896</v>
      </c>
      <c r="E33" s="80" t="b">
        <v>0</v>
      </c>
      <c r="F33" s="80" t="b">
        <v>0</v>
      </c>
      <c r="G33" s="80" t="b">
        <v>0</v>
      </c>
    </row>
    <row r="34" spans="1:7" ht="15">
      <c r="A34" s="81" t="s">
        <v>3283</v>
      </c>
      <c r="B34" s="80">
        <v>18</v>
      </c>
      <c r="C34" s="105">
        <v>0.004756205072703828</v>
      </c>
      <c r="D34" s="80" t="s">
        <v>3896</v>
      </c>
      <c r="E34" s="80" t="b">
        <v>0</v>
      </c>
      <c r="F34" s="80" t="b">
        <v>0</v>
      </c>
      <c r="G34" s="80" t="b">
        <v>0</v>
      </c>
    </row>
    <row r="35" spans="1:7" ht="15">
      <c r="A35" s="81" t="s">
        <v>3284</v>
      </c>
      <c r="B35" s="80">
        <v>18</v>
      </c>
      <c r="C35" s="105">
        <v>0.004756205072703828</v>
      </c>
      <c r="D35" s="80" t="s">
        <v>3896</v>
      </c>
      <c r="E35" s="80" t="b">
        <v>0</v>
      </c>
      <c r="F35" s="80" t="b">
        <v>0</v>
      </c>
      <c r="G35" s="80" t="b">
        <v>0</v>
      </c>
    </row>
    <row r="36" spans="1:7" ht="15">
      <c r="A36" s="81" t="s">
        <v>3285</v>
      </c>
      <c r="B36" s="80">
        <v>18</v>
      </c>
      <c r="C36" s="105">
        <v>0.005051596249669061</v>
      </c>
      <c r="D36" s="80" t="s">
        <v>3896</v>
      </c>
      <c r="E36" s="80" t="b">
        <v>0</v>
      </c>
      <c r="F36" s="80" t="b">
        <v>0</v>
      </c>
      <c r="G36" s="80" t="b">
        <v>0</v>
      </c>
    </row>
    <row r="37" spans="1:7" ht="15">
      <c r="A37" s="81" t="s">
        <v>3286</v>
      </c>
      <c r="B37" s="80">
        <v>18</v>
      </c>
      <c r="C37" s="105">
        <v>0.004756205072703828</v>
      </c>
      <c r="D37" s="80" t="s">
        <v>3896</v>
      </c>
      <c r="E37" s="80" t="b">
        <v>0</v>
      </c>
      <c r="F37" s="80" t="b">
        <v>0</v>
      </c>
      <c r="G37" s="80" t="b">
        <v>0</v>
      </c>
    </row>
    <row r="38" spans="1:7" ht="15">
      <c r="A38" s="81" t="s">
        <v>3287</v>
      </c>
      <c r="B38" s="80">
        <v>18</v>
      </c>
      <c r="C38" s="105">
        <v>0.004756205072703828</v>
      </c>
      <c r="D38" s="80" t="s">
        <v>3896</v>
      </c>
      <c r="E38" s="80" t="b">
        <v>0</v>
      </c>
      <c r="F38" s="80" t="b">
        <v>0</v>
      </c>
      <c r="G38" s="80" t="b">
        <v>0</v>
      </c>
    </row>
    <row r="39" spans="1:7" ht="15">
      <c r="A39" s="81" t="s">
        <v>3288</v>
      </c>
      <c r="B39" s="80">
        <v>17</v>
      </c>
      <c r="C39" s="105">
        <v>0.004579432788812796</v>
      </c>
      <c r="D39" s="80" t="s">
        <v>3896</v>
      </c>
      <c r="E39" s="80" t="b">
        <v>0</v>
      </c>
      <c r="F39" s="80" t="b">
        <v>0</v>
      </c>
      <c r="G39" s="80" t="b">
        <v>0</v>
      </c>
    </row>
    <row r="40" spans="1:7" ht="15">
      <c r="A40" s="81" t="s">
        <v>3289</v>
      </c>
      <c r="B40" s="80">
        <v>17</v>
      </c>
      <c r="C40" s="105">
        <v>0.005732821780433027</v>
      </c>
      <c r="D40" s="80" t="s">
        <v>3896</v>
      </c>
      <c r="E40" s="80" t="b">
        <v>0</v>
      </c>
      <c r="F40" s="80" t="b">
        <v>1</v>
      </c>
      <c r="G40" s="80" t="b">
        <v>0</v>
      </c>
    </row>
    <row r="41" spans="1:7" ht="15">
      <c r="A41" s="81" t="s">
        <v>3290</v>
      </c>
      <c r="B41" s="80">
        <v>17</v>
      </c>
      <c r="C41" s="105">
        <v>0.0047709520135763355</v>
      </c>
      <c r="D41" s="80" t="s">
        <v>3896</v>
      </c>
      <c r="E41" s="80" t="b">
        <v>0</v>
      </c>
      <c r="F41" s="80" t="b">
        <v>0</v>
      </c>
      <c r="G41" s="80" t="b">
        <v>0</v>
      </c>
    </row>
    <row r="42" spans="1:7" ht="15">
      <c r="A42" s="81" t="s">
        <v>542</v>
      </c>
      <c r="B42" s="80">
        <v>17</v>
      </c>
      <c r="C42" s="105">
        <v>0.004672197961513301</v>
      </c>
      <c r="D42" s="80" t="s">
        <v>3896</v>
      </c>
      <c r="E42" s="80" t="b">
        <v>0</v>
      </c>
      <c r="F42" s="80" t="b">
        <v>0</v>
      </c>
      <c r="G42" s="80" t="b">
        <v>0</v>
      </c>
    </row>
    <row r="43" spans="1:7" ht="15">
      <c r="A43" s="81" t="s">
        <v>3291</v>
      </c>
      <c r="B43" s="80">
        <v>17</v>
      </c>
      <c r="C43" s="105">
        <v>0.004579432788812796</v>
      </c>
      <c r="D43" s="80" t="s">
        <v>3896</v>
      </c>
      <c r="E43" s="80" t="b">
        <v>0</v>
      </c>
      <c r="F43" s="80" t="b">
        <v>0</v>
      </c>
      <c r="G43" s="80" t="b">
        <v>0</v>
      </c>
    </row>
    <row r="44" spans="1:7" ht="15">
      <c r="A44" s="81" t="s">
        <v>3292</v>
      </c>
      <c r="B44" s="80">
        <v>17</v>
      </c>
      <c r="C44" s="105">
        <v>0.004579432788812796</v>
      </c>
      <c r="D44" s="80" t="s">
        <v>3896</v>
      </c>
      <c r="E44" s="80" t="b">
        <v>0</v>
      </c>
      <c r="F44" s="80" t="b">
        <v>0</v>
      </c>
      <c r="G44" s="80" t="b">
        <v>0</v>
      </c>
    </row>
    <row r="45" spans="1:7" ht="15">
      <c r="A45" s="81" t="s">
        <v>3293</v>
      </c>
      <c r="B45" s="80">
        <v>17</v>
      </c>
      <c r="C45" s="105">
        <v>0.004579432788812796</v>
      </c>
      <c r="D45" s="80" t="s">
        <v>3896</v>
      </c>
      <c r="E45" s="80" t="b">
        <v>0</v>
      </c>
      <c r="F45" s="80" t="b">
        <v>0</v>
      </c>
      <c r="G45" s="80" t="b">
        <v>0</v>
      </c>
    </row>
    <row r="46" spans="1:7" ht="15">
      <c r="A46" s="81" t="s">
        <v>3294</v>
      </c>
      <c r="B46" s="80">
        <v>17</v>
      </c>
      <c r="C46" s="105">
        <v>0.004579432788812796</v>
      </c>
      <c r="D46" s="80" t="s">
        <v>3896</v>
      </c>
      <c r="E46" s="80" t="b">
        <v>0</v>
      </c>
      <c r="F46" s="80" t="b">
        <v>0</v>
      </c>
      <c r="G46" s="80" t="b">
        <v>0</v>
      </c>
    </row>
    <row r="47" spans="1:7" ht="15">
      <c r="A47" s="81" t="s">
        <v>3295</v>
      </c>
      <c r="B47" s="80">
        <v>17</v>
      </c>
      <c r="C47" s="105">
        <v>0.004579432788812796</v>
      </c>
      <c r="D47" s="80" t="s">
        <v>3896</v>
      </c>
      <c r="E47" s="80" t="b">
        <v>0</v>
      </c>
      <c r="F47" s="80" t="b">
        <v>0</v>
      </c>
      <c r="G47" s="80" t="b">
        <v>0</v>
      </c>
    </row>
    <row r="48" spans="1:7" ht="15">
      <c r="A48" s="81" t="s">
        <v>3296</v>
      </c>
      <c r="B48" s="80">
        <v>17</v>
      </c>
      <c r="C48" s="105">
        <v>0.004579432788812796</v>
      </c>
      <c r="D48" s="80" t="s">
        <v>3896</v>
      </c>
      <c r="E48" s="80" t="b">
        <v>0</v>
      </c>
      <c r="F48" s="80" t="b">
        <v>0</v>
      </c>
      <c r="G48" s="80" t="b">
        <v>0</v>
      </c>
    </row>
    <row r="49" spans="1:7" ht="15">
      <c r="A49" s="81" t="s">
        <v>3297</v>
      </c>
      <c r="B49" s="80">
        <v>17</v>
      </c>
      <c r="C49" s="105">
        <v>0.004579432788812796</v>
      </c>
      <c r="D49" s="80" t="s">
        <v>3896</v>
      </c>
      <c r="E49" s="80" t="b">
        <v>0</v>
      </c>
      <c r="F49" s="80" t="b">
        <v>0</v>
      </c>
      <c r="G49" s="80" t="b">
        <v>0</v>
      </c>
    </row>
    <row r="50" spans="1:7" ht="15">
      <c r="A50" s="81" t="s">
        <v>3298</v>
      </c>
      <c r="B50" s="80">
        <v>17</v>
      </c>
      <c r="C50" s="105">
        <v>0.004579432788812796</v>
      </c>
      <c r="D50" s="80" t="s">
        <v>3896</v>
      </c>
      <c r="E50" s="80" t="b">
        <v>1</v>
      </c>
      <c r="F50" s="80" t="b">
        <v>0</v>
      </c>
      <c r="G50" s="80" t="b">
        <v>0</v>
      </c>
    </row>
    <row r="51" spans="1:7" ht="15">
      <c r="A51" s="81" t="s">
        <v>3299</v>
      </c>
      <c r="B51" s="80">
        <v>17</v>
      </c>
      <c r="C51" s="105">
        <v>0.004579432788812796</v>
      </c>
      <c r="D51" s="80" t="s">
        <v>3896</v>
      </c>
      <c r="E51" s="80" t="b">
        <v>0</v>
      </c>
      <c r="F51" s="80" t="b">
        <v>0</v>
      </c>
      <c r="G51" s="80" t="b">
        <v>0</v>
      </c>
    </row>
    <row r="52" spans="1:7" ht="15">
      <c r="A52" s="81" t="s">
        <v>3300</v>
      </c>
      <c r="B52" s="80">
        <v>17</v>
      </c>
      <c r="C52" s="105">
        <v>0.004579432788812796</v>
      </c>
      <c r="D52" s="80" t="s">
        <v>3896</v>
      </c>
      <c r="E52" s="80" t="b">
        <v>0</v>
      </c>
      <c r="F52" s="80" t="b">
        <v>0</v>
      </c>
      <c r="G52" s="80" t="b">
        <v>0</v>
      </c>
    </row>
    <row r="53" spans="1:7" ht="15">
      <c r="A53" s="81" t="s">
        <v>3301</v>
      </c>
      <c r="B53" s="80">
        <v>17</v>
      </c>
      <c r="C53" s="105">
        <v>0.004579432788812796</v>
      </c>
      <c r="D53" s="80" t="s">
        <v>3896</v>
      </c>
      <c r="E53" s="80" t="b">
        <v>0</v>
      </c>
      <c r="F53" s="80" t="b">
        <v>0</v>
      </c>
      <c r="G53" s="80" t="b">
        <v>0</v>
      </c>
    </row>
    <row r="54" spans="1:7" ht="15">
      <c r="A54" s="81" t="s">
        <v>3302</v>
      </c>
      <c r="B54" s="80">
        <v>16</v>
      </c>
      <c r="C54" s="105">
        <v>0.004397362787306636</v>
      </c>
      <c r="D54" s="80" t="s">
        <v>3896</v>
      </c>
      <c r="E54" s="80" t="b">
        <v>0</v>
      </c>
      <c r="F54" s="80" t="b">
        <v>0</v>
      </c>
      <c r="G54" s="80" t="b">
        <v>0</v>
      </c>
    </row>
    <row r="55" spans="1:7" ht="15">
      <c r="A55" s="81" t="s">
        <v>3303</v>
      </c>
      <c r="B55" s="80">
        <v>15</v>
      </c>
      <c r="C55" s="105">
        <v>0.004209663541390883</v>
      </c>
      <c r="D55" s="80" t="s">
        <v>3896</v>
      </c>
      <c r="E55" s="80" t="b">
        <v>0</v>
      </c>
      <c r="F55" s="80" t="b">
        <v>0</v>
      </c>
      <c r="G55" s="80" t="b">
        <v>0</v>
      </c>
    </row>
    <row r="56" spans="1:7" ht="15">
      <c r="A56" s="81" t="s">
        <v>3304</v>
      </c>
      <c r="B56" s="80">
        <v>15</v>
      </c>
      <c r="C56" s="105">
        <v>0.004757097507367095</v>
      </c>
      <c r="D56" s="80" t="s">
        <v>3896</v>
      </c>
      <c r="E56" s="80" t="b">
        <v>0</v>
      </c>
      <c r="F56" s="80" t="b">
        <v>0</v>
      </c>
      <c r="G56" s="80" t="b">
        <v>0</v>
      </c>
    </row>
    <row r="57" spans="1:7" ht="15">
      <c r="A57" s="81" t="s">
        <v>3305</v>
      </c>
      <c r="B57" s="80">
        <v>15</v>
      </c>
      <c r="C57" s="105">
        <v>0.004209663541390883</v>
      </c>
      <c r="D57" s="80" t="s">
        <v>3896</v>
      </c>
      <c r="E57" s="80" t="b">
        <v>0</v>
      </c>
      <c r="F57" s="80" t="b">
        <v>0</v>
      </c>
      <c r="G57" s="80" t="b">
        <v>0</v>
      </c>
    </row>
    <row r="58" spans="1:7" ht="15">
      <c r="A58" s="81" t="s">
        <v>3306</v>
      </c>
      <c r="B58" s="80">
        <v>14</v>
      </c>
      <c r="C58" s="105">
        <v>0.004015959228051361</v>
      </c>
      <c r="D58" s="80" t="s">
        <v>3896</v>
      </c>
      <c r="E58" s="80" t="b">
        <v>1</v>
      </c>
      <c r="F58" s="80" t="b">
        <v>0</v>
      </c>
      <c r="G58" s="80" t="b">
        <v>0</v>
      </c>
    </row>
    <row r="59" spans="1:7" ht="15">
      <c r="A59" s="81" t="s">
        <v>3307</v>
      </c>
      <c r="B59" s="80">
        <v>14</v>
      </c>
      <c r="C59" s="105">
        <v>0.004015959228051361</v>
      </c>
      <c r="D59" s="80" t="s">
        <v>3896</v>
      </c>
      <c r="E59" s="80" t="b">
        <v>0</v>
      </c>
      <c r="F59" s="80" t="b">
        <v>0</v>
      </c>
      <c r="G59" s="80" t="b">
        <v>0</v>
      </c>
    </row>
    <row r="60" spans="1:7" ht="15">
      <c r="A60" s="81" t="s">
        <v>3308</v>
      </c>
      <c r="B60" s="80">
        <v>14</v>
      </c>
      <c r="C60" s="105">
        <v>0.004015959228051361</v>
      </c>
      <c r="D60" s="80" t="s">
        <v>3896</v>
      </c>
      <c r="E60" s="80" t="b">
        <v>0</v>
      </c>
      <c r="F60" s="80" t="b">
        <v>0</v>
      </c>
      <c r="G60" s="80" t="b">
        <v>0</v>
      </c>
    </row>
    <row r="61" spans="1:7" ht="15">
      <c r="A61" s="81" t="s">
        <v>3309</v>
      </c>
      <c r="B61" s="80">
        <v>14</v>
      </c>
      <c r="C61" s="105">
        <v>0.004015959228051361</v>
      </c>
      <c r="D61" s="80" t="s">
        <v>3896</v>
      </c>
      <c r="E61" s="80" t="b">
        <v>0</v>
      </c>
      <c r="F61" s="80" t="b">
        <v>0</v>
      </c>
      <c r="G61" s="80" t="b">
        <v>0</v>
      </c>
    </row>
    <row r="62" spans="1:7" ht="15">
      <c r="A62" s="81" t="s">
        <v>3310</v>
      </c>
      <c r="B62" s="80">
        <v>13</v>
      </c>
      <c r="C62" s="105">
        <v>0.003815820206559832</v>
      </c>
      <c r="D62" s="80" t="s">
        <v>3896</v>
      </c>
      <c r="E62" s="80" t="b">
        <v>0</v>
      </c>
      <c r="F62" s="80" t="b">
        <v>0</v>
      </c>
      <c r="G62" s="80" t="b">
        <v>0</v>
      </c>
    </row>
    <row r="63" spans="1:7" ht="15">
      <c r="A63" s="81" t="s">
        <v>3311</v>
      </c>
      <c r="B63" s="80">
        <v>13</v>
      </c>
      <c r="C63" s="105">
        <v>0.003909479767465481</v>
      </c>
      <c r="D63" s="80" t="s">
        <v>3896</v>
      </c>
      <c r="E63" s="80" t="b">
        <v>0</v>
      </c>
      <c r="F63" s="80" t="b">
        <v>0</v>
      </c>
      <c r="G63" s="80" t="b">
        <v>0</v>
      </c>
    </row>
    <row r="64" spans="1:7" ht="15">
      <c r="A64" s="81" t="s">
        <v>3312</v>
      </c>
      <c r="B64" s="80">
        <v>13</v>
      </c>
      <c r="C64" s="105">
        <v>0.003815820206559832</v>
      </c>
      <c r="D64" s="80" t="s">
        <v>3896</v>
      </c>
      <c r="E64" s="80" t="b">
        <v>0</v>
      </c>
      <c r="F64" s="80" t="b">
        <v>0</v>
      </c>
      <c r="G64" s="80" t="b">
        <v>0</v>
      </c>
    </row>
    <row r="65" spans="1:7" ht="15">
      <c r="A65" s="81" t="s">
        <v>3313</v>
      </c>
      <c r="B65" s="80">
        <v>13</v>
      </c>
      <c r="C65" s="105">
        <v>0.00424610227024432</v>
      </c>
      <c r="D65" s="80" t="s">
        <v>3896</v>
      </c>
      <c r="E65" s="80" t="b">
        <v>0</v>
      </c>
      <c r="F65" s="80" t="b">
        <v>0</v>
      </c>
      <c r="G65" s="80" t="b">
        <v>0</v>
      </c>
    </row>
    <row r="66" spans="1:7" ht="15">
      <c r="A66" s="81" t="s">
        <v>3314</v>
      </c>
      <c r="B66" s="80">
        <v>13</v>
      </c>
      <c r="C66" s="105">
        <v>0.003815820206559832</v>
      </c>
      <c r="D66" s="80" t="s">
        <v>3896</v>
      </c>
      <c r="E66" s="80" t="b">
        <v>0</v>
      </c>
      <c r="F66" s="80" t="b">
        <v>0</v>
      </c>
      <c r="G66" s="80" t="b">
        <v>0</v>
      </c>
    </row>
    <row r="67" spans="1:7" ht="15">
      <c r="A67" s="81" t="s">
        <v>3315</v>
      </c>
      <c r="B67" s="80">
        <v>13</v>
      </c>
      <c r="C67" s="105">
        <v>0.003815820206559832</v>
      </c>
      <c r="D67" s="80" t="s">
        <v>3896</v>
      </c>
      <c r="E67" s="80" t="b">
        <v>0</v>
      </c>
      <c r="F67" s="80" t="b">
        <v>0</v>
      </c>
      <c r="G67" s="80" t="b">
        <v>0</v>
      </c>
    </row>
    <row r="68" spans="1:7" ht="15">
      <c r="A68" s="81" t="s">
        <v>3316</v>
      </c>
      <c r="B68" s="80">
        <v>13</v>
      </c>
      <c r="C68" s="105">
        <v>0.003815820206559832</v>
      </c>
      <c r="D68" s="80" t="s">
        <v>3896</v>
      </c>
      <c r="E68" s="80" t="b">
        <v>0</v>
      </c>
      <c r="F68" s="80" t="b">
        <v>0</v>
      </c>
      <c r="G68" s="80" t="b">
        <v>0</v>
      </c>
    </row>
    <row r="69" spans="1:7" ht="15">
      <c r="A69" s="81" t="s">
        <v>3317</v>
      </c>
      <c r="B69" s="80">
        <v>13</v>
      </c>
      <c r="C69" s="105">
        <v>0.003909479767465481</v>
      </c>
      <c r="D69" s="80" t="s">
        <v>3896</v>
      </c>
      <c r="E69" s="80" t="b">
        <v>0</v>
      </c>
      <c r="F69" s="80" t="b">
        <v>0</v>
      </c>
      <c r="G69" s="80" t="b">
        <v>0</v>
      </c>
    </row>
    <row r="70" spans="1:7" ht="15">
      <c r="A70" s="81" t="s">
        <v>3318</v>
      </c>
      <c r="B70" s="80">
        <v>12</v>
      </c>
      <c r="C70" s="105">
        <v>0.003608750554583521</v>
      </c>
      <c r="D70" s="80" t="s">
        <v>3896</v>
      </c>
      <c r="E70" s="80" t="b">
        <v>0</v>
      </c>
      <c r="F70" s="80" t="b">
        <v>0</v>
      </c>
      <c r="G70" s="80" t="b">
        <v>0</v>
      </c>
    </row>
    <row r="71" spans="1:7" ht="15">
      <c r="A71" s="81" t="s">
        <v>3319</v>
      </c>
      <c r="B71" s="80">
        <v>12</v>
      </c>
      <c r="C71" s="105">
        <v>0.0038056780058936756</v>
      </c>
      <c r="D71" s="80" t="s">
        <v>3896</v>
      </c>
      <c r="E71" s="80" t="b">
        <v>0</v>
      </c>
      <c r="F71" s="80" t="b">
        <v>0</v>
      </c>
      <c r="G71" s="80" t="b">
        <v>0</v>
      </c>
    </row>
    <row r="72" spans="1:7" ht="15">
      <c r="A72" s="81" t="s">
        <v>795</v>
      </c>
      <c r="B72" s="80">
        <v>12</v>
      </c>
      <c r="C72" s="105">
        <v>0.003608750554583521</v>
      </c>
      <c r="D72" s="80" t="s">
        <v>3896</v>
      </c>
      <c r="E72" s="80" t="b">
        <v>0</v>
      </c>
      <c r="F72" s="80" t="b">
        <v>0</v>
      </c>
      <c r="G72" s="80" t="b">
        <v>0</v>
      </c>
    </row>
    <row r="73" spans="1:7" ht="15">
      <c r="A73" s="81" t="s">
        <v>3320</v>
      </c>
      <c r="B73" s="80">
        <v>12</v>
      </c>
      <c r="C73" s="105">
        <v>0.0037027324676763285</v>
      </c>
      <c r="D73" s="80" t="s">
        <v>3896</v>
      </c>
      <c r="E73" s="80" t="b">
        <v>0</v>
      </c>
      <c r="F73" s="80" t="b">
        <v>0</v>
      </c>
      <c r="G73" s="80" t="b">
        <v>0</v>
      </c>
    </row>
    <row r="74" spans="1:7" ht="15">
      <c r="A74" s="81" t="s">
        <v>3321</v>
      </c>
      <c r="B74" s="80">
        <v>12</v>
      </c>
      <c r="C74" s="105">
        <v>0.003608750554583521</v>
      </c>
      <c r="D74" s="80" t="s">
        <v>3896</v>
      </c>
      <c r="E74" s="80" t="b">
        <v>0</v>
      </c>
      <c r="F74" s="80" t="b">
        <v>0</v>
      </c>
      <c r="G74" s="80" t="b">
        <v>0</v>
      </c>
    </row>
    <row r="75" spans="1:7" ht="15">
      <c r="A75" s="81" t="s">
        <v>3322</v>
      </c>
      <c r="B75" s="80">
        <v>11</v>
      </c>
      <c r="C75" s="105">
        <v>0.0033941714287033017</v>
      </c>
      <c r="D75" s="80" t="s">
        <v>3896</v>
      </c>
      <c r="E75" s="80" t="b">
        <v>0</v>
      </c>
      <c r="F75" s="80" t="b">
        <v>0</v>
      </c>
      <c r="G75" s="80" t="b">
        <v>0</v>
      </c>
    </row>
    <row r="76" spans="1:7" ht="15">
      <c r="A76" s="81" t="s">
        <v>3323</v>
      </c>
      <c r="B76" s="80">
        <v>11</v>
      </c>
      <c r="C76" s="105">
        <v>0.0033941714287033017</v>
      </c>
      <c r="D76" s="80" t="s">
        <v>3896</v>
      </c>
      <c r="E76" s="80" t="b">
        <v>0</v>
      </c>
      <c r="F76" s="80" t="b">
        <v>0</v>
      </c>
      <c r="G76" s="80" t="b">
        <v>0</v>
      </c>
    </row>
    <row r="77" spans="1:7" ht="15">
      <c r="A77" s="81" t="s">
        <v>3324</v>
      </c>
      <c r="B77" s="80">
        <v>11</v>
      </c>
      <c r="C77" s="105">
        <v>0.0033941714287033017</v>
      </c>
      <c r="D77" s="80" t="s">
        <v>3896</v>
      </c>
      <c r="E77" s="80" t="b">
        <v>0</v>
      </c>
      <c r="F77" s="80" t="b">
        <v>0</v>
      </c>
      <c r="G77" s="80" t="b">
        <v>0</v>
      </c>
    </row>
    <row r="78" spans="1:7" ht="15">
      <c r="A78" s="81" t="s">
        <v>3325</v>
      </c>
      <c r="B78" s="80">
        <v>11</v>
      </c>
      <c r="C78" s="105">
        <v>0.0033941714287033017</v>
      </c>
      <c r="D78" s="80" t="s">
        <v>3896</v>
      </c>
      <c r="E78" s="80" t="b">
        <v>0</v>
      </c>
      <c r="F78" s="80" t="b">
        <v>0</v>
      </c>
      <c r="G78" s="80" t="b">
        <v>0</v>
      </c>
    </row>
    <row r="79" spans="1:7" ht="15">
      <c r="A79" s="81" t="s">
        <v>3326</v>
      </c>
      <c r="B79" s="80">
        <v>11</v>
      </c>
      <c r="C79" s="105">
        <v>0.0033941714287033017</v>
      </c>
      <c r="D79" s="80" t="s">
        <v>3896</v>
      </c>
      <c r="E79" s="80" t="b">
        <v>0</v>
      </c>
      <c r="F79" s="80" t="b">
        <v>0</v>
      </c>
      <c r="G79" s="80" t="b">
        <v>0</v>
      </c>
    </row>
    <row r="80" spans="1:7" ht="15">
      <c r="A80" s="81" t="s">
        <v>3327</v>
      </c>
      <c r="B80" s="80">
        <v>11</v>
      </c>
      <c r="C80" s="105">
        <v>0.0033941714287033017</v>
      </c>
      <c r="D80" s="80" t="s">
        <v>3896</v>
      </c>
      <c r="E80" s="80" t="b">
        <v>0</v>
      </c>
      <c r="F80" s="80" t="b">
        <v>0</v>
      </c>
      <c r="G80" s="80" t="b">
        <v>0</v>
      </c>
    </row>
    <row r="81" spans="1:7" ht="15">
      <c r="A81" s="81" t="s">
        <v>3328</v>
      </c>
      <c r="B81" s="80">
        <v>11</v>
      </c>
      <c r="C81" s="105">
        <v>0.0033941714287033017</v>
      </c>
      <c r="D81" s="80" t="s">
        <v>3896</v>
      </c>
      <c r="E81" s="80" t="b">
        <v>0</v>
      </c>
      <c r="F81" s="80" t="b">
        <v>0</v>
      </c>
      <c r="G81" s="80" t="b">
        <v>0</v>
      </c>
    </row>
    <row r="82" spans="1:7" ht="15">
      <c r="A82" s="81" t="s">
        <v>3329</v>
      </c>
      <c r="B82" s="80">
        <v>11</v>
      </c>
      <c r="C82" s="105">
        <v>0.0033941714287033017</v>
      </c>
      <c r="D82" s="80" t="s">
        <v>3896</v>
      </c>
      <c r="E82" s="80" t="b">
        <v>0</v>
      </c>
      <c r="F82" s="80" t="b">
        <v>0</v>
      </c>
      <c r="G82" s="80" t="b">
        <v>0</v>
      </c>
    </row>
    <row r="83" spans="1:7" ht="15">
      <c r="A83" s="81" t="s">
        <v>3330</v>
      </c>
      <c r="B83" s="80">
        <v>11</v>
      </c>
      <c r="C83" s="105">
        <v>0.0033941714287033017</v>
      </c>
      <c r="D83" s="80" t="s">
        <v>3896</v>
      </c>
      <c r="E83" s="80" t="b">
        <v>0</v>
      </c>
      <c r="F83" s="80" t="b">
        <v>0</v>
      </c>
      <c r="G83" s="80" t="b">
        <v>0</v>
      </c>
    </row>
    <row r="84" spans="1:7" ht="15">
      <c r="A84" s="81" t="s">
        <v>3331</v>
      </c>
      <c r="B84" s="80">
        <v>11</v>
      </c>
      <c r="C84" s="105">
        <v>0.0033941714287033017</v>
      </c>
      <c r="D84" s="80" t="s">
        <v>3896</v>
      </c>
      <c r="E84" s="80" t="b">
        <v>0</v>
      </c>
      <c r="F84" s="80" t="b">
        <v>0</v>
      </c>
      <c r="G84" s="80" t="b">
        <v>0</v>
      </c>
    </row>
    <row r="85" spans="1:7" ht="15">
      <c r="A85" s="81" t="s">
        <v>3332</v>
      </c>
      <c r="B85" s="80">
        <v>11</v>
      </c>
      <c r="C85" s="105">
        <v>0.0033941714287033017</v>
      </c>
      <c r="D85" s="80" t="s">
        <v>3896</v>
      </c>
      <c r="E85" s="80" t="b">
        <v>0</v>
      </c>
      <c r="F85" s="80" t="b">
        <v>0</v>
      </c>
      <c r="G85" s="80" t="b">
        <v>0</v>
      </c>
    </row>
    <row r="86" spans="1:7" ht="15">
      <c r="A86" s="81" t="s">
        <v>3333</v>
      </c>
      <c r="B86" s="80">
        <v>11</v>
      </c>
      <c r="C86" s="105">
        <v>0.0033941714287033017</v>
      </c>
      <c r="D86" s="80" t="s">
        <v>3896</v>
      </c>
      <c r="E86" s="80" t="b">
        <v>0</v>
      </c>
      <c r="F86" s="80" t="b">
        <v>0</v>
      </c>
      <c r="G86" s="80" t="b">
        <v>0</v>
      </c>
    </row>
    <row r="87" spans="1:7" ht="15">
      <c r="A87" s="81" t="s">
        <v>3334</v>
      </c>
      <c r="B87" s="80">
        <v>11</v>
      </c>
      <c r="C87" s="105">
        <v>0.0033941714287033017</v>
      </c>
      <c r="D87" s="80" t="s">
        <v>3896</v>
      </c>
      <c r="E87" s="80" t="b">
        <v>0</v>
      </c>
      <c r="F87" s="80" t="b">
        <v>0</v>
      </c>
      <c r="G87" s="80" t="b">
        <v>0</v>
      </c>
    </row>
    <row r="88" spans="1:7" ht="15">
      <c r="A88" s="81" t="s">
        <v>3335</v>
      </c>
      <c r="B88" s="80">
        <v>11</v>
      </c>
      <c r="C88" s="105">
        <v>0.0033941714287033017</v>
      </c>
      <c r="D88" s="80" t="s">
        <v>3896</v>
      </c>
      <c r="E88" s="80" t="b">
        <v>0</v>
      </c>
      <c r="F88" s="80" t="b">
        <v>0</v>
      </c>
      <c r="G88" s="80" t="b">
        <v>0</v>
      </c>
    </row>
    <row r="89" spans="1:7" ht="15">
      <c r="A89" s="81" t="s">
        <v>3336</v>
      </c>
      <c r="B89" s="80">
        <v>11</v>
      </c>
      <c r="C89" s="105">
        <v>0.0033941714287033017</v>
      </c>
      <c r="D89" s="80" t="s">
        <v>3896</v>
      </c>
      <c r="E89" s="80" t="b">
        <v>0</v>
      </c>
      <c r="F89" s="80" t="b">
        <v>0</v>
      </c>
      <c r="G89" s="80" t="b">
        <v>0</v>
      </c>
    </row>
    <row r="90" spans="1:7" ht="15">
      <c r="A90" s="81" t="s">
        <v>447</v>
      </c>
      <c r="B90" s="80">
        <v>10</v>
      </c>
      <c r="C90" s="105">
        <v>0.0031713983382447297</v>
      </c>
      <c r="D90" s="80" t="s">
        <v>3896</v>
      </c>
      <c r="E90" s="80" t="b">
        <v>0</v>
      </c>
      <c r="F90" s="80" t="b">
        <v>0</v>
      </c>
      <c r="G90" s="80" t="b">
        <v>0</v>
      </c>
    </row>
    <row r="91" spans="1:7" ht="15">
      <c r="A91" s="81" t="s">
        <v>3337</v>
      </c>
      <c r="B91" s="80">
        <v>10</v>
      </c>
      <c r="C91" s="105">
        <v>0.0031713983382447297</v>
      </c>
      <c r="D91" s="80" t="s">
        <v>3896</v>
      </c>
      <c r="E91" s="80" t="b">
        <v>0</v>
      </c>
      <c r="F91" s="80" t="b">
        <v>0</v>
      </c>
      <c r="G91" s="80" t="b">
        <v>0</v>
      </c>
    </row>
    <row r="92" spans="1:7" ht="15">
      <c r="A92" s="81" t="s">
        <v>3338</v>
      </c>
      <c r="B92" s="80">
        <v>10</v>
      </c>
      <c r="C92" s="105">
        <v>0.0031713983382447297</v>
      </c>
      <c r="D92" s="80" t="s">
        <v>3896</v>
      </c>
      <c r="E92" s="80" t="b">
        <v>0</v>
      </c>
      <c r="F92" s="80" t="b">
        <v>0</v>
      </c>
      <c r="G92" s="80" t="b">
        <v>0</v>
      </c>
    </row>
    <row r="93" spans="1:7" ht="15">
      <c r="A93" s="81" t="s">
        <v>3339</v>
      </c>
      <c r="B93" s="80">
        <v>10</v>
      </c>
      <c r="C93" s="105">
        <v>0.0031713983382447297</v>
      </c>
      <c r="D93" s="80" t="s">
        <v>3896</v>
      </c>
      <c r="E93" s="80" t="b">
        <v>0</v>
      </c>
      <c r="F93" s="80" t="b">
        <v>0</v>
      </c>
      <c r="G93" s="80" t="b">
        <v>0</v>
      </c>
    </row>
    <row r="94" spans="1:7" ht="15">
      <c r="A94" s="81" t="s">
        <v>3340</v>
      </c>
      <c r="B94" s="80">
        <v>10</v>
      </c>
      <c r="C94" s="105">
        <v>0.0031713983382447297</v>
      </c>
      <c r="D94" s="80" t="s">
        <v>3896</v>
      </c>
      <c r="E94" s="80" t="b">
        <v>0</v>
      </c>
      <c r="F94" s="80" t="b">
        <v>0</v>
      </c>
      <c r="G94" s="80" t="b">
        <v>0</v>
      </c>
    </row>
    <row r="95" spans="1:7" ht="15">
      <c r="A95" s="81" t="s">
        <v>3341</v>
      </c>
      <c r="B95" s="80">
        <v>10</v>
      </c>
      <c r="C95" s="105">
        <v>0.003266232515572554</v>
      </c>
      <c r="D95" s="80" t="s">
        <v>3896</v>
      </c>
      <c r="E95" s="80" t="b">
        <v>0</v>
      </c>
      <c r="F95" s="80" t="b">
        <v>0</v>
      </c>
      <c r="G95" s="80" t="b">
        <v>0</v>
      </c>
    </row>
    <row r="96" spans="1:7" ht="15">
      <c r="A96" s="81" t="s">
        <v>497</v>
      </c>
      <c r="B96" s="80">
        <v>9</v>
      </c>
      <c r="C96" s="105">
        <v>0.0029396092640152985</v>
      </c>
      <c r="D96" s="80" t="s">
        <v>3896</v>
      </c>
      <c r="E96" s="80" t="b">
        <v>0</v>
      </c>
      <c r="F96" s="80" t="b">
        <v>0</v>
      </c>
      <c r="G96" s="80" t="b">
        <v>0</v>
      </c>
    </row>
    <row r="97" spans="1:7" ht="15">
      <c r="A97" s="81" t="s">
        <v>3342</v>
      </c>
      <c r="B97" s="80">
        <v>9</v>
      </c>
      <c r="C97" s="105">
        <v>0.0029396092640152985</v>
      </c>
      <c r="D97" s="80" t="s">
        <v>3896</v>
      </c>
      <c r="E97" s="80" t="b">
        <v>0</v>
      </c>
      <c r="F97" s="80" t="b">
        <v>0</v>
      </c>
      <c r="G97" s="80" t="b">
        <v>0</v>
      </c>
    </row>
    <row r="98" spans="1:7" ht="15">
      <c r="A98" s="81" t="s">
        <v>3343</v>
      </c>
      <c r="B98" s="80">
        <v>9</v>
      </c>
      <c r="C98" s="105">
        <v>0.0029396092640152985</v>
      </c>
      <c r="D98" s="80" t="s">
        <v>3896</v>
      </c>
      <c r="E98" s="80" t="b">
        <v>0</v>
      </c>
      <c r="F98" s="80" t="b">
        <v>0</v>
      </c>
      <c r="G98" s="80" t="b">
        <v>0</v>
      </c>
    </row>
    <row r="99" spans="1:7" ht="15">
      <c r="A99" s="81" t="s">
        <v>3344</v>
      </c>
      <c r="B99" s="80">
        <v>9</v>
      </c>
      <c r="C99" s="105">
        <v>0.0029396092640152985</v>
      </c>
      <c r="D99" s="80" t="s">
        <v>3896</v>
      </c>
      <c r="E99" s="80" t="b">
        <v>0</v>
      </c>
      <c r="F99" s="80" t="b">
        <v>0</v>
      </c>
      <c r="G99" s="80" t="b">
        <v>0</v>
      </c>
    </row>
    <row r="100" spans="1:7" ht="15">
      <c r="A100" s="81" t="s">
        <v>3345</v>
      </c>
      <c r="B100" s="80">
        <v>9</v>
      </c>
      <c r="C100" s="105">
        <v>0.0029396092640152985</v>
      </c>
      <c r="D100" s="80" t="s">
        <v>3896</v>
      </c>
      <c r="E100" s="80" t="b">
        <v>0</v>
      </c>
      <c r="F100" s="80" t="b">
        <v>0</v>
      </c>
      <c r="G100" s="80" t="b">
        <v>0</v>
      </c>
    </row>
    <row r="101" spans="1:7" ht="15">
      <c r="A101" s="81" t="s">
        <v>3346</v>
      </c>
      <c r="B101" s="80">
        <v>9</v>
      </c>
      <c r="C101" s="105">
        <v>0.0029396092640152985</v>
      </c>
      <c r="D101" s="80" t="s">
        <v>3896</v>
      </c>
      <c r="E101" s="80" t="b">
        <v>0</v>
      </c>
      <c r="F101" s="80" t="b">
        <v>0</v>
      </c>
      <c r="G101" s="80" t="b">
        <v>0</v>
      </c>
    </row>
    <row r="102" spans="1:7" ht="15">
      <c r="A102" s="81" t="s">
        <v>3347</v>
      </c>
      <c r="B102" s="80">
        <v>9</v>
      </c>
      <c r="C102" s="105">
        <v>0.0029396092640152985</v>
      </c>
      <c r="D102" s="80" t="s">
        <v>3896</v>
      </c>
      <c r="E102" s="80" t="b">
        <v>0</v>
      </c>
      <c r="F102" s="80" t="b">
        <v>0</v>
      </c>
      <c r="G102" s="80" t="b">
        <v>0</v>
      </c>
    </row>
    <row r="103" spans="1:7" ht="15">
      <c r="A103" s="81" t="s">
        <v>3348</v>
      </c>
      <c r="B103" s="80">
        <v>9</v>
      </c>
      <c r="C103" s="105">
        <v>0.0034157652320836412</v>
      </c>
      <c r="D103" s="80" t="s">
        <v>3896</v>
      </c>
      <c r="E103" s="80" t="b">
        <v>0</v>
      </c>
      <c r="F103" s="80" t="b">
        <v>0</v>
      </c>
      <c r="G103" s="80" t="b">
        <v>0</v>
      </c>
    </row>
    <row r="104" spans="1:7" ht="15">
      <c r="A104" s="81" t="s">
        <v>3349</v>
      </c>
      <c r="B104" s="80">
        <v>8</v>
      </c>
      <c r="C104" s="105">
        <v>0.0026977984849096597</v>
      </c>
      <c r="D104" s="80" t="s">
        <v>3896</v>
      </c>
      <c r="E104" s="80" t="b">
        <v>0</v>
      </c>
      <c r="F104" s="80" t="b">
        <v>0</v>
      </c>
      <c r="G104" s="80" t="b">
        <v>0</v>
      </c>
    </row>
    <row r="105" spans="1:7" ht="15">
      <c r="A105" s="81" t="s">
        <v>3350</v>
      </c>
      <c r="B105" s="80">
        <v>8</v>
      </c>
      <c r="C105" s="105">
        <v>0.0026977984849096597</v>
      </c>
      <c r="D105" s="80" t="s">
        <v>3896</v>
      </c>
      <c r="E105" s="80" t="b">
        <v>0</v>
      </c>
      <c r="F105" s="80" t="b">
        <v>0</v>
      </c>
      <c r="G105" s="80" t="b">
        <v>0</v>
      </c>
    </row>
    <row r="106" spans="1:7" ht="15">
      <c r="A106" s="81" t="s">
        <v>3351</v>
      </c>
      <c r="B106" s="80">
        <v>8</v>
      </c>
      <c r="C106" s="105">
        <v>0.0026977984849096597</v>
      </c>
      <c r="D106" s="80" t="s">
        <v>3896</v>
      </c>
      <c r="E106" s="80" t="b">
        <v>0</v>
      </c>
      <c r="F106" s="80" t="b">
        <v>0</v>
      </c>
      <c r="G106" s="80" t="b">
        <v>0</v>
      </c>
    </row>
    <row r="107" spans="1:7" ht="15">
      <c r="A107" s="81" t="s">
        <v>3352</v>
      </c>
      <c r="B107" s="80">
        <v>8</v>
      </c>
      <c r="C107" s="105">
        <v>0.0026977984849096597</v>
      </c>
      <c r="D107" s="80" t="s">
        <v>3896</v>
      </c>
      <c r="E107" s="80" t="b">
        <v>0</v>
      </c>
      <c r="F107" s="80" t="b">
        <v>0</v>
      </c>
      <c r="G107" s="80" t="b">
        <v>0</v>
      </c>
    </row>
    <row r="108" spans="1:7" ht="15">
      <c r="A108" s="81" t="s">
        <v>3353</v>
      </c>
      <c r="B108" s="80">
        <v>8</v>
      </c>
      <c r="C108" s="105">
        <v>0.0026977984849096597</v>
      </c>
      <c r="D108" s="80" t="s">
        <v>3896</v>
      </c>
      <c r="E108" s="80" t="b">
        <v>0</v>
      </c>
      <c r="F108" s="80" t="b">
        <v>0</v>
      </c>
      <c r="G108" s="80" t="b">
        <v>0</v>
      </c>
    </row>
    <row r="109" spans="1:7" ht="15">
      <c r="A109" s="81" t="s">
        <v>3354</v>
      </c>
      <c r="B109" s="80">
        <v>8</v>
      </c>
      <c r="C109" s="105">
        <v>0.0026977984849096597</v>
      </c>
      <c r="D109" s="80" t="s">
        <v>3896</v>
      </c>
      <c r="E109" s="80" t="b">
        <v>0</v>
      </c>
      <c r="F109" s="80" t="b">
        <v>0</v>
      </c>
      <c r="G109" s="80" t="b">
        <v>0</v>
      </c>
    </row>
    <row r="110" spans="1:7" ht="15">
      <c r="A110" s="81" t="s">
        <v>3355</v>
      </c>
      <c r="B110" s="80">
        <v>8</v>
      </c>
      <c r="C110" s="105">
        <v>0.0026977984849096597</v>
      </c>
      <c r="D110" s="80" t="s">
        <v>3896</v>
      </c>
      <c r="E110" s="80" t="b">
        <v>0</v>
      </c>
      <c r="F110" s="80" t="b">
        <v>0</v>
      </c>
      <c r="G110" s="80" t="b">
        <v>0</v>
      </c>
    </row>
    <row r="111" spans="1:7" ht="15">
      <c r="A111" s="81" t="s">
        <v>3356</v>
      </c>
      <c r="B111" s="80">
        <v>8</v>
      </c>
      <c r="C111" s="105">
        <v>0.0029049507943120223</v>
      </c>
      <c r="D111" s="80" t="s">
        <v>3896</v>
      </c>
      <c r="E111" s="80" t="b">
        <v>0</v>
      </c>
      <c r="F111" s="80" t="b">
        <v>0</v>
      </c>
      <c r="G111" s="80" t="b">
        <v>0</v>
      </c>
    </row>
    <row r="112" spans="1:7" ht="15">
      <c r="A112" s="81" t="s">
        <v>3357</v>
      </c>
      <c r="B112" s="80">
        <v>8</v>
      </c>
      <c r="C112" s="105">
        <v>0.0026977984849096597</v>
      </c>
      <c r="D112" s="80" t="s">
        <v>3896</v>
      </c>
      <c r="E112" s="80" t="b">
        <v>0</v>
      </c>
      <c r="F112" s="80" t="b">
        <v>0</v>
      </c>
      <c r="G112" s="80" t="b">
        <v>0</v>
      </c>
    </row>
    <row r="113" spans="1:7" ht="15">
      <c r="A113" s="81" t="s">
        <v>3358</v>
      </c>
      <c r="B113" s="80">
        <v>8</v>
      </c>
      <c r="C113" s="105">
        <v>0.0026977984849096597</v>
      </c>
      <c r="D113" s="80" t="s">
        <v>3896</v>
      </c>
      <c r="E113" s="80" t="b">
        <v>0</v>
      </c>
      <c r="F113" s="80" t="b">
        <v>0</v>
      </c>
      <c r="G113" s="80" t="b">
        <v>0</v>
      </c>
    </row>
    <row r="114" spans="1:7" ht="15">
      <c r="A114" s="81" t="s">
        <v>3359</v>
      </c>
      <c r="B114" s="80">
        <v>8</v>
      </c>
      <c r="C114" s="105">
        <v>0.0026977984849096597</v>
      </c>
      <c r="D114" s="80" t="s">
        <v>3896</v>
      </c>
      <c r="E114" s="80" t="b">
        <v>0</v>
      </c>
      <c r="F114" s="80" t="b">
        <v>0</v>
      </c>
      <c r="G114" s="80" t="b">
        <v>0</v>
      </c>
    </row>
    <row r="115" spans="1:7" ht="15">
      <c r="A115" s="81" t="s">
        <v>3360</v>
      </c>
      <c r="B115" s="80">
        <v>8</v>
      </c>
      <c r="C115" s="105">
        <v>0.00279395093585712</v>
      </c>
      <c r="D115" s="80" t="s">
        <v>3896</v>
      </c>
      <c r="E115" s="80" t="b">
        <v>0</v>
      </c>
      <c r="F115" s="80" t="b">
        <v>0</v>
      </c>
      <c r="G115" s="80" t="b">
        <v>0</v>
      </c>
    </row>
    <row r="116" spans="1:7" ht="15">
      <c r="A116" s="81" t="s">
        <v>3361</v>
      </c>
      <c r="B116" s="80">
        <v>8</v>
      </c>
      <c r="C116" s="105">
        <v>0.0026977984849096597</v>
      </c>
      <c r="D116" s="80" t="s">
        <v>3896</v>
      </c>
      <c r="E116" s="80" t="b">
        <v>0</v>
      </c>
      <c r="F116" s="80" t="b">
        <v>0</v>
      </c>
      <c r="G116" s="80" t="b">
        <v>0</v>
      </c>
    </row>
    <row r="117" spans="1:7" ht="15">
      <c r="A117" s="81" t="s">
        <v>3362</v>
      </c>
      <c r="B117" s="80">
        <v>8</v>
      </c>
      <c r="C117" s="105">
        <v>0.0026977984849096597</v>
      </c>
      <c r="D117" s="80" t="s">
        <v>3896</v>
      </c>
      <c r="E117" s="80" t="b">
        <v>0</v>
      </c>
      <c r="F117" s="80" t="b">
        <v>0</v>
      </c>
      <c r="G117" s="80" t="b">
        <v>0</v>
      </c>
    </row>
    <row r="118" spans="1:7" ht="15">
      <c r="A118" s="81" t="s">
        <v>3363</v>
      </c>
      <c r="B118" s="80">
        <v>8</v>
      </c>
      <c r="C118" s="105">
        <v>0.0026977984849096597</v>
      </c>
      <c r="D118" s="80" t="s">
        <v>3896</v>
      </c>
      <c r="E118" s="80" t="b">
        <v>0</v>
      </c>
      <c r="F118" s="80" t="b">
        <v>0</v>
      </c>
      <c r="G118" s="80" t="b">
        <v>0</v>
      </c>
    </row>
    <row r="119" spans="1:7" ht="15">
      <c r="A119" s="81" t="s">
        <v>3364</v>
      </c>
      <c r="B119" s="80">
        <v>8</v>
      </c>
      <c r="C119" s="105">
        <v>0.003196915576166002</v>
      </c>
      <c r="D119" s="80" t="s">
        <v>3896</v>
      </c>
      <c r="E119" s="80" t="b">
        <v>0</v>
      </c>
      <c r="F119" s="80" t="b">
        <v>0</v>
      </c>
      <c r="G119" s="80" t="b">
        <v>0</v>
      </c>
    </row>
    <row r="120" spans="1:7" ht="15">
      <c r="A120" s="81" t="s">
        <v>3365</v>
      </c>
      <c r="B120" s="80">
        <v>8</v>
      </c>
      <c r="C120" s="105">
        <v>0.003196915576166002</v>
      </c>
      <c r="D120" s="80" t="s">
        <v>3896</v>
      </c>
      <c r="E120" s="80" t="b">
        <v>0</v>
      </c>
      <c r="F120" s="80" t="b">
        <v>0</v>
      </c>
      <c r="G120" s="80" t="b">
        <v>0</v>
      </c>
    </row>
    <row r="121" spans="1:7" ht="15">
      <c r="A121" s="81" t="s">
        <v>2768</v>
      </c>
      <c r="B121" s="80">
        <v>7</v>
      </c>
      <c r="C121" s="105">
        <v>0.0025418319450230195</v>
      </c>
      <c r="D121" s="80" t="s">
        <v>3896</v>
      </c>
      <c r="E121" s="80" t="b">
        <v>0</v>
      </c>
      <c r="F121" s="80" t="b">
        <v>0</v>
      </c>
      <c r="G121" s="80" t="b">
        <v>0</v>
      </c>
    </row>
    <row r="122" spans="1:7" ht="15">
      <c r="A122" s="81" t="s">
        <v>532</v>
      </c>
      <c r="B122" s="80">
        <v>7</v>
      </c>
      <c r="C122" s="105">
        <v>0.0025418319450230195</v>
      </c>
      <c r="D122" s="80" t="s">
        <v>3896</v>
      </c>
      <c r="E122" s="80" t="b">
        <v>0</v>
      </c>
      <c r="F122" s="80" t="b">
        <v>0</v>
      </c>
      <c r="G122" s="80" t="b">
        <v>0</v>
      </c>
    </row>
    <row r="123" spans="1:7" ht="15">
      <c r="A123" s="81" t="s">
        <v>1783</v>
      </c>
      <c r="B123" s="80">
        <v>7</v>
      </c>
      <c r="C123" s="105">
        <v>0.00244470706887498</v>
      </c>
      <c r="D123" s="80" t="s">
        <v>3896</v>
      </c>
      <c r="E123" s="80" t="b">
        <v>0</v>
      </c>
      <c r="F123" s="80" t="b">
        <v>0</v>
      </c>
      <c r="G123" s="80" t="b">
        <v>0</v>
      </c>
    </row>
    <row r="124" spans="1:7" ht="15">
      <c r="A124" s="81" t="s">
        <v>3366</v>
      </c>
      <c r="B124" s="80">
        <v>7</v>
      </c>
      <c r="C124" s="105">
        <v>0.00244470706887498</v>
      </c>
      <c r="D124" s="80" t="s">
        <v>3896</v>
      </c>
      <c r="E124" s="80" t="b">
        <v>0</v>
      </c>
      <c r="F124" s="80" t="b">
        <v>0</v>
      </c>
      <c r="G124" s="80" t="b">
        <v>0</v>
      </c>
    </row>
    <row r="125" spans="1:7" ht="15">
      <c r="A125" s="81" t="s">
        <v>3367</v>
      </c>
      <c r="B125" s="80">
        <v>7</v>
      </c>
      <c r="C125" s="105">
        <v>0.0027973011291452517</v>
      </c>
      <c r="D125" s="80" t="s">
        <v>3896</v>
      </c>
      <c r="E125" s="80" t="b">
        <v>0</v>
      </c>
      <c r="F125" s="80" t="b">
        <v>0</v>
      </c>
      <c r="G125" s="80" t="b">
        <v>0</v>
      </c>
    </row>
    <row r="126" spans="1:7" ht="15">
      <c r="A126" s="81" t="s">
        <v>3368</v>
      </c>
      <c r="B126" s="80">
        <v>7</v>
      </c>
      <c r="C126" s="105">
        <v>0.0027973011291452517</v>
      </c>
      <c r="D126" s="80" t="s">
        <v>3896</v>
      </c>
      <c r="E126" s="80" t="b">
        <v>0</v>
      </c>
      <c r="F126" s="80" t="b">
        <v>0</v>
      </c>
      <c r="G126" s="80" t="b">
        <v>0</v>
      </c>
    </row>
    <row r="127" spans="1:7" ht="15">
      <c r="A127" s="81" t="s">
        <v>3369</v>
      </c>
      <c r="B127" s="80">
        <v>7</v>
      </c>
      <c r="C127" s="105">
        <v>0.0027973011291452517</v>
      </c>
      <c r="D127" s="80" t="s">
        <v>3896</v>
      </c>
      <c r="E127" s="80" t="b">
        <v>0</v>
      </c>
      <c r="F127" s="80" t="b">
        <v>0</v>
      </c>
      <c r="G127" s="80" t="b">
        <v>0</v>
      </c>
    </row>
    <row r="128" spans="1:7" ht="15">
      <c r="A128" s="81" t="s">
        <v>3370</v>
      </c>
      <c r="B128" s="80">
        <v>7</v>
      </c>
      <c r="C128" s="105">
        <v>0.00244470706887498</v>
      </c>
      <c r="D128" s="80" t="s">
        <v>3896</v>
      </c>
      <c r="E128" s="80" t="b">
        <v>0</v>
      </c>
      <c r="F128" s="80" t="b">
        <v>0</v>
      </c>
      <c r="G128" s="80" t="b">
        <v>0</v>
      </c>
    </row>
    <row r="129" spans="1:7" ht="15">
      <c r="A129" s="81" t="s">
        <v>3371</v>
      </c>
      <c r="B129" s="80">
        <v>7</v>
      </c>
      <c r="C129" s="105">
        <v>0.00244470706887498</v>
      </c>
      <c r="D129" s="80" t="s">
        <v>3896</v>
      </c>
      <c r="E129" s="80" t="b">
        <v>0</v>
      </c>
      <c r="F129" s="80" t="b">
        <v>0</v>
      </c>
      <c r="G129" s="80" t="b">
        <v>0</v>
      </c>
    </row>
    <row r="130" spans="1:7" ht="15">
      <c r="A130" s="81" t="s">
        <v>3372</v>
      </c>
      <c r="B130" s="80">
        <v>7</v>
      </c>
      <c r="C130" s="105">
        <v>0.0027973011291452517</v>
      </c>
      <c r="D130" s="80" t="s">
        <v>3896</v>
      </c>
      <c r="E130" s="80" t="b">
        <v>1</v>
      </c>
      <c r="F130" s="80" t="b">
        <v>0</v>
      </c>
      <c r="G130" s="80" t="b">
        <v>0</v>
      </c>
    </row>
    <row r="131" spans="1:7" ht="15">
      <c r="A131" s="81" t="s">
        <v>3373</v>
      </c>
      <c r="B131" s="80">
        <v>7</v>
      </c>
      <c r="C131" s="105">
        <v>0.0025418319450230195</v>
      </c>
      <c r="D131" s="80" t="s">
        <v>3896</v>
      </c>
      <c r="E131" s="80" t="b">
        <v>0</v>
      </c>
      <c r="F131" s="80" t="b">
        <v>0</v>
      </c>
      <c r="G131" s="80" t="b">
        <v>0</v>
      </c>
    </row>
    <row r="132" spans="1:7" ht="15">
      <c r="A132" s="81" t="s">
        <v>3374</v>
      </c>
      <c r="B132" s="80">
        <v>7</v>
      </c>
      <c r="C132" s="105">
        <v>0.0025418319450230195</v>
      </c>
      <c r="D132" s="80" t="s">
        <v>3896</v>
      </c>
      <c r="E132" s="80" t="b">
        <v>0</v>
      </c>
      <c r="F132" s="80" t="b">
        <v>0</v>
      </c>
      <c r="G132" s="80" t="b">
        <v>0</v>
      </c>
    </row>
    <row r="133" spans="1:7" ht="15">
      <c r="A133" s="81" t="s">
        <v>501</v>
      </c>
      <c r="B133" s="80">
        <v>7</v>
      </c>
      <c r="C133" s="105">
        <v>0.00244470706887498</v>
      </c>
      <c r="D133" s="80" t="s">
        <v>3896</v>
      </c>
      <c r="E133" s="80" t="b">
        <v>0</v>
      </c>
      <c r="F133" s="80" t="b">
        <v>0</v>
      </c>
      <c r="G133" s="80" t="b">
        <v>0</v>
      </c>
    </row>
    <row r="134" spans="1:7" ht="15">
      <c r="A134" s="81" t="s">
        <v>3375</v>
      </c>
      <c r="B134" s="80">
        <v>7</v>
      </c>
      <c r="C134" s="105">
        <v>0.00244470706887498</v>
      </c>
      <c r="D134" s="80" t="s">
        <v>3896</v>
      </c>
      <c r="E134" s="80" t="b">
        <v>0</v>
      </c>
      <c r="F134" s="80" t="b">
        <v>0</v>
      </c>
      <c r="G134" s="80" t="b">
        <v>0</v>
      </c>
    </row>
    <row r="135" spans="1:7" ht="15">
      <c r="A135" s="81" t="s">
        <v>3376</v>
      </c>
      <c r="B135" s="80">
        <v>6</v>
      </c>
      <c r="C135" s="105">
        <v>0.0021787130957340167</v>
      </c>
      <c r="D135" s="80" t="s">
        <v>3896</v>
      </c>
      <c r="E135" s="80" t="b">
        <v>0</v>
      </c>
      <c r="F135" s="80" t="b">
        <v>0</v>
      </c>
      <c r="G135" s="80" t="b">
        <v>0</v>
      </c>
    </row>
    <row r="136" spans="1:7" ht="15">
      <c r="A136" s="81" t="s">
        <v>3377</v>
      </c>
      <c r="B136" s="80">
        <v>6</v>
      </c>
      <c r="C136" s="105">
        <v>0.0021787130957340167</v>
      </c>
      <c r="D136" s="80" t="s">
        <v>3896</v>
      </c>
      <c r="E136" s="80" t="b">
        <v>0</v>
      </c>
      <c r="F136" s="80" t="b">
        <v>0</v>
      </c>
      <c r="G136" s="80" t="b">
        <v>0</v>
      </c>
    </row>
    <row r="137" spans="1:7" ht="15">
      <c r="A137" s="81" t="s">
        <v>3378</v>
      </c>
      <c r="B137" s="80">
        <v>6</v>
      </c>
      <c r="C137" s="105">
        <v>0.0021787130957340167</v>
      </c>
      <c r="D137" s="80" t="s">
        <v>3896</v>
      </c>
      <c r="E137" s="80" t="b">
        <v>0</v>
      </c>
      <c r="F137" s="80" t="b">
        <v>0</v>
      </c>
      <c r="G137" s="80" t="b">
        <v>0</v>
      </c>
    </row>
    <row r="138" spans="1:7" ht="15">
      <c r="A138" s="81" t="s">
        <v>3379</v>
      </c>
      <c r="B138" s="80">
        <v>6</v>
      </c>
      <c r="C138" s="105">
        <v>0.0021787130957340167</v>
      </c>
      <c r="D138" s="80" t="s">
        <v>3896</v>
      </c>
      <c r="E138" s="80" t="b">
        <v>0</v>
      </c>
      <c r="F138" s="80" t="b">
        <v>0</v>
      </c>
      <c r="G138" s="80" t="b">
        <v>0</v>
      </c>
    </row>
    <row r="139" spans="1:7" ht="15">
      <c r="A139" s="81" t="s">
        <v>3380</v>
      </c>
      <c r="B139" s="80">
        <v>6</v>
      </c>
      <c r="C139" s="105">
        <v>0.0025530509141762727</v>
      </c>
      <c r="D139" s="80" t="s">
        <v>3896</v>
      </c>
      <c r="E139" s="80" t="b">
        <v>0</v>
      </c>
      <c r="F139" s="80" t="b">
        <v>0</v>
      </c>
      <c r="G139" s="80" t="b">
        <v>0</v>
      </c>
    </row>
    <row r="140" spans="1:7" ht="15">
      <c r="A140" s="81" t="s">
        <v>3381</v>
      </c>
      <c r="B140" s="80">
        <v>6</v>
      </c>
      <c r="C140" s="105">
        <v>0.0021787130957340167</v>
      </c>
      <c r="D140" s="80" t="s">
        <v>3896</v>
      </c>
      <c r="E140" s="80" t="b">
        <v>0</v>
      </c>
      <c r="F140" s="80" t="b">
        <v>0</v>
      </c>
      <c r="G140" s="80" t="b">
        <v>0</v>
      </c>
    </row>
    <row r="141" spans="1:7" ht="15">
      <c r="A141" s="81" t="s">
        <v>3382</v>
      </c>
      <c r="B141" s="80">
        <v>6</v>
      </c>
      <c r="C141" s="105">
        <v>0.0021787130957340167</v>
      </c>
      <c r="D141" s="80" t="s">
        <v>3896</v>
      </c>
      <c r="E141" s="80" t="b">
        <v>0</v>
      </c>
      <c r="F141" s="80" t="b">
        <v>0</v>
      </c>
      <c r="G141" s="80" t="b">
        <v>0</v>
      </c>
    </row>
    <row r="142" spans="1:7" ht="15">
      <c r="A142" s="81" t="s">
        <v>3383</v>
      </c>
      <c r="B142" s="80">
        <v>6</v>
      </c>
      <c r="C142" s="105">
        <v>0.0021787130957340167</v>
      </c>
      <c r="D142" s="80" t="s">
        <v>3896</v>
      </c>
      <c r="E142" s="80" t="b">
        <v>0</v>
      </c>
      <c r="F142" s="80" t="b">
        <v>0</v>
      </c>
      <c r="G142" s="80" t="b">
        <v>0</v>
      </c>
    </row>
    <row r="143" spans="1:7" ht="15">
      <c r="A143" s="81" t="s">
        <v>3384</v>
      </c>
      <c r="B143" s="80">
        <v>6</v>
      </c>
      <c r="C143" s="105">
        <v>0.0021787130957340167</v>
      </c>
      <c r="D143" s="80" t="s">
        <v>3896</v>
      </c>
      <c r="E143" s="80" t="b">
        <v>0</v>
      </c>
      <c r="F143" s="80" t="b">
        <v>0</v>
      </c>
      <c r="G143" s="80" t="b">
        <v>0</v>
      </c>
    </row>
    <row r="144" spans="1:7" ht="15">
      <c r="A144" s="81" t="s">
        <v>3385</v>
      </c>
      <c r="B144" s="80">
        <v>6</v>
      </c>
      <c r="C144" s="105">
        <v>0.0021787130957340167</v>
      </c>
      <c r="D144" s="80" t="s">
        <v>3896</v>
      </c>
      <c r="E144" s="80" t="b">
        <v>0</v>
      </c>
      <c r="F144" s="80" t="b">
        <v>0</v>
      </c>
      <c r="G144" s="80" t="b">
        <v>0</v>
      </c>
    </row>
    <row r="145" spans="1:7" ht="15">
      <c r="A145" s="81" t="s">
        <v>3386</v>
      </c>
      <c r="B145" s="80">
        <v>6</v>
      </c>
      <c r="C145" s="105">
        <v>0.0021787130957340167</v>
      </c>
      <c r="D145" s="80" t="s">
        <v>3896</v>
      </c>
      <c r="E145" s="80" t="b">
        <v>0</v>
      </c>
      <c r="F145" s="80" t="b">
        <v>0</v>
      </c>
      <c r="G145" s="80" t="b">
        <v>0</v>
      </c>
    </row>
    <row r="146" spans="1:7" ht="15">
      <c r="A146" s="81" t="s">
        <v>3387</v>
      </c>
      <c r="B146" s="80">
        <v>6</v>
      </c>
      <c r="C146" s="105">
        <v>0.0021787130957340167</v>
      </c>
      <c r="D146" s="80" t="s">
        <v>3896</v>
      </c>
      <c r="E146" s="80" t="b">
        <v>0</v>
      </c>
      <c r="F146" s="80" t="b">
        <v>1</v>
      </c>
      <c r="G146" s="80" t="b">
        <v>0</v>
      </c>
    </row>
    <row r="147" spans="1:7" ht="15">
      <c r="A147" s="81" t="s">
        <v>3388</v>
      </c>
      <c r="B147" s="80">
        <v>6</v>
      </c>
      <c r="C147" s="105">
        <v>0.0021787130957340167</v>
      </c>
      <c r="D147" s="80" t="s">
        <v>3896</v>
      </c>
      <c r="E147" s="80" t="b">
        <v>0</v>
      </c>
      <c r="F147" s="80" t="b">
        <v>0</v>
      </c>
      <c r="G147" s="80" t="b">
        <v>0</v>
      </c>
    </row>
    <row r="148" spans="1:7" ht="15">
      <c r="A148" s="81" t="s">
        <v>3389</v>
      </c>
      <c r="B148" s="80">
        <v>6</v>
      </c>
      <c r="C148" s="105">
        <v>0.0021787130957340167</v>
      </c>
      <c r="D148" s="80" t="s">
        <v>3896</v>
      </c>
      <c r="E148" s="80" t="b">
        <v>0</v>
      </c>
      <c r="F148" s="80" t="b">
        <v>0</v>
      </c>
      <c r="G148" s="80" t="b">
        <v>0</v>
      </c>
    </row>
    <row r="149" spans="1:7" ht="15">
      <c r="A149" s="81" t="s">
        <v>3390</v>
      </c>
      <c r="B149" s="80">
        <v>6</v>
      </c>
      <c r="C149" s="105">
        <v>0.0025530509141762727</v>
      </c>
      <c r="D149" s="80" t="s">
        <v>3896</v>
      </c>
      <c r="E149" s="80" t="b">
        <v>0</v>
      </c>
      <c r="F149" s="80" t="b">
        <v>0</v>
      </c>
      <c r="G149" s="80" t="b">
        <v>0</v>
      </c>
    </row>
    <row r="150" spans="1:7" ht="15">
      <c r="A150" s="81" t="s">
        <v>3391</v>
      </c>
      <c r="B150" s="80">
        <v>5</v>
      </c>
      <c r="C150" s="105">
        <v>0.0018976473511575786</v>
      </c>
      <c r="D150" s="80" t="s">
        <v>3896</v>
      </c>
      <c r="E150" s="80" t="b">
        <v>0</v>
      </c>
      <c r="F150" s="80" t="b">
        <v>0</v>
      </c>
      <c r="G150" s="80" t="b">
        <v>0</v>
      </c>
    </row>
    <row r="151" spans="1:7" ht="15">
      <c r="A151" s="81" t="s">
        <v>3392</v>
      </c>
      <c r="B151" s="80">
        <v>5</v>
      </c>
      <c r="C151" s="105">
        <v>0.0018976473511575786</v>
      </c>
      <c r="D151" s="80" t="s">
        <v>3896</v>
      </c>
      <c r="E151" s="80" t="b">
        <v>0</v>
      </c>
      <c r="F151" s="80" t="b">
        <v>0</v>
      </c>
      <c r="G151" s="80" t="b">
        <v>0</v>
      </c>
    </row>
    <row r="152" spans="1:7" ht="15">
      <c r="A152" s="81" t="s">
        <v>3393</v>
      </c>
      <c r="B152" s="80">
        <v>5</v>
      </c>
      <c r="C152" s="105">
        <v>0.0018976473511575786</v>
      </c>
      <c r="D152" s="80" t="s">
        <v>3896</v>
      </c>
      <c r="E152" s="80" t="b">
        <v>0</v>
      </c>
      <c r="F152" s="80" t="b">
        <v>0</v>
      </c>
      <c r="G152" s="80" t="b">
        <v>0</v>
      </c>
    </row>
    <row r="153" spans="1:7" ht="15">
      <c r="A153" s="81" t="s">
        <v>3394</v>
      </c>
      <c r="B153" s="80">
        <v>5</v>
      </c>
      <c r="C153" s="105">
        <v>0.0018976473511575786</v>
      </c>
      <c r="D153" s="80" t="s">
        <v>3896</v>
      </c>
      <c r="E153" s="80" t="b">
        <v>0</v>
      </c>
      <c r="F153" s="80" t="b">
        <v>0</v>
      </c>
      <c r="G153" s="80" t="b">
        <v>0</v>
      </c>
    </row>
    <row r="154" spans="1:7" ht="15">
      <c r="A154" s="81" t="s">
        <v>3395</v>
      </c>
      <c r="B154" s="80">
        <v>5</v>
      </c>
      <c r="C154" s="105">
        <v>0.001998072235103751</v>
      </c>
      <c r="D154" s="80" t="s">
        <v>3896</v>
      </c>
      <c r="E154" s="80" t="b">
        <v>1</v>
      </c>
      <c r="F154" s="80" t="b">
        <v>0</v>
      </c>
      <c r="G154" s="80" t="b">
        <v>0</v>
      </c>
    </row>
    <row r="155" spans="1:7" ht="15">
      <c r="A155" s="81" t="s">
        <v>3396</v>
      </c>
      <c r="B155" s="80">
        <v>5</v>
      </c>
      <c r="C155" s="105">
        <v>0.0018976473511575786</v>
      </c>
      <c r="D155" s="80" t="s">
        <v>3896</v>
      </c>
      <c r="E155" s="80" t="b">
        <v>0</v>
      </c>
      <c r="F155" s="80" t="b">
        <v>1</v>
      </c>
      <c r="G155" s="80" t="b">
        <v>0</v>
      </c>
    </row>
    <row r="156" spans="1:7" ht="15">
      <c r="A156" s="81" t="s">
        <v>3397</v>
      </c>
      <c r="B156" s="80">
        <v>5</v>
      </c>
      <c r="C156" s="105">
        <v>0.0018976473511575786</v>
      </c>
      <c r="D156" s="80" t="s">
        <v>3896</v>
      </c>
      <c r="E156" s="80" t="b">
        <v>0</v>
      </c>
      <c r="F156" s="80" t="b">
        <v>0</v>
      </c>
      <c r="G156" s="80" t="b">
        <v>0</v>
      </c>
    </row>
    <row r="157" spans="1:7" ht="15">
      <c r="A157" s="81" t="s">
        <v>3398</v>
      </c>
      <c r="B157" s="80">
        <v>5</v>
      </c>
      <c r="C157" s="105">
        <v>0.0018976473511575786</v>
      </c>
      <c r="D157" s="80" t="s">
        <v>3896</v>
      </c>
      <c r="E157" s="80" t="b">
        <v>0</v>
      </c>
      <c r="F157" s="80" t="b">
        <v>0</v>
      </c>
      <c r="G157" s="80" t="b">
        <v>0</v>
      </c>
    </row>
    <row r="158" spans="1:7" ht="15">
      <c r="A158" s="81" t="s">
        <v>3399</v>
      </c>
      <c r="B158" s="80">
        <v>5</v>
      </c>
      <c r="C158" s="105">
        <v>0.0018976473511575786</v>
      </c>
      <c r="D158" s="80" t="s">
        <v>3896</v>
      </c>
      <c r="E158" s="80" t="b">
        <v>0</v>
      </c>
      <c r="F158" s="80" t="b">
        <v>0</v>
      </c>
      <c r="G158" s="80" t="b">
        <v>0</v>
      </c>
    </row>
    <row r="159" spans="1:7" ht="15">
      <c r="A159" s="81" t="s">
        <v>3400</v>
      </c>
      <c r="B159" s="80">
        <v>5</v>
      </c>
      <c r="C159" s="105">
        <v>0.0018976473511575786</v>
      </c>
      <c r="D159" s="80" t="s">
        <v>3896</v>
      </c>
      <c r="E159" s="80" t="b">
        <v>0</v>
      </c>
      <c r="F159" s="80" t="b">
        <v>0</v>
      </c>
      <c r="G159" s="80" t="b">
        <v>0</v>
      </c>
    </row>
    <row r="160" spans="1:7" ht="15">
      <c r="A160" s="81" t="s">
        <v>3401</v>
      </c>
      <c r="B160" s="80">
        <v>5</v>
      </c>
      <c r="C160" s="105">
        <v>0.0018976473511575786</v>
      </c>
      <c r="D160" s="80" t="s">
        <v>3896</v>
      </c>
      <c r="E160" s="80" t="b">
        <v>1</v>
      </c>
      <c r="F160" s="80" t="b">
        <v>0</v>
      </c>
      <c r="G160" s="80" t="b">
        <v>0</v>
      </c>
    </row>
    <row r="161" spans="1:7" ht="15">
      <c r="A161" s="81" t="s">
        <v>3402</v>
      </c>
      <c r="B161" s="80">
        <v>5</v>
      </c>
      <c r="C161" s="105">
        <v>0.0018976473511575786</v>
      </c>
      <c r="D161" s="80" t="s">
        <v>3896</v>
      </c>
      <c r="E161" s="80" t="b">
        <v>0</v>
      </c>
      <c r="F161" s="80" t="b">
        <v>0</v>
      </c>
      <c r="G161" s="80" t="b">
        <v>0</v>
      </c>
    </row>
    <row r="162" spans="1:7" ht="15">
      <c r="A162" s="81" t="s">
        <v>3403</v>
      </c>
      <c r="B162" s="80">
        <v>5</v>
      </c>
      <c r="C162" s="105">
        <v>0.0018976473511575786</v>
      </c>
      <c r="D162" s="80" t="s">
        <v>3896</v>
      </c>
      <c r="E162" s="80" t="b">
        <v>0</v>
      </c>
      <c r="F162" s="80" t="b">
        <v>0</v>
      </c>
      <c r="G162" s="80" t="b">
        <v>0</v>
      </c>
    </row>
    <row r="163" spans="1:7" ht="15">
      <c r="A163" s="81" t="s">
        <v>3404</v>
      </c>
      <c r="B163" s="80">
        <v>5</v>
      </c>
      <c r="C163" s="105">
        <v>0.0018976473511575786</v>
      </c>
      <c r="D163" s="80" t="s">
        <v>3896</v>
      </c>
      <c r="E163" s="80" t="b">
        <v>0</v>
      </c>
      <c r="F163" s="80" t="b">
        <v>0</v>
      </c>
      <c r="G163" s="80" t="b">
        <v>0</v>
      </c>
    </row>
    <row r="164" spans="1:7" ht="15">
      <c r="A164" s="81" t="s">
        <v>3405</v>
      </c>
      <c r="B164" s="80">
        <v>5</v>
      </c>
      <c r="C164" s="105">
        <v>0.0018976473511575786</v>
      </c>
      <c r="D164" s="80" t="s">
        <v>3896</v>
      </c>
      <c r="E164" s="80" t="b">
        <v>0</v>
      </c>
      <c r="F164" s="80" t="b">
        <v>0</v>
      </c>
      <c r="G164" s="80" t="b">
        <v>0</v>
      </c>
    </row>
    <row r="165" spans="1:7" ht="15">
      <c r="A165" s="81" t="s">
        <v>3406</v>
      </c>
      <c r="B165" s="80">
        <v>5</v>
      </c>
      <c r="C165" s="105">
        <v>0.0018976473511575786</v>
      </c>
      <c r="D165" s="80" t="s">
        <v>3896</v>
      </c>
      <c r="E165" s="80" t="b">
        <v>0</v>
      </c>
      <c r="F165" s="80" t="b">
        <v>0</v>
      </c>
      <c r="G165" s="80" t="b">
        <v>0</v>
      </c>
    </row>
    <row r="166" spans="1:7" ht="15">
      <c r="A166" s="81" t="s">
        <v>3407</v>
      </c>
      <c r="B166" s="80">
        <v>5</v>
      </c>
      <c r="C166" s="105">
        <v>0.0018976473511575786</v>
      </c>
      <c r="D166" s="80" t="s">
        <v>3896</v>
      </c>
      <c r="E166" s="80" t="b">
        <v>0</v>
      </c>
      <c r="F166" s="80" t="b">
        <v>0</v>
      </c>
      <c r="G166" s="80" t="b">
        <v>0</v>
      </c>
    </row>
    <row r="167" spans="1:7" ht="15">
      <c r="A167" s="81" t="s">
        <v>3408</v>
      </c>
      <c r="B167" s="80">
        <v>5</v>
      </c>
      <c r="C167" s="105">
        <v>0.0018976473511575786</v>
      </c>
      <c r="D167" s="80" t="s">
        <v>3896</v>
      </c>
      <c r="E167" s="80" t="b">
        <v>0</v>
      </c>
      <c r="F167" s="80" t="b">
        <v>0</v>
      </c>
      <c r="G167" s="80" t="b">
        <v>0</v>
      </c>
    </row>
    <row r="168" spans="1:7" ht="15">
      <c r="A168" s="81" t="s">
        <v>3409</v>
      </c>
      <c r="B168" s="80">
        <v>5</v>
      </c>
      <c r="C168" s="105">
        <v>0.0018976473511575786</v>
      </c>
      <c r="D168" s="80" t="s">
        <v>3896</v>
      </c>
      <c r="E168" s="80" t="b">
        <v>0</v>
      </c>
      <c r="F168" s="80" t="b">
        <v>0</v>
      </c>
      <c r="G168" s="80" t="b">
        <v>0</v>
      </c>
    </row>
    <row r="169" spans="1:7" ht="15">
      <c r="A169" s="81" t="s">
        <v>3410</v>
      </c>
      <c r="B169" s="80">
        <v>5</v>
      </c>
      <c r="C169" s="105">
        <v>0.0018976473511575786</v>
      </c>
      <c r="D169" s="80" t="s">
        <v>3896</v>
      </c>
      <c r="E169" s="80" t="b">
        <v>0</v>
      </c>
      <c r="F169" s="80" t="b">
        <v>0</v>
      </c>
      <c r="G169" s="80" t="b">
        <v>0</v>
      </c>
    </row>
    <row r="170" spans="1:7" ht="15">
      <c r="A170" s="81" t="s">
        <v>3411</v>
      </c>
      <c r="B170" s="80">
        <v>5</v>
      </c>
      <c r="C170" s="105">
        <v>0.0018976473511575786</v>
      </c>
      <c r="D170" s="80" t="s">
        <v>3896</v>
      </c>
      <c r="E170" s="80" t="b">
        <v>0</v>
      </c>
      <c r="F170" s="80" t="b">
        <v>0</v>
      </c>
      <c r="G170" s="80" t="b">
        <v>0</v>
      </c>
    </row>
    <row r="171" spans="1:7" ht="15">
      <c r="A171" s="81" t="s">
        <v>3412</v>
      </c>
      <c r="B171" s="80">
        <v>5</v>
      </c>
      <c r="C171" s="105">
        <v>0.0018976473511575786</v>
      </c>
      <c r="D171" s="80" t="s">
        <v>3896</v>
      </c>
      <c r="E171" s="80" t="b">
        <v>0</v>
      </c>
      <c r="F171" s="80" t="b">
        <v>0</v>
      </c>
      <c r="G171" s="80" t="b">
        <v>0</v>
      </c>
    </row>
    <row r="172" spans="1:7" ht="15">
      <c r="A172" s="81" t="s">
        <v>3413</v>
      </c>
      <c r="B172" s="80">
        <v>5</v>
      </c>
      <c r="C172" s="105">
        <v>0.0018976473511575786</v>
      </c>
      <c r="D172" s="80" t="s">
        <v>3896</v>
      </c>
      <c r="E172" s="80" t="b">
        <v>0</v>
      </c>
      <c r="F172" s="80" t="b">
        <v>0</v>
      </c>
      <c r="G172" s="80" t="b">
        <v>0</v>
      </c>
    </row>
    <row r="173" spans="1:7" ht="15">
      <c r="A173" s="81" t="s">
        <v>3414</v>
      </c>
      <c r="B173" s="80">
        <v>5</v>
      </c>
      <c r="C173" s="105">
        <v>0.0018976473511575786</v>
      </c>
      <c r="D173" s="80" t="s">
        <v>3896</v>
      </c>
      <c r="E173" s="80" t="b">
        <v>0</v>
      </c>
      <c r="F173" s="80" t="b">
        <v>0</v>
      </c>
      <c r="G173" s="80" t="b">
        <v>0</v>
      </c>
    </row>
    <row r="174" spans="1:7" ht="15">
      <c r="A174" s="81" t="s">
        <v>3415</v>
      </c>
      <c r="B174" s="80">
        <v>5</v>
      </c>
      <c r="C174" s="105">
        <v>0.0018976473511575786</v>
      </c>
      <c r="D174" s="80" t="s">
        <v>3896</v>
      </c>
      <c r="E174" s="80" t="b">
        <v>0</v>
      </c>
      <c r="F174" s="80" t="b">
        <v>0</v>
      </c>
      <c r="G174" s="80" t="b">
        <v>0</v>
      </c>
    </row>
    <row r="175" spans="1:7" ht="15">
      <c r="A175" s="81" t="s">
        <v>3416</v>
      </c>
      <c r="B175" s="80">
        <v>5</v>
      </c>
      <c r="C175" s="105">
        <v>0.0018976473511575786</v>
      </c>
      <c r="D175" s="80" t="s">
        <v>3896</v>
      </c>
      <c r="E175" s="80" t="b">
        <v>0</v>
      </c>
      <c r="F175" s="80" t="b">
        <v>0</v>
      </c>
      <c r="G175" s="80" t="b">
        <v>0</v>
      </c>
    </row>
    <row r="176" spans="1:7" ht="15">
      <c r="A176" s="81" t="s">
        <v>3417</v>
      </c>
      <c r="B176" s="80">
        <v>5</v>
      </c>
      <c r="C176" s="105">
        <v>0.0018976473511575786</v>
      </c>
      <c r="D176" s="80" t="s">
        <v>3896</v>
      </c>
      <c r="E176" s="80" t="b">
        <v>0</v>
      </c>
      <c r="F176" s="80" t="b">
        <v>0</v>
      </c>
      <c r="G176" s="80" t="b">
        <v>0</v>
      </c>
    </row>
    <row r="177" spans="1:7" ht="15">
      <c r="A177" s="81" t="s">
        <v>3418</v>
      </c>
      <c r="B177" s="80">
        <v>5</v>
      </c>
      <c r="C177" s="105">
        <v>0.0018976473511575786</v>
      </c>
      <c r="D177" s="80" t="s">
        <v>3896</v>
      </c>
      <c r="E177" s="80" t="b">
        <v>0</v>
      </c>
      <c r="F177" s="80" t="b">
        <v>0</v>
      </c>
      <c r="G177" s="80" t="b">
        <v>0</v>
      </c>
    </row>
    <row r="178" spans="1:7" ht="15">
      <c r="A178" s="81" t="s">
        <v>3419</v>
      </c>
      <c r="B178" s="80">
        <v>5</v>
      </c>
      <c r="C178" s="105">
        <v>0.0018976473511575786</v>
      </c>
      <c r="D178" s="80" t="s">
        <v>3896</v>
      </c>
      <c r="E178" s="80" t="b">
        <v>0</v>
      </c>
      <c r="F178" s="80" t="b">
        <v>0</v>
      </c>
      <c r="G178" s="80" t="b">
        <v>0</v>
      </c>
    </row>
    <row r="179" spans="1:7" ht="15">
      <c r="A179" s="81" t="s">
        <v>3420</v>
      </c>
      <c r="B179" s="80">
        <v>5</v>
      </c>
      <c r="C179" s="105">
        <v>0.0018976473511575786</v>
      </c>
      <c r="D179" s="80" t="s">
        <v>3896</v>
      </c>
      <c r="E179" s="80" t="b">
        <v>0</v>
      </c>
      <c r="F179" s="80" t="b">
        <v>0</v>
      </c>
      <c r="G179" s="80" t="b">
        <v>0</v>
      </c>
    </row>
    <row r="180" spans="1:7" ht="15">
      <c r="A180" s="81" t="s">
        <v>3421</v>
      </c>
      <c r="B180" s="80">
        <v>5</v>
      </c>
      <c r="C180" s="105">
        <v>0.0018976473511575786</v>
      </c>
      <c r="D180" s="80" t="s">
        <v>3896</v>
      </c>
      <c r="E180" s="80" t="b">
        <v>0</v>
      </c>
      <c r="F180" s="80" t="b">
        <v>0</v>
      </c>
      <c r="G180" s="80" t="b">
        <v>0</v>
      </c>
    </row>
    <row r="181" spans="1:7" ht="15">
      <c r="A181" s="81" t="s">
        <v>3422</v>
      </c>
      <c r="B181" s="80">
        <v>5</v>
      </c>
      <c r="C181" s="105">
        <v>0.0018976473511575786</v>
      </c>
      <c r="D181" s="80" t="s">
        <v>3896</v>
      </c>
      <c r="E181" s="80" t="b">
        <v>0</v>
      </c>
      <c r="F181" s="80" t="b">
        <v>0</v>
      </c>
      <c r="G181" s="80" t="b">
        <v>0</v>
      </c>
    </row>
    <row r="182" spans="1:7" ht="15">
      <c r="A182" s="81" t="s">
        <v>3423</v>
      </c>
      <c r="B182" s="80">
        <v>5</v>
      </c>
      <c r="C182" s="105">
        <v>0.0018976473511575786</v>
      </c>
      <c r="D182" s="80" t="s">
        <v>3896</v>
      </c>
      <c r="E182" s="80" t="b">
        <v>0</v>
      </c>
      <c r="F182" s="80" t="b">
        <v>0</v>
      </c>
      <c r="G182" s="80" t="b">
        <v>0</v>
      </c>
    </row>
    <row r="183" spans="1:7" ht="15">
      <c r="A183" s="81" t="s">
        <v>3424</v>
      </c>
      <c r="B183" s="80">
        <v>5</v>
      </c>
      <c r="C183" s="105">
        <v>0.0018976473511575786</v>
      </c>
      <c r="D183" s="80" t="s">
        <v>3896</v>
      </c>
      <c r="E183" s="80" t="b">
        <v>0</v>
      </c>
      <c r="F183" s="80" t="b">
        <v>0</v>
      </c>
      <c r="G183" s="80" t="b">
        <v>0</v>
      </c>
    </row>
    <row r="184" spans="1:7" ht="15">
      <c r="A184" s="81" t="s">
        <v>3425</v>
      </c>
      <c r="B184" s="80">
        <v>5</v>
      </c>
      <c r="C184" s="105">
        <v>0.0018976473511575786</v>
      </c>
      <c r="D184" s="80" t="s">
        <v>3896</v>
      </c>
      <c r="E184" s="80" t="b">
        <v>0</v>
      </c>
      <c r="F184" s="80" t="b">
        <v>0</v>
      </c>
      <c r="G184" s="80" t="b">
        <v>0</v>
      </c>
    </row>
    <row r="185" spans="1:7" ht="15">
      <c r="A185" s="81" t="s">
        <v>3426</v>
      </c>
      <c r="B185" s="80">
        <v>5</v>
      </c>
      <c r="C185" s="105">
        <v>0.0018976473511575786</v>
      </c>
      <c r="D185" s="80" t="s">
        <v>3896</v>
      </c>
      <c r="E185" s="80" t="b">
        <v>0</v>
      </c>
      <c r="F185" s="80" t="b">
        <v>0</v>
      </c>
      <c r="G185" s="80" t="b">
        <v>0</v>
      </c>
    </row>
    <row r="186" spans="1:7" ht="15">
      <c r="A186" s="81" t="s">
        <v>3427</v>
      </c>
      <c r="B186" s="80">
        <v>5</v>
      </c>
      <c r="C186" s="105">
        <v>0.0018976473511575786</v>
      </c>
      <c r="D186" s="80" t="s">
        <v>3896</v>
      </c>
      <c r="E186" s="80" t="b">
        <v>0</v>
      </c>
      <c r="F186" s="80" t="b">
        <v>0</v>
      </c>
      <c r="G186" s="80" t="b">
        <v>0</v>
      </c>
    </row>
    <row r="187" spans="1:7" ht="15">
      <c r="A187" s="81" t="s">
        <v>3428</v>
      </c>
      <c r="B187" s="80">
        <v>5</v>
      </c>
      <c r="C187" s="105">
        <v>0.0018976473511575786</v>
      </c>
      <c r="D187" s="80" t="s">
        <v>3896</v>
      </c>
      <c r="E187" s="80" t="b">
        <v>0</v>
      </c>
      <c r="F187" s="80" t="b">
        <v>0</v>
      </c>
      <c r="G187" s="80" t="b">
        <v>0</v>
      </c>
    </row>
    <row r="188" spans="1:7" ht="15">
      <c r="A188" s="81" t="s">
        <v>3429</v>
      </c>
      <c r="B188" s="80">
        <v>5</v>
      </c>
      <c r="C188" s="105">
        <v>0.0018976473511575786</v>
      </c>
      <c r="D188" s="80" t="s">
        <v>3896</v>
      </c>
      <c r="E188" s="80" t="b">
        <v>0</v>
      </c>
      <c r="F188" s="80" t="b">
        <v>0</v>
      </c>
      <c r="G188" s="80" t="b">
        <v>0</v>
      </c>
    </row>
    <row r="189" spans="1:7" ht="15">
      <c r="A189" s="81" t="s">
        <v>431</v>
      </c>
      <c r="B189" s="80">
        <v>5</v>
      </c>
      <c r="C189" s="105">
        <v>0.0018976473511575786</v>
      </c>
      <c r="D189" s="80" t="s">
        <v>3896</v>
      </c>
      <c r="E189" s="80" t="b">
        <v>0</v>
      </c>
      <c r="F189" s="80" t="b">
        <v>0</v>
      </c>
      <c r="G189" s="80" t="b">
        <v>0</v>
      </c>
    </row>
    <row r="190" spans="1:7" ht="15">
      <c r="A190" s="81" t="s">
        <v>430</v>
      </c>
      <c r="B190" s="80">
        <v>5</v>
      </c>
      <c r="C190" s="105">
        <v>0.0018976473511575786</v>
      </c>
      <c r="D190" s="80" t="s">
        <v>3896</v>
      </c>
      <c r="E190" s="80" t="b">
        <v>0</v>
      </c>
      <c r="F190" s="80" t="b">
        <v>0</v>
      </c>
      <c r="G190" s="80" t="b">
        <v>0</v>
      </c>
    </row>
    <row r="191" spans="1:7" ht="15">
      <c r="A191" s="81" t="s">
        <v>460</v>
      </c>
      <c r="B191" s="80">
        <v>5</v>
      </c>
      <c r="C191" s="105">
        <v>0.0018976473511575786</v>
      </c>
      <c r="D191" s="80" t="s">
        <v>3896</v>
      </c>
      <c r="E191" s="80" t="b">
        <v>0</v>
      </c>
      <c r="F191" s="80" t="b">
        <v>0</v>
      </c>
      <c r="G191" s="80" t="b">
        <v>0</v>
      </c>
    </row>
    <row r="192" spans="1:7" ht="15">
      <c r="A192" s="81" t="s">
        <v>584</v>
      </c>
      <c r="B192" s="80">
        <v>4</v>
      </c>
      <c r="C192" s="105">
        <v>0.001598457788083001</v>
      </c>
      <c r="D192" s="80" t="s">
        <v>3896</v>
      </c>
      <c r="E192" s="80" t="b">
        <v>0</v>
      </c>
      <c r="F192" s="80" t="b">
        <v>0</v>
      </c>
      <c r="G192" s="80" t="b">
        <v>0</v>
      </c>
    </row>
    <row r="193" spans="1:7" ht="15">
      <c r="A193" s="81" t="s">
        <v>3430</v>
      </c>
      <c r="B193" s="80">
        <v>4</v>
      </c>
      <c r="C193" s="105">
        <v>0.001598457788083001</v>
      </c>
      <c r="D193" s="80" t="s">
        <v>3896</v>
      </c>
      <c r="E193" s="80" t="b">
        <v>0</v>
      </c>
      <c r="F193" s="80" t="b">
        <v>0</v>
      </c>
      <c r="G193" s="80" t="b">
        <v>0</v>
      </c>
    </row>
    <row r="194" spans="1:7" ht="15">
      <c r="A194" s="81" t="s">
        <v>3431</v>
      </c>
      <c r="B194" s="80">
        <v>4</v>
      </c>
      <c r="C194" s="105">
        <v>0.001598457788083001</v>
      </c>
      <c r="D194" s="80" t="s">
        <v>3896</v>
      </c>
      <c r="E194" s="80" t="b">
        <v>0</v>
      </c>
      <c r="F194" s="80" t="b">
        <v>0</v>
      </c>
      <c r="G194" s="80" t="b">
        <v>0</v>
      </c>
    </row>
    <row r="195" spans="1:7" ht="15">
      <c r="A195" s="81" t="s">
        <v>3432</v>
      </c>
      <c r="B195" s="80">
        <v>4</v>
      </c>
      <c r="C195" s="105">
        <v>0.001598457788083001</v>
      </c>
      <c r="D195" s="80" t="s">
        <v>3896</v>
      </c>
      <c r="E195" s="80" t="b">
        <v>0</v>
      </c>
      <c r="F195" s="80" t="b">
        <v>0</v>
      </c>
      <c r="G195" s="80" t="b">
        <v>0</v>
      </c>
    </row>
    <row r="196" spans="1:7" ht="15">
      <c r="A196" s="81" t="s">
        <v>3433</v>
      </c>
      <c r="B196" s="80">
        <v>4</v>
      </c>
      <c r="C196" s="105">
        <v>0.001598457788083001</v>
      </c>
      <c r="D196" s="80" t="s">
        <v>3896</v>
      </c>
      <c r="E196" s="80" t="b">
        <v>0</v>
      </c>
      <c r="F196" s="80" t="b">
        <v>0</v>
      </c>
      <c r="G196" s="80" t="b">
        <v>0</v>
      </c>
    </row>
    <row r="197" spans="1:7" ht="15">
      <c r="A197" s="81" t="s">
        <v>3434</v>
      </c>
      <c r="B197" s="80">
        <v>4</v>
      </c>
      <c r="C197" s="105">
        <v>0.001598457788083001</v>
      </c>
      <c r="D197" s="80" t="s">
        <v>3896</v>
      </c>
      <c r="E197" s="80" t="b">
        <v>0</v>
      </c>
      <c r="F197" s="80" t="b">
        <v>0</v>
      </c>
      <c r="G197" s="80" t="b">
        <v>0</v>
      </c>
    </row>
    <row r="198" spans="1:7" ht="15">
      <c r="A198" s="81" t="s">
        <v>3435</v>
      </c>
      <c r="B198" s="80">
        <v>4</v>
      </c>
      <c r="C198" s="105">
        <v>0.001598457788083001</v>
      </c>
      <c r="D198" s="80" t="s">
        <v>3896</v>
      </c>
      <c r="E198" s="80" t="b">
        <v>0</v>
      </c>
      <c r="F198" s="80" t="b">
        <v>0</v>
      </c>
      <c r="G198" s="80" t="b">
        <v>0</v>
      </c>
    </row>
    <row r="199" spans="1:7" ht="15">
      <c r="A199" s="81" t="s">
        <v>3436</v>
      </c>
      <c r="B199" s="80">
        <v>4</v>
      </c>
      <c r="C199" s="105">
        <v>0.001598457788083001</v>
      </c>
      <c r="D199" s="80" t="s">
        <v>3896</v>
      </c>
      <c r="E199" s="80" t="b">
        <v>0</v>
      </c>
      <c r="F199" s="80" t="b">
        <v>0</v>
      </c>
      <c r="G199" s="80" t="b">
        <v>0</v>
      </c>
    </row>
    <row r="200" spans="1:7" ht="15">
      <c r="A200" s="81" t="s">
        <v>3437</v>
      </c>
      <c r="B200" s="80">
        <v>4</v>
      </c>
      <c r="C200" s="105">
        <v>0.001598457788083001</v>
      </c>
      <c r="D200" s="80" t="s">
        <v>3896</v>
      </c>
      <c r="E200" s="80" t="b">
        <v>0</v>
      </c>
      <c r="F200" s="80" t="b">
        <v>0</v>
      </c>
      <c r="G200" s="80" t="b">
        <v>0</v>
      </c>
    </row>
    <row r="201" spans="1:7" ht="15">
      <c r="A201" s="81" t="s">
        <v>3438</v>
      </c>
      <c r="B201" s="80">
        <v>4</v>
      </c>
      <c r="C201" s="105">
        <v>0.001598457788083001</v>
      </c>
      <c r="D201" s="80" t="s">
        <v>3896</v>
      </c>
      <c r="E201" s="80" t="b">
        <v>0</v>
      </c>
      <c r="F201" s="80" t="b">
        <v>0</v>
      </c>
      <c r="G201" s="80" t="b">
        <v>0</v>
      </c>
    </row>
    <row r="202" spans="1:7" ht="15">
      <c r="A202" s="81" t="s">
        <v>3439</v>
      </c>
      <c r="B202" s="80">
        <v>4</v>
      </c>
      <c r="C202" s="105">
        <v>0.001598457788083001</v>
      </c>
      <c r="D202" s="80" t="s">
        <v>3896</v>
      </c>
      <c r="E202" s="80" t="b">
        <v>0</v>
      </c>
      <c r="F202" s="80" t="b">
        <v>0</v>
      </c>
      <c r="G202" s="80" t="b">
        <v>0</v>
      </c>
    </row>
    <row r="203" spans="1:7" ht="15">
      <c r="A203" s="81" t="s">
        <v>3440</v>
      </c>
      <c r="B203" s="80">
        <v>4</v>
      </c>
      <c r="C203" s="105">
        <v>0.001598457788083001</v>
      </c>
      <c r="D203" s="80" t="s">
        <v>3896</v>
      </c>
      <c r="E203" s="80" t="b">
        <v>0</v>
      </c>
      <c r="F203" s="80" t="b">
        <v>0</v>
      </c>
      <c r="G203" s="80" t="b">
        <v>0</v>
      </c>
    </row>
    <row r="204" spans="1:7" ht="15">
      <c r="A204" s="81" t="s">
        <v>3441</v>
      </c>
      <c r="B204" s="80">
        <v>4</v>
      </c>
      <c r="C204" s="105">
        <v>0.001598457788083001</v>
      </c>
      <c r="D204" s="80" t="s">
        <v>3896</v>
      </c>
      <c r="E204" s="80" t="b">
        <v>0</v>
      </c>
      <c r="F204" s="80" t="b">
        <v>0</v>
      </c>
      <c r="G204" s="80" t="b">
        <v>0</v>
      </c>
    </row>
    <row r="205" spans="1:7" ht="15">
      <c r="A205" s="81" t="s">
        <v>3442</v>
      </c>
      <c r="B205" s="80">
        <v>4</v>
      </c>
      <c r="C205" s="105">
        <v>0.001598457788083001</v>
      </c>
      <c r="D205" s="80" t="s">
        <v>3896</v>
      </c>
      <c r="E205" s="80" t="b">
        <v>0</v>
      </c>
      <c r="F205" s="80" t="b">
        <v>0</v>
      </c>
      <c r="G205" s="80" t="b">
        <v>0</v>
      </c>
    </row>
    <row r="206" spans="1:7" ht="15">
      <c r="A206" s="81" t="s">
        <v>3443</v>
      </c>
      <c r="B206" s="80">
        <v>4</v>
      </c>
      <c r="C206" s="105">
        <v>0.001598457788083001</v>
      </c>
      <c r="D206" s="80" t="s">
        <v>3896</v>
      </c>
      <c r="E206" s="80" t="b">
        <v>0</v>
      </c>
      <c r="F206" s="80" t="b">
        <v>0</v>
      </c>
      <c r="G206" s="80" t="b">
        <v>0</v>
      </c>
    </row>
    <row r="207" spans="1:7" ht="15">
      <c r="A207" s="81" t="s">
        <v>3444</v>
      </c>
      <c r="B207" s="80">
        <v>4</v>
      </c>
      <c r="C207" s="105">
        <v>0.001598457788083001</v>
      </c>
      <c r="D207" s="80" t="s">
        <v>3896</v>
      </c>
      <c r="E207" s="80" t="b">
        <v>0</v>
      </c>
      <c r="F207" s="80" t="b">
        <v>0</v>
      </c>
      <c r="G207" s="80" t="b">
        <v>0</v>
      </c>
    </row>
    <row r="208" spans="1:7" ht="15">
      <c r="A208" s="81" t="s">
        <v>3445</v>
      </c>
      <c r="B208" s="80">
        <v>4</v>
      </c>
      <c r="C208" s="105">
        <v>0.001598457788083001</v>
      </c>
      <c r="D208" s="80" t="s">
        <v>3896</v>
      </c>
      <c r="E208" s="80" t="b">
        <v>0</v>
      </c>
      <c r="F208" s="80" t="b">
        <v>0</v>
      </c>
      <c r="G208" s="80" t="b">
        <v>0</v>
      </c>
    </row>
    <row r="209" spans="1:7" ht="15">
      <c r="A209" s="81" t="s">
        <v>3446</v>
      </c>
      <c r="B209" s="80">
        <v>4</v>
      </c>
      <c r="C209" s="105">
        <v>0.001598457788083001</v>
      </c>
      <c r="D209" s="80" t="s">
        <v>3896</v>
      </c>
      <c r="E209" s="80" t="b">
        <v>0</v>
      </c>
      <c r="F209" s="80" t="b">
        <v>0</v>
      </c>
      <c r="G209" s="80" t="b">
        <v>0</v>
      </c>
    </row>
    <row r="210" spans="1:7" ht="15">
      <c r="A210" s="81" t="s">
        <v>3447</v>
      </c>
      <c r="B210" s="80">
        <v>4</v>
      </c>
      <c r="C210" s="105">
        <v>0.001598457788083001</v>
      </c>
      <c r="D210" s="80" t="s">
        <v>3896</v>
      </c>
      <c r="E210" s="80" t="b">
        <v>0</v>
      </c>
      <c r="F210" s="80" t="b">
        <v>0</v>
      </c>
      <c r="G210" s="80" t="b">
        <v>0</v>
      </c>
    </row>
    <row r="211" spans="1:7" ht="15">
      <c r="A211" s="81" t="s">
        <v>3448</v>
      </c>
      <c r="B211" s="80">
        <v>4</v>
      </c>
      <c r="C211" s="105">
        <v>0.001598457788083001</v>
      </c>
      <c r="D211" s="80" t="s">
        <v>3896</v>
      </c>
      <c r="E211" s="80" t="b">
        <v>0</v>
      </c>
      <c r="F211" s="80" t="b">
        <v>0</v>
      </c>
      <c r="G211" s="80" t="b">
        <v>0</v>
      </c>
    </row>
    <row r="212" spans="1:7" ht="15">
      <c r="A212" s="81" t="s">
        <v>3449</v>
      </c>
      <c r="B212" s="80">
        <v>4</v>
      </c>
      <c r="C212" s="105">
        <v>0.001598457788083001</v>
      </c>
      <c r="D212" s="80" t="s">
        <v>3896</v>
      </c>
      <c r="E212" s="80" t="b">
        <v>0</v>
      </c>
      <c r="F212" s="80" t="b">
        <v>0</v>
      </c>
      <c r="G212" s="80" t="b">
        <v>0</v>
      </c>
    </row>
    <row r="213" spans="1:7" ht="15">
      <c r="A213" s="81" t="s">
        <v>3450</v>
      </c>
      <c r="B213" s="80">
        <v>4</v>
      </c>
      <c r="C213" s="105">
        <v>0.0018480163337111716</v>
      </c>
      <c r="D213" s="80" t="s">
        <v>3896</v>
      </c>
      <c r="E213" s="80" t="b">
        <v>0</v>
      </c>
      <c r="F213" s="80" t="b">
        <v>0</v>
      </c>
      <c r="G213" s="80" t="b">
        <v>0</v>
      </c>
    </row>
    <row r="214" spans="1:7" ht="15">
      <c r="A214" s="81" t="s">
        <v>567</v>
      </c>
      <c r="B214" s="80">
        <v>4</v>
      </c>
      <c r="C214" s="105">
        <v>0.001598457788083001</v>
      </c>
      <c r="D214" s="80" t="s">
        <v>3896</v>
      </c>
      <c r="E214" s="80" t="b">
        <v>0</v>
      </c>
      <c r="F214" s="80" t="b">
        <v>0</v>
      </c>
      <c r="G214" s="80" t="b">
        <v>0</v>
      </c>
    </row>
    <row r="215" spans="1:7" ht="15">
      <c r="A215" s="81" t="s">
        <v>3451</v>
      </c>
      <c r="B215" s="80">
        <v>4</v>
      </c>
      <c r="C215" s="105">
        <v>0.001598457788083001</v>
      </c>
      <c r="D215" s="80" t="s">
        <v>3896</v>
      </c>
      <c r="E215" s="80" t="b">
        <v>0</v>
      </c>
      <c r="F215" s="80" t="b">
        <v>0</v>
      </c>
      <c r="G215" s="80" t="b">
        <v>0</v>
      </c>
    </row>
    <row r="216" spans="1:7" ht="15">
      <c r="A216" s="81" t="s">
        <v>3452</v>
      </c>
      <c r="B216" s="80">
        <v>4</v>
      </c>
      <c r="C216" s="105">
        <v>0.001598457788083001</v>
      </c>
      <c r="D216" s="80" t="s">
        <v>3896</v>
      </c>
      <c r="E216" s="80" t="b">
        <v>0</v>
      </c>
      <c r="F216" s="80" t="b">
        <v>0</v>
      </c>
      <c r="G216" s="80" t="b">
        <v>0</v>
      </c>
    </row>
    <row r="217" spans="1:7" ht="15">
      <c r="A217" s="81" t="s">
        <v>3453</v>
      </c>
      <c r="B217" s="80">
        <v>4</v>
      </c>
      <c r="C217" s="105">
        <v>0.001598457788083001</v>
      </c>
      <c r="D217" s="80" t="s">
        <v>3896</v>
      </c>
      <c r="E217" s="80" t="b">
        <v>0</v>
      </c>
      <c r="F217" s="80" t="b">
        <v>0</v>
      </c>
      <c r="G217" s="80" t="b">
        <v>0</v>
      </c>
    </row>
    <row r="218" spans="1:7" ht="15">
      <c r="A218" s="81" t="s">
        <v>3454</v>
      </c>
      <c r="B218" s="80">
        <v>4</v>
      </c>
      <c r="C218" s="105">
        <v>0.001598457788083001</v>
      </c>
      <c r="D218" s="80" t="s">
        <v>3896</v>
      </c>
      <c r="E218" s="80" t="b">
        <v>0</v>
      </c>
      <c r="F218" s="80" t="b">
        <v>0</v>
      </c>
      <c r="G218" s="80" t="b">
        <v>0</v>
      </c>
    </row>
    <row r="219" spans="1:7" ht="15">
      <c r="A219" s="81" t="s">
        <v>546</v>
      </c>
      <c r="B219" s="80">
        <v>4</v>
      </c>
      <c r="C219" s="105">
        <v>0.001598457788083001</v>
      </c>
      <c r="D219" s="80" t="s">
        <v>3896</v>
      </c>
      <c r="E219" s="80" t="b">
        <v>0</v>
      </c>
      <c r="F219" s="80" t="b">
        <v>0</v>
      </c>
      <c r="G219" s="80" t="b">
        <v>0</v>
      </c>
    </row>
    <row r="220" spans="1:7" ht="15">
      <c r="A220" s="81" t="s">
        <v>3455</v>
      </c>
      <c r="B220" s="80">
        <v>4</v>
      </c>
      <c r="C220" s="105">
        <v>0.001598457788083001</v>
      </c>
      <c r="D220" s="80" t="s">
        <v>3896</v>
      </c>
      <c r="E220" s="80" t="b">
        <v>0</v>
      </c>
      <c r="F220" s="80" t="b">
        <v>0</v>
      </c>
      <c r="G220" s="80" t="b">
        <v>0</v>
      </c>
    </row>
    <row r="221" spans="1:7" ht="15">
      <c r="A221" s="81" t="s">
        <v>3456</v>
      </c>
      <c r="B221" s="80">
        <v>4</v>
      </c>
      <c r="C221" s="105">
        <v>0.001598457788083001</v>
      </c>
      <c r="D221" s="80" t="s">
        <v>3896</v>
      </c>
      <c r="E221" s="80" t="b">
        <v>0</v>
      </c>
      <c r="F221" s="80" t="b">
        <v>0</v>
      </c>
      <c r="G221" s="80" t="b">
        <v>0</v>
      </c>
    </row>
    <row r="222" spans="1:7" ht="15">
      <c r="A222" s="81" t="s">
        <v>3457</v>
      </c>
      <c r="B222" s="80">
        <v>4</v>
      </c>
      <c r="C222" s="105">
        <v>0.001598457788083001</v>
      </c>
      <c r="D222" s="80" t="s">
        <v>3896</v>
      </c>
      <c r="E222" s="80" t="b">
        <v>0</v>
      </c>
      <c r="F222" s="80" t="b">
        <v>0</v>
      </c>
      <c r="G222" s="80" t="b">
        <v>0</v>
      </c>
    </row>
    <row r="223" spans="1:7" ht="15">
      <c r="A223" s="81" t="s">
        <v>3458</v>
      </c>
      <c r="B223" s="80">
        <v>4</v>
      </c>
      <c r="C223" s="105">
        <v>0.001598457788083001</v>
      </c>
      <c r="D223" s="80" t="s">
        <v>3896</v>
      </c>
      <c r="E223" s="80" t="b">
        <v>0</v>
      </c>
      <c r="F223" s="80" t="b">
        <v>0</v>
      </c>
      <c r="G223" s="80" t="b">
        <v>0</v>
      </c>
    </row>
    <row r="224" spans="1:7" ht="15">
      <c r="A224" s="81" t="s">
        <v>3459</v>
      </c>
      <c r="B224" s="80">
        <v>4</v>
      </c>
      <c r="C224" s="105">
        <v>0.001598457788083001</v>
      </c>
      <c r="D224" s="80" t="s">
        <v>3896</v>
      </c>
      <c r="E224" s="80" t="b">
        <v>0</v>
      </c>
      <c r="F224" s="80" t="b">
        <v>0</v>
      </c>
      <c r="G224" s="80" t="b">
        <v>0</v>
      </c>
    </row>
    <row r="225" spans="1:7" ht="15">
      <c r="A225" s="81" t="s">
        <v>3460</v>
      </c>
      <c r="B225" s="80">
        <v>4</v>
      </c>
      <c r="C225" s="105">
        <v>0.001598457788083001</v>
      </c>
      <c r="D225" s="80" t="s">
        <v>3896</v>
      </c>
      <c r="E225" s="80" t="b">
        <v>0</v>
      </c>
      <c r="F225" s="80" t="b">
        <v>0</v>
      </c>
      <c r="G225" s="80" t="b">
        <v>0</v>
      </c>
    </row>
    <row r="226" spans="1:7" ht="15">
      <c r="A226" s="81" t="s">
        <v>3461</v>
      </c>
      <c r="B226" s="80">
        <v>4</v>
      </c>
      <c r="C226" s="105">
        <v>0.001598457788083001</v>
      </c>
      <c r="D226" s="80" t="s">
        <v>3896</v>
      </c>
      <c r="E226" s="80" t="b">
        <v>0</v>
      </c>
      <c r="F226" s="80" t="b">
        <v>0</v>
      </c>
      <c r="G226" s="80" t="b">
        <v>0</v>
      </c>
    </row>
    <row r="227" spans="1:7" ht="15">
      <c r="A227" s="81" t="s">
        <v>3462</v>
      </c>
      <c r="B227" s="80">
        <v>4</v>
      </c>
      <c r="C227" s="105">
        <v>0.001598457788083001</v>
      </c>
      <c r="D227" s="80" t="s">
        <v>3896</v>
      </c>
      <c r="E227" s="80" t="b">
        <v>0</v>
      </c>
      <c r="F227" s="80" t="b">
        <v>0</v>
      </c>
      <c r="G227" s="80" t="b">
        <v>0</v>
      </c>
    </row>
    <row r="228" spans="1:7" ht="15">
      <c r="A228" s="81" t="s">
        <v>3463</v>
      </c>
      <c r="B228" s="80">
        <v>4</v>
      </c>
      <c r="C228" s="105">
        <v>0.0018480163337111716</v>
      </c>
      <c r="D228" s="80" t="s">
        <v>3896</v>
      </c>
      <c r="E228" s="80" t="b">
        <v>0</v>
      </c>
      <c r="F228" s="80" t="b">
        <v>0</v>
      </c>
      <c r="G228" s="80" t="b">
        <v>0</v>
      </c>
    </row>
    <row r="229" spans="1:7" ht="15">
      <c r="A229" s="81" t="s">
        <v>3464</v>
      </c>
      <c r="B229" s="80">
        <v>4</v>
      </c>
      <c r="C229" s="105">
        <v>0.001598457788083001</v>
      </c>
      <c r="D229" s="80" t="s">
        <v>3896</v>
      </c>
      <c r="E229" s="80" t="b">
        <v>0</v>
      </c>
      <c r="F229" s="80" t="b">
        <v>0</v>
      </c>
      <c r="G229" s="80" t="b">
        <v>0</v>
      </c>
    </row>
    <row r="230" spans="1:7" ht="15">
      <c r="A230" s="81" t="s">
        <v>3465</v>
      </c>
      <c r="B230" s="80">
        <v>4</v>
      </c>
      <c r="C230" s="105">
        <v>0.001598457788083001</v>
      </c>
      <c r="D230" s="80" t="s">
        <v>3896</v>
      </c>
      <c r="E230" s="80" t="b">
        <v>0</v>
      </c>
      <c r="F230" s="80" t="b">
        <v>0</v>
      </c>
      <c r="G230" s="80" t="b">
        <v>0</v>
      </c>
    </row>
    <row r="231" spans="1:7" ht="15">
      <c r="A231" s="81" t="s">
        <v>3466</v>
      </c>
      <c r="B231" s="80">
        <v>4</v>
      </c>
      <c r="C231" s="105">
        <v>0.001598457788083001</v>
      </c>
      <c r="D231" s="80" t="s">
        <v>3896</v>
      </c>
      <c r="E231" s="80" t="b">
        <v>0</v>
      </c>
      <c r="F231" s="80" t="b">
        <v>0</v>
      </c>
      <c r="G231" s="80" t="b">
        <v>0</v>
      </c>
    </row>
    <row r="232" spans="1:7" ht="15">
      <c r="A232" s="81" t="s">
        <v>3467</v>
      </c>
      <c r="B232" s="80">
        <v>4</v>
      </c>
      <c r="C232" s="105">
        <v>0.001598457788083001</v>
      </c>
      <c r="D232" s="80" t="s">
        <v>3896</v>
      </c>
      <c r="E232" s="80" t="b">
        <v>0</v>
      </c>
      <c r="F232" s="80" t="b">
        <v>0</v>
      </c>
      <c r="G232" s="80" t="b">
        <v>0</v>
      </c>
    </row>
    <row r="233" spans="1:7" ht="15">
      <c r="A233" s="81" t="s">
        <v>3468</v>
      </c>
      <c r="B233" s="80">
        <v>4</v>
      </c>
      <c r="C233" s="105">
        <v>0.001598457788083001</v>
      </c>
      <c r="D233" s="80" t="s">
        <v>3896</v>
      </c>
      <c r="E233" s="80" t="b">
        <v>0</v>
      </c>
      <c r="F233" s="80" t="b">
        <v>0</v>
      </c>
      <c r="G233" s="80" t="b">
        <v>0</v>
      </c>
    </row>
    <row r="234" spans="1:7" ht="15">
      <c r="A234" s="81" t="s">
        <v>3469</v>
      </c>
      <c r="B234" s="80">
        <v>4</v>
      </c>
      <c r="C234" s="105">
        <v>0.001598457788083001</v>
      </c>
      <c r="D234" s="80" t="s">
        <v>3896</v>
      </c>
      <c r="E234" s="80" t="b">
        <v>0</v>
      </c>
      <c r="F234" s="80" t="b">
        <v>0</v>
      </c>
      <c r="G234" s="80" t="b">
        <v>0</v>
      </c>
    </row>
    <row r="235" spans="1:7" ht="15">
      <c r="A235" s="81" t="s">
        <v>3470</v>
      </c>
      <c r="B235" s="80">
        <v>4</v>
      </c>
      <c r="C235" s="105">
        <v>0.001598457788083001</v>
      </c>
      <c r="D235" s="80" t="s">
        <v>3896</v>
      </c>
      <c r="E235" s="80" t="b">
        <v>0</v>
      </c>
      <c r="F235" s="80" t="b">
        <v>0</v>
      </c>
      <c r="G235" s="80" t="b">
        <v>0</v>
      </c>
    </row>
    <row r="236" spans="1:7" ht="15">
      <c r="A236" s="81" t="s">
        <v>3471</v>
      </c>
      <c r="B236" s="80">
        <v>4</v>
      </c>
      <c r="C236" s="105">
        <v>0.001598457788083001</v>
      </c>
      <c r="D236" s="80" t="s">
        <v>3896</v>
      </c>
      <c r="E236" s="80" t="b">
        <v>0</v>
      </c>
      <c r="F236" s="80" t="b">
        <v>0</v>
      </c>
      <c r="G236" s="80" t="b">
        <v>0</v>
      </c>
    </row>
    <row r="237" spans="1:7" ht="15">
      <c r="A237" s="81" t="s">
        <v>494</v>
      </c>
      <c r="B237" s="80">
        <v>4</v>
      </c>
      <c r="C237" s="105">
        <v>0.001598457788083001</v>
      </c>
      <c r="D237" s="80" t="s">
        <v>3896</v>
      </c>
      <c r="E237" s="80" t="b">
        <v>0</v>
      </c>
      <c r="F237" s="80" t="b">
        <v>0</v>
      </c>
      <c r="G237" s="80" t="b">
        <v>0</v>
      </c>
    </row>
    <row r="238" spans="1:7" ht="15">
      <c r="A238" s="81" t="s">
        <v>533</v>
      </c>
      <c r="B238" s="80">
        <v>4</v>
      </c>
      <c r="C238" s="105">
        <v>0.001598457788083001</v>
      </c>
      <c r="D238" s="80" t="s">
        <v>3896</v>
      </c>
      <c r="E238" s="80" t="b">
        <v>0</v>
      </c>
      <c r="F238" s="80" t="b">
        <v>0</v>
      </c>
      <c r="G238" s="80" t="b">
        <v>0</v>
      </c>
    </row>
    <row r="239" spans="1:7" ht="15">
      <c r="A239" s="81" t="s">
        <v>458</v>
      </c>
      <c r="B239" s="80">
        <v>4</v>
      </c>
      <c r="C239" s="105">
        <v>0.001598457788083001</v>
      </c>
      <c r="D239" s="80" t="s">
        <v>3896</v>
      </c>
      <c r="E239" s="80" t="b">
        <v>0</v>
      </c>
      <c r="F239" s="80" t="b">
        <v>0</v>
      </c>
      <c r="G239" s="80" t="b">
        <v>0</v>
      </c>
    </row>
    <row r="240" spans="1:7" ht="15">
      <c r="A240" s="81" t="s">
        <v>496</v>
      </c>
      <c r="B240" s="80">
        <v>4</v>
      </c>
      <c r="C240" s="105">
        <v>0.001598457788083001</v>
      </c>
      <c r="D240" s="80" t="s">
        <v>3896</v>
      </c>
      <c r="E240" s="80" t="b">
        <v>0</v>
      </c>
      <c r="F240" s="80" t="b">
        <v>0</v>
      </c>
      <c r="G240" s="80" t="b">
        <v>0</v>
      </c>
    </row>
    <row r="241" spans="1:7" ht="15">
      <c r="A241" s="81" t="s">
        <v>3472</v>
      </c>
      <c r="B241" s="80">
        <v>4</v>
      </c>
      <c r="C241" s="105">
        <v>0.001702033942784182</v>
      </c>
      <c r="D241" s="80" t="s">
        <v>3896</v>
      </c>
      <c r="E241" s="80" t="b">
        <v>0</v>
      </c>
      <c r="F241" s="80" t="b">
        <v>0</v>
      </c>
      <c r="G241" s="80" t="b">
        <v>0</v>
      </c>
    </row>
    <row r="242" spans="1:7" ht="15">
      <c r="A242" s="81" t="s">
        <v>3473</v>
      </c>
      <c r="B242" s="80">
        <v>4</v>
      </c>
      <c r="C242" s="105">
        <v>0.001598457788083001</v>
      </c>
      <c r="D242" s="80" t="s">
        <v>3896</v>
      </c>
      <c r="E242" s="80" t="b">
        <v>0</v>
      </c>
      <c r="F242" s="80" t="b">
        <v>0</v>
      </c>
      <c r="G242" s="80" t="b">
        <v>0</v>
      </c>
    </row>
    <row r="243" spans="1:7" ht="15">
      <c r="A243" s="81" t="s">
        <v>3474</v>
      </c>
      <c r="B243" s="80">
        <v>4</v>
      </c>
      <c r="C243" s="105">
        <v>0.001598457788083001</v>
      </c>
      <c r="D243" s="80" t="s">
        <v>3896</v>
      </c>
      <c r="E243" s="80" t="b">
        <v>0</v>
      </c>
      <c r="F243" s="80" t="b">
        <v>0</v>
      </c>
      <c r="G243" s="80" t="b">
        <v>0</v>
      </c>
    </row>
    <row r="244" spans="1:7" ht="15">
      <c r="A244" s="81" t="s">
        <v>3475</v>
      </c>
      <c r="B244" s="80">
        <v>4</v>
      </c>
      <c r="C244" s="105">
        <v>0.001598457788083001</v>
      </c>
      <c r="D244" s="80" t="s">
        <v>3896</v>
      </c>
      <c r="E244" s="80" t="b">
        <v>0</v>
      </c>
      <c r="F244" s="80" t="b">
        <v>0</v>
      </c>
      <c r="G244" s="80" t="b">
        <v>0</v>
      </c>
    </row>
    <row r="245" spans="1:7" ht="15">
      <c r="A245" s="81" t="s">
        <v>378</v>
      </c>
      <c r="B245" s="80">
        <v>4</v>
      </c>
      <c r="C245" s="105">
        <v>0.001598457788083001</v>
      </c>
      <c r="D245" s="80" t="s">
        <v>3896</v>
      </c>
      <c r="E245" s="80" t="b">
        <v>0</v>
      </c>
      <c r="F245" s="80" t="b">
        <v>0</v>
      </c>
      <c r="G245" s="80" t="b">
        <v>0</v>
      </c>
    </row>
    <row r="246" spans="1:7" ht="15">
      <c r="A246" s="81" t="s">
        <v>3476</v>
      </c>
      <c r="B246" s="80">
        <v>4</v>
      </c>
      <c r="C246" s="105">
        <v>0.001598457788083001</v>
      </c>
      <c r="D246" s="80" t="s">
        <v>3896</v>
      </c>
      <c r="E246" s="80" t="b">
        <v>0</v>
      </c>
      <c r="F246" s="80" t="b">
        <v>0</v>
      </c>
      <c r="G246" s="80" t="b">
        <v>0</v>
      </c>
    </row>
    <row r="247" spans="1:7" ht="15">
      <c r="A247" s="81" t="s">
        <v>526</v>
      </c>
      <c r="B247" s="80">
        <v>4</v>
      </c>
      <c r="C247" s="105">
        <v>0.001598457788083001</v>
      </c>
      <c r="D247" s="80" t="s">
        <v>3896</v>
      </c>
      <c r="E247" s="80" t="b">
        <v>0</v>
      </c>
      <c r="F247" s="80" t="b">
        <v>0</v>
      </c>
      <c r="G247" s="80" t="b">
        <v>0</v>
      </c>
    </row>
    <row r="248" spans="1:7" ht="15">
      <c r="A248" s="81" t="s">
        <v>3477</v>
      </c>
      <c r="B248" s="80">
        <v>4</v>
      </c>
      <c r="C248" s="105">
        <v>0.001598457788083001</v>
      </c>
      <c r="D248" s="80" t="s">
        <v>3896</v>
      </c>
      <c r="E248" s="80" t="b">
        <v>0</v>
      </c>
      <c r="F248" s="80" t="b">
        <v>0</v>
      </c>
      <c r="G248" s="80" t="b">
        <v>0</v>
      </c>
    </row>
    <row r="249" spans="1:7" ht="15">
      <c r="A249" s="81" t="s">
        <v>3478</v>
      </c>
      <c r="B249" s="80">
        <v>4</v>
      </c>
      <c r="C249" s="105">
        <v>0.001702033942784182</v>
      </c>
      <c r="D249" s="80" t="s">
        <v>3896</v>
      </c>
      <c r="E249" s="80" t="b">
        <v>0</v>
      </c>
      <c r="F249" s="80" t="b">
        <v>0</v>
      </c>
      <c r="G249" s="80" t="b">
        <v>0</v>
      </c>
    </row>
    <row r="250" spans="1:7" ht="15">
      <c r="A250" s="81" t="s">
        <v>3479</v>
      </c>
      <c r="B250" s="80">
        <v>4</v>
      </c>
      <c r="C250" s="105">
        <v>0.001598457788083001</v>
      </c>
      <c r="D250" s="80" t="s">
        <v>3896</v>
      </c>
      <c r="E250" s="80" t="b">
        <v>0</v>
      </c>
      <c r="F250" s="80" t="b">
        <v>0</v>
      </c>
      <c r="G250" s="80" t="b">
        <v>0</v>
      </c>
    </row>
    <row r="251" spans="1:7" ht="15">
      <c r="A251" s="81" t="s">
        <v>3480</v>
      </c>
      <c r="B251" s="80">
        <v>4</v>
      </c>
      <c r="C251" s="105">
        <v>0.001598457788083001</v>
      </c>
      <c r="D251" s="80" t="s">
        <v>3896</v>
      </c>
      <c r="E251" s="80" t="b">
        <v>0</v>
      </c>
      <c r="F251" s="80" t="b">
        <v>0</v>
      </c>
      <c r="G251" s="80" t="b">
        <v>0</v>
      </c>
    </row>
    <row r="252" spans="1:7" ht="15">
      <c r="A252" s="81" t="s">
        <v>3481</v>
      </c>
      <c r="B252" s="80">
        <v>4</v>
      </c>
      <c r="C252" s="105">
        <v>0.001598457788083001</v>
      </c>
      <c r="D252" s="80" t="s">
        <v>3896</v>
      </c>
      <c r="E252" s="80" t="b">
        <v>0</v>
      </c>
      <c r="F252" s="80" t="b">
        <v>0</v>
      </c>
      <c r="G252" s="80" t="b">
        <v>0</v>
      </c>
    </row>
    <row r="253" spans="1:7" ht="15">
      <c r="A253" s="81" t="s">
        <v>3482</v>
      </c>
      <c r="B253" s="80">
        <v>4</v>
      </c>
      <c r="C253" s="105">
        <v>0.001598457788083001</v>
      </c>
      <c r="D253" s="80" t="s">
        <v>3896</v>
      </c>
      <c r="E253" s="80" t="b">
        <v>0</v>
      </c>
      <c r="F253" s="80" t="b">
        <v>0</v>
      </c>
      <c r="G253" s="80" t="b">
        <v>0</v>
      </c>
    </row>
    <row r="254" spans="1:7" ht="15">
      <c r="A254" s="81" t="s">
        <v>3483</v>
      </c>
      <c r="B254" s="80">
        <v>4</v>
      </c>
      <c r="C254" s="105">
        <v>0.001598457788083001</v>
      </c>
      <c r="D254" s="80" t="s">
        <v>3896</v>
      </c>
      <c r="E254" s="80" t="b">
        <v>1</v>
      </c>
      <c r="F254" s="80" t="b">
        <v>0</v>
      </c>
      <c r="G254" s="80" t="b">
        <v>0</v>
      </c>
    </row>
    <row r="255" spans="1:7" ht="15">
      <c r="A255" s="81" t="s">
        <v>3484</v>
      </c>
      <c r="B255" s="80">
        <v>4</v>
      </c>
      <c r="C255" s="105">
        <v>0.001598457788083001</v>
      </c>
      <c r="D255" s="80" t="s">
        <v>3896</v>
      </c>
      <c r="E255" s="80" t="b">
        <v>0</v>
      </c>
      <c r="F255" s="80" t="b">
        <v>0</v>
      </c>
      <c r="G255" s="80" t="b">
        <v>0</v>
      </c>
    </row>
    <row r="256" spans="1:7" ht="15">
      <c r="A256" s="81" t="s">
        <v>3485</v>
      </c>
      <c r="B256" s="80">
        <v>4</v>
      </c>
      <c r="C256" s="105">
        <v>0.001598457788083001</v>
      </c>
      <c r="D256" s="80" t="s">
        <v>3896</v>
      </c>
      <c r="E256" s="80" t="b">
        <v>0</v>
      </c>
      <c r="F256" s="80" t="b">
        <v>0</v>
      </c>
      <c r="G256" s="80" t="b">
        <v>0</v>
      </c>
    </row>
    <row r="257" spans="1:7" ht="15">
      <c r="A257" s="81" t="s">
        <v>3486</v>
      </c>
      <c r="B257" s="80">
        <v>4</v>
      </c>
      <c r="C257" s="105">
        <v>0.001598457788083001</v>
      </c>
      <c r="D257" s="80" t="s">
        <v>3896</v>
      </c>
      <c r="E257" s="80" t="b">
        <v>0</v>
      </c>
      <c r="F257" s="80" t="b">
        <v>0</v>
      </c>
      <c r="G257" s="80" t="b">
        <v>0</v>
      </c>
    </row>
    <row r="258" spans="1:7" ht="15">
      <c r="A258" s="81" t="s">
        <v>3487</v>
      </c>
      <c r="B258" s="80">
        <v>4</v>
      </c>
      <c r="C258" s="105">
        <v>0.001598457788083001</v>
      </c>
      <c r="D258" s="80" t="s">
        <v>3896</v>
      </c>
      <c r="E258" s="80" t="b">
        <v>0</v>
      </c>
      <c r="F258" s="80" t="b">
        <v>0</v>
      </c>
      <c r="G258" s="80" t="b">
        <v>0</v>
      </c>
    </row>
    <row r="259" spans="1:7" ht="15">
      <c r="A259" s="81" t="s">
        <v>3488</v>
      </c>
      <c r="B259" s="80">
        <v>4</v>
      </c>
      <c r="C259" s="105">
        <v>0.001598457788083001</v>
      </c>
      <c r="D259" s="80" t="s">
        <v>3896</v>
      </c>
      <c r="E259" s="80" t="b">
        <v>0</v>
      </c>
      <c r="F259" s="80" t="b">
        <v>0</v>
      </c>
      <c r="G259" s="80" t="b">
        <v>0</v>
      </c>
    </row>
    <row r="260" spans="1:7" ht="15">
      <c r="A260" s="81" t="s">
        <v>3489</v>
      </c>
      <c r="B260" s="80">
        <v>4</v>
      </c>
      <c r="C260" s="105">
        <v>0.001598457788083001</v>
      </c>
      <c r="D260" s="80" t="s">
        <v>3896</v>
      </c>
      <c r="E260" s="80" t="b">
        <v>0</v>
      </c>
      <c r="F260" s="80" t="b">
        <v>1</v>
      </c>
      <c r="G260" s="80" t="b">
        <v>0</v>
      </c>
    </row>
    <row r="261" spans="1:7" ht="15">
      <c r="A261" s="81" t="s">
        <v>3490</v>
      </c>
      <c r="B261" s="80">
        <v>4</v>
      </c>
      <c r="C261" s="105">
        <v>0.001598457788083001</v>
      </c>
      <c r="D261" s="80" t="s">
        <v>3896</v>
      </c>
      <c r="E261" s="80" t="b">
        <v>0</v>
      </c>
      <c r="F261" s="80" t="b">
        <v>0</v>
      </c>
      <c r="G261" s="80" t="b">
        <v>0</v>
      </c>
    </row>
    <row r="262" spans="1:7" ht="15">
      <c r="A262" s="81" t="s">
        <v>3491</v>
      </c>
      <c r="B262" s="80">
        <v>4</v>
      </c>
      <c r="C262" s="105">
        <v>0.001598457788083001</v>
      </c>
      <c r="D262" s="80" t="s">
        <v>3896</v>
      </c>
      <c r="E262" s="80" t="b">
        <v>0</v>
      </c>
      <c r="F262" s="80" t="b">
        <v>0</v>
      </c>
      <c r="G262" s="80" t="b">
        <v>0</v>
      </c>
    </row>
    <row r="263" spans="1:7" ht="15">
      <c r="A263" s="81" t="s">
        <v>3492</v>
      </c>
      <c r="B263" s="80">
        <v>4</v>
      </c>
      <c r="C263" s="105">
        <v>0.001598457788083001</v>
      </c>
      <c r="D263" s="80" t="s">
        <v>3896</v>
      </c>
      <c r="E263" s="80" t="b">
        <v>0</v>
      </c>
      <c r="F263" s="80" t="b">
        <v>0</v>
      </c>
      <c r="G263" s="80" t="b">
        <v>0</v>
      </c>
    </row>
    <row r="264" spans="1:7" ht="15">
      <c r="A264" s="81" t="s">
        <v>3493</v>
      </c>
      <c r="B264" s="80">
        <v>4</v>
      </c>
      <c r="C264" s="105">
        <v>0.001598457788083001</v>
      </c>
      <c r="D264" s="80" t="s">
        <v>3896</v>
      </c>
      <c r="E264" s="80" t="b">
        <v>0</v>
      </c>
      <c r="F264" s="80" t="b">
        <v>0</v>
      </c>
      <c r="G264" s="80" t="b">
        <v>0</v>
      </c>
    </row>
    <row r="265" spans="1:7" ht="15">
      <c r="A265" s="81" t="s">
        <v>3494</v>
      </c>
      <c r="B265" s="80">
        <v>4</v>
      </c>
      <c r="C265" s="105">
        <v>0.001598457788083001</v>
      </c>
      <c r="D265" s="80" t="s">
        <v>3896</v>
      </c>
      <c r="E265" s="80" t="b">
        <v>0</v>
      </c>
      <c r="F265" s="80" t="b">
        <v>0</v>
      </c>
      <c r="G265" s="80" t="b">
        <v>0</v>
      </c>
    </row>
    <row r="266" spans="1:7" ht="15">
      <c r="A266" s="81" t="s">
        <v>3495</v>
      </c>
      <c r="B266" s="80">
        <v>4</v>
      </c>
      <c r="C266" s="105">
        <v>0.0018480163337111716</v>
      </c>
      <c r="D266" s="80" t="s">
        <v>3896</v>
      </c>
      <c r="E266" s="80" t="b">
        <v>0</v>
      </c>
      <c r="F266" s="80" t="b">
        <v>0</v>
      </c>
      <c r="G266" s="80" t="b">
        <v>0</v>
      </c>
    </row>
    <row r="267" spans="1:7" ht="15">
      <c r="A267" s="81" t="s">
        <v>3496</v>
      </c>
      <c r="B267" s="80">
        <v>4</v>
      </c>
      <c r="C267" s="105">
        <v>0.001598457788083001</v>
      </c>
      <c r="D267" s="80" t="s">
        <v>3896</v>
      </c>
      <c r="E267" s="80" t="b">
        <v>0</v>
      </c>
      <c r="F267" s="80" t="b">
        <v>0</v>
      </c>
      <c r="G267" s="80" t="b">
        <v>0</v>
      </c>
    </row>
    <row r="268" spans="1:7" ht="15">
      <c r="A268" s="81" t="s">
        <v>3497</v>
      </c>
      <c r="B268" s="80">
        <v>4</v>
      </c>
      <c r="C268" s="105">
        <v>0.001598457788083001</v>
      </c>
      <c r="D268" s="80" t="s">
        <v>3896</v>
      </c>
      <c r="E268" s="80" t="b">
        <v>0</v>
      </c>
      <c r="F268" s="80" t="b">
        <v>0</v>
      </c>
      <c r="G268" s="80" t="b">
        <v>0</v>
      </c>
    </row>
    <row r="269" spans="1:7" ht="15">
      <c r="A269" s="81" t="s">
        <v>3498</v>
      </c>
      <c r="B269" s="80">
        <v>4</v>
      </c>
      <c r="C269" s="105">
        <v>0.001598457788083001</v>
      </c>
      <c r="D269" s="80" t="s">
        <v>3896</v>
      </c>
      <c r="E269" s="80" t="b">
        <v>0</v>
      </c>
      <c r="F269" s="80" t="b">
        <v>0</v>
      </c>
      <c r="G269" s="80" t="b">
        <v>0</v>
      </c>
    </row>
    <row r="270" spans="1:7" ht="15">
      <c r="A270" s="81" t="s">
        <v>3499</v>
      </c>
      <c r="B270" s="80">
        <v>4</v>
      </c>
      <c r="C270" s="105">
        <v>0.001598457788083001</v>
      </c>
      <c r="D270" s="80" t="s">
        <v>3896</v>
      </c>
      <c r="E270" s="80" t="b">
        <v>0</v>
      </c>
      <c r="F270" s="80" t="b">
        <v>0</v>
      </c>
      <c r="G270" s="80" t="b">
        <v>0</v>
      </c>
    </row>
    <row r="271" spans="1:7" ht="15">
      <c r="A271" s="81" t="s">
        <v>3500</v>
      </c>
      <c r="B271" s="80">
        <v>4</v>
      </c>
      <c r="C271" s="105">
        <v>0.001598457788083001</v>
      </c>
      <c r="D271" s="80" t="s">
        <v>3896</v>
      </c>
      <c r="E271" s="80" t="b">
        <v>0</v>
      </c>
      <c r="F271" s="80" t="b">
        <v>0</v>
      </c>
      <c r="G271" s="80" t="b">
        <v>0</v>
      </c>
    </row>
    <row r="272" spans="1:7" ht="15">
      <c r="A272" s="81" t="s">
        <v>3501</v>
      </c>
      <c r="B272" s="80">
        <v>4</v>
      </c>
      <c r="C272" s="105">
        <v>0.001598457788083001</v>
      </c>
      <c r="D272" s="80" t="s">
        <v>3896</v>
      </c>
      <c r="E272" s="80" t="b">
        <v>0</v>
      </c>
      <c r="F272" s="80" t="b">
        <v>0</v>
      </c>
      <c r="G272" s="80" t="b">
        <v>0</v>
      </c>
    </row>
    <row r="273" spans="1:7" ht="15">
      <c r="A273" s="81" t="s">
        <v>3502</v>
      </c>
      <c r="B273" s="80">
        <v>4</v>
      </c>
      <c r="C273" s="105">
        <v>0.001598457788083001</v>
      </c>
      <c r="D273" s="80" t="s">
        <v>3896</v>
      </c>
      <c r="E273" s="80" t="b">
        <v>0</v>
      </c>
      <c r="F273" s="80" t="b">
        <v>0</v>
      </c>
      <c r="G273" s="80" t="b">
        <v>0</v>
      </c>
    </row>
    <row r="274" spans="1:7" ht="15">
      <c r="A274" s="81" t="s">
        <v>3503</v>
      </c>
      <c r="B274" s="80">
        <v>4</v>
      </c>
      <c r="C274" s="105">
        <v>0.001598457788083001</v>
      </c>
      <c r="D274" s="80" t="s">
        <v>3896</v>
      </c>
      <c r="E274" s="80" t="b">
        <v>0</v>
      </c>
      <c r="F274" s="80" t="b">
        <v>0</v>
      </c>
      <c r="G274" s="80" t="b">
        <v>0</v>
      </c>
    </row>
    <row r="275" spans="1:7" ht="15">
      <c r="A275" s="81" t="s">
        <v>3504</v>
      </c>
      <c r="B275" s="80">
        <v>4</v>
      </c>
      <c r="C275" s="105">
        <v>0.001598457788083001</v>
      </c>
      <c r="D275" s="80" t="s">
        <v>3896</v>
      </c>
      <c r="E275" s="80" t="b">
        <v>0</v>
      </c>
      <c r="F275" s="80" t="b">
        <v>0</v>
      </c>
      <c r="G275" s="80" t="b">
        <v>0</v>
      </c>
    </row>
    <row r="276" spans="1:7" ht="15">
      <c r="A276" s="81" t="s">
        <v>3505</v>
      </c>
      <c r="B276" s="80">
        <v>4</v>
      </c>
      <c r="C276" s="105">
        <v>0.001598457788083001</v>
      </c>
      <c r="D276" s="80" t="s">
        <v>3896</v>
      </c>
      <c r="E276" s="80" t="b">
        <v>0</v>
      </c>
      <c r="F276" s="80" t="b">
        <v>0</v>
      </c>
      <c r="G276" s="80" t="b">
        <v>0</v>
      </c>
    </row>
    <row r="277" spans="1:7" ht="15">
      <c r="A277" s="81" t="s">
        <v>3506</v>
      </c>
      <c r="B277" s="80">
        <v>4</v>
      </c>
      <c r="C277" s="105">
        <v>0.001598457788083001</v>
      </c>
      <c r="D277" s="80" t="s">
        <v>3896</v>
      </c>
      <c r="E277" s="80" t="b">
        <v>0</v>
      </c>
      <c r="F277" s="80" t="b">
        <v>0</v>
      </c>
      <c r="G277" s="80" t="b">
        <v>0</v>
      </c>
    </row>
    <row r="278" spans="1:7" ht="15">
      <c r="A278" s="81" t="s">
        <v>3507</v>
      </c>
      <c r="B278" s="80">
        <v>4</v>
      </c>
      <c r="C278" s="105">
        <v>0.001598457788083001</v>
      </c>
      <c r="D278" s="80" t="s">
        <v>3896</v>
      </c>
      <c r="E278" s="80" t="b">
        <v>0</v>
      </c>
      <c r="F278" s="80" t="b">
        <v>0</v>
      </c>
      <c r="G278" s="80" t="b">
        <v>0</v>
      </c>
    </row>
    <row r="279" spans="1:7" ht="15">
      <c r="A279" s="81" t="s">
        <v>3508</v>
      </c>
      <c r="B279" s="80">
        <v>4</v>
      </c>
      <c r="C279" s="105">
        <v>0.001598457788083001</v>
      </c>
      <c r="D279" s="80" t="s">
        <v>3896</v>
      </c>
      <c r="E279" s="80" t="b">
        <v>0</v>
      </c>
      <c r="F279" s="80" t="b">
        <v>0</v>
      </c>
      <c r="G279" s="80" t="b">
        <v>0</v>
      </c>
    </row>
    <row r="280" spans="1:7" ht="15">
      <c r="A280" s="81" t="s">
        <v>3509</v>
      </c>
      <c r="B280" s="80">
        <v>4</v>
      </c>
      <c r="C280" s="105">
        <v>0.001598457788083001</v>
      </c>
      <c r="D280" s="80" t="s">
        <v>3896</v>
      </c>
      <c r="E280" s="80" t="b">
        <v>0</v>
      </c>
      <c r="F280" s="80" t="b">
        <v>0</v>
      </c>
      <c r="G280" s="80" t="b">
        <v>0</v>
      </c>
    </row>
    <row r="281" spans="1:7" ht="15">
      <c r="A281" s="81" t="s">
        <v>3510</v>
      </c>
      <c r="B281" s="80">
        <v>4</v>
      </c>
      <c r="C281" s="105">
        <v>0.001598457788083001</v>
      </c>
      <c r="D281" s="80" t="s">
        <v>3896</v>
      </c>
      <c r="E281" s="80" t="b">
        <v>0</v>
      </c>
      <c r="F281" s="80" t="b">
        <v>0</v>
      </c>
      <c r="G281" s="80" t="b">
        <v>0</v>
      </c>
    </row>
    <row r="282" spans="1:7" ht="15">
      <c r="A282" s="81" t="s">
        <v>3511</v>
      </c>
      <c r="B282" s="80">
        <v>4</v>
      </c>
      <c r="C282" s="105">
        <v>0.001598457788083001</v>
      </c>
      <c r="D282" s="80" t="s">
        <v>3896</v>
      </c>
      <c r="E282" s="80" t="b">
        <v>0</v>
      </c>
      <c r="F282" s="80" t="b">
        <v>0</v>
      </c>
      <c r="G282" s="80" t="b">
        <v>0</v>
      </c>
    </row>
    <row r="283" spans="1:7" ht="15">
      <c r="A283" s="81" t="s">
        <v>3512</v>
      </c>
      <c r="B283" s="80">
        <v>4</v>
      </c>
      <c r="C283" s="105">
        <v>0.001598457788083001</v>
      </c>
      <c r="D283" s="80" t="s">
        <v>3896</v>
      </c>
      <c r="E283" s="80" t="b">
        <v>0</v>
      </c>
      <c r="F283" s="80" t="b">
        <v>0</v>
      </c>
      <c r="G283" s="80" t="b">
        <v>0</v>
      </c>
    </row>
    <row r="284" spans="1:7" ht="15">
      <c r="A284" s="81" t="s">
        <v>3513</v>
      </c>
      <c r="B284" s="80">
        <v>4</v>
      </c>
      <c r="C284" s="105">
        <v>0.001598457788083001</v>
      </c>
      <c r="D284" s="80" t="s">
        <v>3896</v>
      </c>
      <c r="E284" s="80" t="b">
        <v>0</v>
      </c>
      <c r="F284" s="80" t="b">
        <v>0</v>
      </c>
      <c r="G284" s="80" t="b">
        <v>0</v>
      </c>
    </row>
    <row r="285" spans="1:7" ht="15">
      <c r="A285" s="81" t="s">
        <v>3514</v>
      </c>
      <c r="B285" s="80">
        <v>4</v>
      </c>
      <c r="C285" s="105">
        <v>0.001598457788083001</v>
      </c>
      <c r="D285" s="80" t="s">
        <v>3896</v>
      </c>
      <c r="E285" s="80" t="b">
        <v>0</v>
      </c>
      <c r="F285" s="80" t="b">
        <v>0</v>
      </c>
      <c r="G285" s="80" t="b">
        <v>0</v>
      </c>
    </row>
    <row r="286" spans="1:7" ht="15">
      <c r="A286" s="81" t="s">
        <v>3515</v>
      </c>
      <c r="B286" s="80">
        <v>4</v>
      </c>
      <c r="C286" s="105">
        <v>0.001598457788083001</v>
      </c>
      <c r="D286" s="80" t="s">
        <v>3896</v>
      </c>
      <c r="E286" s="80" t="b">
        <v>0</v>
      </c>
      <c r="F286" s="80" t="b">
        <v>0</v>
      </c>
      <c r="G286" s="80" t="b">
        <v>0</v>
      </c>
    </row>
    <row r="287" spans="1:7" ht="15">
      <c r="A287" s="81" t="s">
        <v>3516</v>
      </c>
      <c r="B287" s="80">
        <v>4</v>
      </c>
      <c r="C287" s="105">
        <v>0.001598457788083001</v>
      </c>
      <c r="D287" s="80" t="s">
        <v>3896</v>
      </c>
      <c r="E287" s="80" t="b">
        <v>0</v>
      </c>
      <c r="F287" s="80" t="b">
        <v>0</v>
      </c>
      <c r="G287" s="80" t="b">
        <v>0</v>
      </c>
    </row>
    <row r="288" spans="1:7" ht="15">
      <c r="A288" s="81" t="s">
        <v>3517</v>
      </c>
      <c r="B288" s="80">
        <v>4</v>
      </c>
      <c r="C288" s="105">
        <v>0.001598457788083001</v>
      </c>
      <c r="D288" s="80" t="s">
        <v>3896</v>
      </c>
      <c r="E288" s="80" t="b">
        <v>0</v>
      </c>
      <c r="F288" s="80" t="b">
        <v>0</v>
      </c>
      <c r="G288" s="80" t="b">
        <v>0</v>
      </c>
    </row>
    <row r="289" spans="1:7" ht="15">
      <c r="A289" s="81" t="s">
        <v>3518</v>
      </c>
      <c r="B289" s="80">
        <v>4</v>
      </c>
      <c r="C289" s="105">
        <v>0.001598457788083001</v>
      </c>
      <c r="D289" s="80" t="s">
        <v>3896</v>
      </c>
      <c r="E289" s="80" t="b">
        <v>0</v>
      </c>
      <c r="F289" s="80" t="b">
        <v>0</v>
      </c>
      <c r="G289" s="80" t="b">
        <v>0</v>
      </c>
    </row>
    <row r="290" spans="1:7" ht="15">
      <c r="A290" s="81" t="s">
        <v>3519</v>
      </c>
      <c r="B290" s="80">
        <v>4</v>
      </c>
      <c r="C290" s="105">
        <v>0.001598457788083001</v>
      </c>
      <c r="D290" s="80" t="s">
        <v>3896</v>
      </c>
      <c r="E290" s="80" t="b">
        <v>0</v>
      </c>
      <c r="F290" s="80" t="b">
        <v>0</v>
      </c>
      <c r="G290" s="80" t="b">
        <v>0</v>
      </c>
    </row>
    <row r="291" spans="1:7" ht="15">
      <c r="A291" s="81" t="s">
        <v>3520</v>
      </c>
      <c r="B291" s="80">
        <v>4</v>
      </c>
      <c r="C291" s="105">
        <v>0.001598457788083001</v>
      </c>
      <c r="D291" s="80" t="s">
        <v>3896</v>
      </c>
      <c r="E291" s="80" t="b">
        <v>0</v>
      </c>
      <c r="F291" s="80" t="b">
        <v>0</v>
      </c>
      <c r="G291" s="80" t="b">
        <v>0</v>
      </c>
    </row>
    <row r="292" spans="1:7" ht="15">
      <c r="A292" s="81" t="s">
        <v>3521</v>
      </c>
      <c r="B292" s="80">
        <v>4</v>
      </c>
      <c r="C292" s="105">
        <v>0.001598457788083001</v>
      </c>
      <c r="D292" s="80" t="s">
        <v>3896</v>
      </c>
      <c r="E292" s="80" t="b">
        <v>0</v>
      </c>
      <c r="F292" s="80" t="b">
        <v>0</v>
      </c>
      <c r="G292" s="80" t="b">
        <v>0</v>
      </c>
    </row>
    <row r="293" spans="1:7" ht="15">
      <c r="A293" s="81" t="s">
        <v>3522</v>
      </c>
      <c r="B293" s="80">
        <v>4</v>
      </c>
      <c r="C293" s="105">
        <v>0.001598457788083001</v>
      </c>
      <c r="D293" s="80" t="s">
        <v>3896</v>
      </c>
      <c r="E293" s="80" t="b">
        <v>0</v>
      </c>
      <c r="F293" s="80" t="b">
        <v>0</v>
      </c>
      <c r="G293" s="80" t="b">
        <v>0</v>
      </c>
    </row>
    <row r="294" spans="1:7" ht="15">
      <c r="A294" s="81" t="s">
        <v>3523</v>
      </c>
      <c r="B294" s="80">
        <v>4</v>
      </c>
      <c r="C294" s="105">
        <v>0.001598457788083001</v>
      </c>
      <c r="D294" s="80" t="s">
        <v>3896</v>
      </c>
      <c r="E294" s="80" t="b">
        <v>0</v>
      </c>
      <c r="F294" s="80" t="b">
        <v>0</v>
      </c>
      <c r="G294" s="80" t="b">
        <v>0</v>
      </c>
    </row>
    <row r="295" spans="1:7" ht="15">
      <c r="A295" s="81" t="s">
        <v>3524</v>
      </c>
      <c r="B295" s="80">
        <v>4</v>
      </c>
      <c r="C295" s="105">
        <v>0.001598457788083001</v>
      </c>
      <c r="D295" s="80" t="s">
        <v>3896</v>
      </c>
      <c r="E295" s="80" t="b">
        <v>0</v>
      </c>
      <c r="F295" s="80" t="b">
        <v>0</v>
      </c>
      <c r="G295" s="80" t="b">
        <v>0</v>
      </c>
    </row>
    <row r="296" spans="1:7" ht="15">
      <c r="A296" s="81" t="s">
        <v>3525</v>
      </c>
      <c r="B296" s="80">
        <v>4</v>
      </c>
      <c r="C296" s="105">
        <v>0.001598457788083001</v>
      </c>
      <c r="D296" s="80" t="s">
        <v>3896</v>
      </c>
      <c r="E296" s="80" t="b">
        <v>0</v>
      </c>
      <c r="F296" s="80" t="b">
        <v>0</v>
      </c>
      <c r="G296" s="80" t="b">
        <v>0</v>
      </c>
    </row>
    <row r="297" spans="1:7" ht="15">
      <c r="A297" s="81" t="s">
        <v>3526</v>
      </c>
      <c r="B297" s="80">
        <v>4</v>
      </c>
      <c r="C297" s="105">
        <v>0.001598457788083001</v>
      </c>
      <c r="D297" s="80" t="s">
        <v>3896</v>
      </c>
      <c r="E297" s="80" t="b">
        <v>0</v>
      </c>
      <c r="F297" s="80" t="b">
        <v>0</v>
      </c>
      <c r="G297" s="80" t="b">
        <v>0</v>
      </c>
    </row>
    <row r="298" spans="1:7" ht="15">
      <c r="A298" s="81" t="s">
        <v>3527</v>
      </c>
      <c r="B298" s="80">
        <v>4</v>
      </c>
      <c r="C298" s="105">
        <v>0.001598457788083001</v>
      </c>
      <c r="D298" s="80" t="s">
        <v>3896</v>
      </c>
      <c r="E298" s="80" t="b">
        <v>0</v>
      </c>
      <c r="F298" s="80" t="b">
        <v>0</v>
      </c>
      <c r="G298" s="80" t="b">
        <v>0</v>
      </c>
    </row>
    <row r="299" spans="1:7" ht="15">
      <c r="A299" s="81" t="s">
        <v>3528</v>
      </c>
      <c r="B299" s="80">
        <v>4</v>
      </c>
      <c r="C299" s="105">
        <v>0.001598457788083001</v>
      </c>
      <c r="D299" s="80" t="s">
        <v>3896</v>
      </c>
      <c r="E299" s="80" t="b">
        <v>0</v>
      </c>
      <c r="F299" s="80" t="b">
        <v>0</v>
      </c>
      <c r="G299" s="80" t="b">
        <v>0</v>
      </c>
    </row>
    <row r="300" spans="1:7" ht="15">
      <c r="A300" s="81" t="s">
        <v>3529</v>
      </c>
      <c r="B300" s="80">
        <v>4</v>
      </c>
      <c r="C300" s="105">
        <v>0.001598457788083001</v>
      </c>
      <c r="D300" s="80" t="s">
        <v>3896</v>
      </c>
      <c r="E300" s="80" t="b">
        <v>0</v>
      </c>
      <c r="F300" s="80" t="b">
        <v>0</v>
      </c>
      <c r="G300" s="80" t="b">
        <v>0</v>
      </c>
    </row>
    <row r="301" spans="1:7" ht="15">
      <c r="A301" s="81" t="s">
        <v>3530</v>
      </c>
      <c r="B301" s="80">
        <v>4</v>
      </c>
      <c r="C301" s="105">
        <v>0.001598457788083001</v>
      </c>
      <c r="D301" s="80" t="s">
        <v>3896</v>
      </c>
      <c r="E301" s="80" t="b">
        <v>0</v>
      </c>
      <c r="F301" s="80" t="b">
        <v>0</v>
      </c>
      <c r="G301" s="80" t="b">
        <v>0</v>
      </c>
    </row>
    <row r="302" spans="1:7" ht="15">
      <c r="A302" s="81" t="s">
        <v>3531</v>
      </c>
      <c r="B302" s="80">
        <v>4</v>
      </c>
      <c r="C302" s="105">
        <v>0.001598457788083001</v>
      </c>
      <c r="D302" s="80" t="s">
        <v>3896</v>
      </c>
      <c r="E302" s="80" t="b">
        <v>0</v>
      </c>
      <c r="F302" s="80" t="b">
        <v>0</v>
      </c>
      <c r="G302" s="80" t="b">
        <v>0</v>
      </c>
    </row>
    <row r="303" spans="1:7" ht="15">
      <c r="A303" s="81" t="s">
        <v>3532</v>
      </c>
      <c r="B303" s="80">
        <v>4</v>
      </c>
      <c r="C303" s="105">
        <v>0.001598457788083001</v>
      </c>
      <c r="D303" s="80" t="s">
        <v>3896</v>
      </c>
      <c r="E303" s="80" t="b">
        <v>0</v>
      </c>
      <c r="F303" s="80" t="b">
        <v>0</v>
      </c>
      <c r="G303" s="80" t="b">
        <v>0</v>
      </c>
    </row>
    <row r="304" spans="1:7" ht="15">
      <c r="A304" s="81" t="s">
        <v>3533</v>
      </c>
      <c r="B304" s="80">
        <v>4</v>
      </c>
      <c r="C304" s="105">
        <v>0.001598457788083001</v>
      </c>
      <c r="D304" s="80" t="s">
        <v>3896</v>
      </c>
      <c r="E304" s="80" t="b">
        <v>0</v>
      </c>
      <c r="F304" s="80" t="b">
        <v>0</v>
      </c>
      <c r="G304" s="80" t="b">
        <v>0</v>
      </c>
    </row>
    <row r="305" spans="1:7" ht="15">
      <c r="A305" s="81" t="s">
        <v>3534</v>
      </c>
      <c r="B305" s="80">
        <v>4</v>
      </c>
      <c r="C305" s="105">
        <v>0.0018480163337111716</v>
      </c>
      <c r="D305" s="80" t="s">
        <v>3896</v>
      </c>
      <c r="E305" s="80" t="b">
        <v>0</v>
      </c>
      <c r="F305" s="80" t="b">
        <v>0</v>
      </c>
      <c r="G305" s="80" t="b">
        <v>0</v>
      </c>
    </row>
    <row r="306" spans="1:7" ht="15">
      <c r="A306" s="81" t="s">
        <v>3535</v>
      </c>
      <c r="B306" s="80">
        <v>3</v>
      </c>
      <c r="C306" s="105">
        <v>0.0012765254570881364</v>
      </c>
      <c r="D306" s="80" t="s">
        <v>3896</v>
      </c>
      <c r="E306" s="80" t="b">
        <v>0</v>
      </c>
      <c r="F306" s="80" t="b">
        <v>0</v>
      </c>
      <c r="G306" s="80" t="b">
        <v>0</v>
      </c>
    </row>
    <row r="307" spans="1:7" ht="15">
      <c r="A307" s="81" t="s">
        <v>3536</v>
      </c>
      <c r="B307" s="80">
        <v>3</v>
      </c>
      <c r="C307" s="105">
        <v>0.0012765254570881364</v>
      </c>
      <c r="D307" s="80" t="s">
        <v>3896</v>
      </c>
      <c r="E307" s="80" t="b">
        <v>0</v>
      </c>
      <c r="F307" s="80" t="b">
        <v>0</v>
      </c>
      <c r="G307" s="80" t="b">
        <v>0</v>
      </c>
    </row>
    <row r="308" spans="1:7" ht="15">
      <c r="A308" s="81" t="s">
        <v>3537</v>
      </c>
      <c r="B308" s="80">
        <v>3</v>
      </c>
      <c r="C308" s="105">
        <v>0.0013860122502833787</v>
      </c>
      <c r="D308" s="80" t="s">
        <v>3896</v>
      </c>
      <c r="E308" s="80" t="b">
        <v>0</v>
      </c>
      <c r="F308" s="80" t="b">
        <v>0</v>
      </c>
      <c r="G308" s="80" t="b">
        <v>0</v>
      </c>
    </row>
    <row r="309" spans="1:7" ht="15">
      <c r="A309" s="81" t="s">
        <v>3538</v>
      </c>
      <c r="B309" s="80">
        <v>3</v>
      </c>
      <c r="C309" s="105">
        <v>0.0012765254570881364</v>
      </c>
      <c r="D309" s="80" t="s">
        <v>3896</v>
      </c>
      <c r="E309" s="80" t="b">
        <v>0</v>
      </c>
      <c r="F309" s="80" t="b">
        <v>0</v>
      </c>
      <c r="G309" s="80" t="b">
        <v>0</v>
      </c>
    </row>
    <row r="310" spans="1:7" ht="15">
      <c r="A310" s="81" t="s">
        <v>3539</v>
      </c>
      <c r="B310" s="80">
        <v>3</v>
      </c>
      <c r="C310" s="105">
        <v>0.0012765254570881364</v>
      </c>
      <c r="D310" s="80" t="s">
        <v>3896</v>
      </c>
      <c r="E310" s="80" t="b">
        <v>0</v>
      </c>
      <c r="F310" s="80" t="b">
        <v>0</v>
      </c>
      <c r="G310" s="80" t="b">
        <v>0</v>
      </c>
    </row>
    <row r="311" spans="1:7" ht="15">
      <c r="A311" s="81" t="s">
        <v>3540</v>
      </c>
      <c r="B311" s="80">
        <v>3</v>
      </c>
      <c r="C311" s="105">
        <v>0.0012765254570881364</v>
      </c>
      <c r="D311" s="80" t="s">
        <v>3896</v>
      </c>
      <c r="E311" s="80" t="b">
        <v>0</v>
      </c>
      <c r="F311" s="80" t="b">
        <v>0</v>
      </c>
      <c r="G311" s="80" t="b">
        <v>0</v>
      </c>
    </row>
    <row r="312" spans="1:7" ht="15">
      <c r="A312" s="81" t="s">
        <v>3541</v>
      </c>
      <c r="B312" s="80">
        <v>3</v>
      </c>
      <c r="C312" s="105">
        <v>0.0012765254570881364</v>
      </c>
      <c r="D312" s="80" t="s">
        <v>3896</v>
      </c>
      <c r="E312" s="80" t="b">
        <v>0</v>
      </c>
      <c r="F312" s="80" t="b">
        <v>0</v>
      </c>
      <c r="G312" s="80" t="b">
        <v>0</v>
      </c>
    </row>
    <row r="313" spans="1:7" ht="15">
      <c r="A313" s="81" t="s">
        <v>3542</v>
      </c>
      <c r="B313" s="80">
        <v>3</v>
      </c>
      <c r="C313" s="105">
        <v>0.0012765254570881364</v>
      </c>
      <c r="D313" s="80" t="s">
        <v>3896</v>
      </c>
      <c r="E313" s="80" t="b">
        <v>0</v>
      </c>
      <c r="F313" s="80" t="b">
        <v>1</v>
      </c>
      <c r="G313" s="80" t="b">
        <v>0</v>
      </c>
    </row>
    <row r="314" spans="1:7" ht="15">
      <c r="A314" s="81" t="s">
        <v>3543</v>
      </c>
      <c r="B314" s="80">
        <v>3</v>
      </c>
      <c r="C314" s="105">
        <v>0.0012765254570881364</v>
      </c>
      <c r="D314" s="80" t="s">
        <v>3896</v>
      </c>
      <c r="E314" s="80" t="b">
        <v>0</v>
      </c>
      <c r="F314" s="80" t="b">
        <v>1</v>
      </c>
      <c r="G314" s="80" t="b">
        <v>0</v>
      </c>
    </row>
    <row r="315" spans="1:7" ht="15">
      <c r="A315" s="81" t="s">
        <v>3544</v>
      </c>
      <c r="B315" s="80">
        <v>3</v>
      </c>
      <c r="C315" s="105">
        <v>0.0012765254570881364</v>
      </c>
      <c r="D315" s="80" t="s">
        <v>3896</v>
      </c>
      <c r="E315" s="80" t="b">
        <v>0</v>
      </c>
      <c r="F315" s="80" t="b">
        <v>0</v>
      </c>
      <c r="G315" s="80" t="b">
        <v>0</v>
      </c>
    </row>
    <row r="316" spans="1:7" ht="15">
      <c r="A316" s="81" t="s">
        <v>3545</v>
      </c>
      <c r="B316" s="80">
        <v>3</v>
      </c>
      <c r="C316" s="105">
        <v>0.0012765254570881364</v>
      </c>
      <c r="D316" s="80" t="s">
        <v>3896</v>
      </c>
      <c r="E316" s="80" t="b">
        <v>0</v>
      </c>
      <c r="F316" s="80" t="b">
        <v>0</v>
      </c>
      <c r="G316" s="80" t="b">
        <v>0</v>
      </c>
    </row>
    <row r="317" spans="1:7" ht="15">
      <c r="A317" s="81" t="s">
        <v>3546</v>
      </c>
      <c r="B317" s="80">
        <v>3</v>
      </c>
      <c r="C317" s="105">
        <v>0.0012765254570881364</v>
      </c>
      <c r="D317" s="80" t="s">
        <v>3896</v>
      </c>
      <c r="E317" s="80" t="b">
        <v>0</v>
      </c>
      <c r="F317" s="80" t="b">
        <v>0</v>
      </c>
      <c r="G317" s="80" t="b">
        <v>0</v>
      </c>
    </row>
    <row r="318" spans="1:7" ht="15">
      <c r="A318" s="81" t="s">
        <v>3547</v>
      </c>
      <c r="B318" s="80">
        <v>3</v>
      </c>
      <c r="C318" s="105">
        <v>0.0012765254570881364</v>
      </c>
      <c r="D318" s="80" t="s">
        <v>3896</v>
      </c>
      <c r="E318" s="80" t="b">
        <v>0</v>
      </c>
      <c r="F318" s="80" t="b">
        <v>0</v>
      </c>
      <c r="G318" s="80" t="b">
        <v>0</v>
      </c>
    </row>
    <row r="319" spans="1:7" ht="15">
      <c r="A319" s="81" t="s">
        <v>3548</v>
      </c>
      <c r="B319" s="80">
        <v>3</v>
      </c>
      <c r="C319" s="105">
        <v>0.0012765254570881364</v>
      </c>
      <c r="D319" s="80" t="s">
        <v>3896</v>
      </c>
      <c r="E319" s="80" t="b">
        <v>0</v>
      </c>
      <c r="F319" s="80" t="b">
        <v>0</v>
      </c>
      <c r="G319" s="80" t="b">
        <v>0</v>
      </c>
    </row>
    <row r="320" spans="1:7" ht="15">
      <c r="A320" s="81" t="s">
        <v>3549</v>
      </c>
      <c r="B320" s="80">
        <v>3</v>
      </c>
      <c r="C320" s="105">
        <v>0.0012765254570881364</v>
      </c>
      <c r="D320" s="80" t="s">
        <v>3896</v>
      </c>
      <c r="E320" s="80" t="b">
        <v>0</v>
      </c>
      <c r="F320" s="80" t="b">
        <v>0</v>
      </c>
      <c r="G320" s="80" t="b">
        <v>0</v>
      </c>
    </row>
    <row r="321" spans="1:7" ht="15">
      <c r="A321" s="81" t="s">
        <v>3550</v>
      </c>
      <c r="B321" s="80">
        <v>3</v>
      </c>
      <c r="C321" s="105">
        <v>0.0012765254570881364</v>
      </c>
      <c r="D321" s="80" t="s">
        <v>3896</v>
      </c>
      <c r="E321" s="80" t="b">
        <v>0</v>
      </c>
      <c r="F321" s="80" t="b">
        <v>0</v>
      </c>
      <c r="G321" s="80" t="b">
        <v>0</v>
      </c>
    </row>
    <row r="322" spans="1:7" ht="15">
      <c r="A322" s="81" t="s">
        <v>3551</v>
      </c>
      <c r="B322" s="80">
        <v>3</v>
      </c>
      <c r="C322" s="105">
        <v>0.0012765254570881364</v>
      </c>
      <c r="D322" s="80" t="s">
        <v>3896</v>
      </c>
      <c r="E322" s="80" t="b">
        <v>0</v>
      </c>
      <c r="F322" s="80" t="b">
        <v>0</v>
      </c>
      <c r="G322" s="80" t="b">
        <v>0</v>
      </c>
    </row>
    <row r="323" spans="1:7" ht="15">
      <c r="A323" s="81" t="s">
        <v>3552</v>
      </c>
      <c r="B323" s="80">
        <v>3</v>
      </c>
      <c r="C323" s="105">
        <v>0.0012765254570881364</v>
      </c>
      <c r="D323" s="80" t="s">
        <v>3896</v>
      </c>
      <c r="E323" s="80" t="b">
        <v>0</v>
      </c>
      <c r="F323" s="80" t="b">
        <v>0</v>
      </c>
      <c r="G323" s="80" t="b">
        <v>0</v>
      </c>
    </row>
    <row r="324" spans="1:7" ht="15">
      <c r="A324" s="81" t="s">
        <v>559</v>
      </c>
      <c r="B324" s="80">
        <v>3</v>
      </c>
      <c r="C324" s="105">
        <v>0.0012765254570881364</v>
      </c>
      <c r="D324" s="80" t="s">
        <v>3896</v>
      </c>
      <c r="E324" s="80" t="b">
        <v>0</v>
      </c>
      <c r="F324" s="80" t="b">
        <v>0</v>
      </c>
      <c r="G324" s="80" t="b">
        <v>0</v>
      </c>
    </row>
    <row r="325" spans="1:7" ht="15">
      <c r="A325" s="81" t="s">
        <v>3553</v>
      </c>
      <c r="B325" s="80">
        <v>3</v>
      </c>
      <c r="C325" s="105">
        <v>0.0012765254570881364</v>
      </c>
      <c r="D325" s="80" t="s">
        <v>3896</v>
      </c>
      <c r="E325" s="80" t="b">
        <v>0</v>
      </c>
      <c r="F325" s="80" t="b">
        <v>0</v>
      </c>
      <c r="G325" s="80" t="b">
        <v>0</v>
      </c>
    </row>
    <row r="326" spans="1:7" ht="15">
      <c r="A326" s="81" t="s">
        <v>3554</v>
      </c>
      <c r="B326" s="80">
        <v>3</v>
      </c>
      <c r="C326" s="105">
        <v>0.0012765254570881364</v>
      </c>
      <c r="D326" s="80" t="s">
        <v>3896</v>
      </c>
      <c r="E326" s="80" t="b">
        <v>0</v>
      </c>
      <c r="F326" s="80" t="b">
        <v>0</v>
      </c>
      <c r="G326" s="80" t="b">
        <v>0</v>
      </c>
    </row>
    <row r="327" spans="1:7" ht="15">
      <c r="A327" s="81" t="s">
        <v>3555</v>
      </c>
      <c r="B327" s="80">
        <v>3</v>
      </c>
      <c r="C327" s="105">
        <v>0.0012765254570881364</v>
      </c>
      <c r="D327" s="80" t="s">
        <v>3896</v>
      </c>
      <c r="E327" s="80" t="b">
        <v>0</v>
      </c>
      <c r="F327" s="80" t="b">
        <v>0</v>
      </c>
      <c r="G327" s="80" t="b">
        <v>0</v>
      </c>
    </row>
    <row r="328" spans="1:7" ht="15">
      <c r="A328" s="81" t="s">
        <v>556</v>
      </c>
      <c r="B328" s="80">
        <v>3</v>
      </c>
      <c r="C328" s="105">
        <v>0.0012765254570881364</v>
      </c>
      <c r="D328" s="80" t="s">
        <v>3896</v>
      </c>
      <c r="E328" s="80" t="b">
        <v>0</v>
      </c>
      <c r="F328" s="80" t="b">
        <v>0</v>
      </c>
      <c r="G328" s="80" t="b">
        <v>0</v>
      </c>
    </row>
    <row r="329" spans="1:7" ht="15">
      <c r="A329" s="81" t="s">
        <v>3556</v>
      </c>
      <c r="B329" s="80">
        <v>3</v>
      </c>
      <c r="C329" s="105">
        <v>0.0012765254570881364</v>
      </c>
      <c r="D329" s="80" t="s">
        <v>3896</v>
      </c>
      <c r="E329" s="80" t="b">
        <v>0</v>
      </c>
      <c r="F329" s="80" t="b">
        <v>0</v>
      </c>
      <c r="G329" s="80" t="b">
        <v>0</v>
      </c>
    </row>
    <row r="330" spans="1:7" ht="15">
      <c r="A330" s="81" t="s">
        <v>550</v>
      </c>
      <c r="B330" s="80">
        <v>3</v>
      </c>
      <c r="C330" s="105">
        <v>0.0012765254570881364</v>
      </c>
      <c r="D330" s="80" t="s">
        <v>3896</v>
      </c>
      <c r="E330" s="80" t="b">
        <v>0</v>
      </c>
      <c r="F330" s="80" t="b">
        <v>0</v>
      </c>
      <c r="G330" s="80" t="b">
        <v>0</v>
      </c>
    </row>
    <row r="331" spans="1:7" ht="15">
      <c r="A331" s="81" t="s">
        <v>3557</v>
      </c>
      <c r="B331" s="80">
        <v>3</v>
      </c>
      <c r="C331" s="105">
        <v>0.0012765254570881364</v>
      </c>
      <c r="D331" s="80" t="s">
        <v>3896</v>
      </c>
      <c r="E331" s="80" t="b">
        <v>0</v>
      </c>
      <c r="F331" s="80" t="b">
        <v>0</v>
      </c>
      <c r="G331" s="80" t="b">
        <v>0</v>
      </c>
    </row>
    <row r="332" spans="1:7" ht="15">
      <c r="A332" s="81" t="s">
        <v>3558</v>
      </c>
      <c r="B332" s="80">
        <v>3</v>
      </c>
      <c r="C332" s="105">
        <v>0.0012765254570881364</v>
      </c>
      <c r="D332" s="80" t="s">
        <v>3896</v>
      </c>
      <c r="E332" s="80" t="b">
        <v>0</v>
      </c>
      <c r="F332" s="80" t="b">
        <v>0</v>
      </c>
      <c r="G332" s="80" t="b">
        <v>0</v>
      </c>
    </row>
    <row r="333" spans="1:7" ht="15">
      <c r="A333" s="81" t="s">
        <v>3559</v>
      </c>
      <c r="B333" s="80">
        <v>3</v>
      </c>
      <c r="C333" s="105">
        <v>0.0012765254570881364</v>
      </c>
      <c r="D333" s="80" t="s">
        <v>3896</v>
      </c>
      <c r="E333" s="80" t="b">
        <v>0</v>
      </c>
      <c r="F333" s="80" t="b">
        <v>0</v>
      </c>
      <c r="G333" s="80" t="b">
        <v>0</v>
      </c>
    </row>
    <row r="334" spans="1:7" ht="15">
      <c r="A334" s="81" t="s">
        <v>3560</v>
      </c>
      <c r="B334" s="80">
        <v>3</v>
      </c>
      <c r="C334" s="105">
        <v>0.0012765254570881364</v>
      </c>
      <c r="D334" s="80" t="s">
        <v>3896</v>
      </c>
      <c r="E334" s="80" t="b">
        <v>0</v>
      </c>
      <c r="F334" s="80" t="b">
        <v>0</v>
      </c>
      <c r="G334" s="80" t="b">
        <v>0</v>
      </c>
    </row>
    <row r="335" spans="1:7" ht="15">
      <c r="A335" s="81" t="s">
        <v>3561</v>
      </c>
      <c r="B335" s="80">
        <v>3</v>
      </c>
      <c r="C335" s="105">
        <v>0.0012765254570881364</v>
      </c>
      <c r="D335" s="80" t="s">
        <v>3896</v>
      </c>
      <c r="E335" s="80" t="b">
        <v>0</v>
      </c>
      <c r="F335" s="80" t="b">
        <v>0</v>
      </c>
      <c r="G335" s="80" t="b">
        <v>0</v>
      </c>
    </row>
    <row r="336" spans="1:7" ht="15">
      <c r="A336" s="81" t="s">
        <v>3562</v>
      </c>
      <c r="B336" s="80">
        <v>3</v>
      </c>
      <c r="C336" s="105">
        <v>0.0012765254570881364</v>
      </c>
      <c r="D336" s="80" t="s">
        <v>3896</v>
      </c>
      <c r="E336" s="80" t="b">
        <v>0</v>
      </c>
      <c r="F336" s="80" t="b">
        <v>0</v>
      </c>
      <c r="G336" s="80" t="b">
        <v>0</v>
      </c>
    </row>
    <row r="337" spans="1:7" ht="15">
      <c r="A337" s="81" t="s">
        <v>3563</v>
      </c>
      <c r="B337" s="80">
        <v>3</v>
      </c>
      <c r="C337" s="105">
        <v>0.0012765254570881364</v>
      </c>
      <c r="D337" s="80" t="s">
        <v>3896</v>
      </c>
      <c r="E337" s="80" t="b">
        <v>0</v>
      </c>
      <c r="F337" s="80" t="b">
        <v>0</v>
      </c>
      <c r="G337" s="80" t="b">
        <v>0</v>
      </c>
    </row>
    <row r="338" spans="1:7" ht="15">
      <c r="A338" s="81" t="s">
        <v>3564</v>
      </c>
      <c r="B338" s="80">
        <v>3</v>
      </c>
      <c r="C338" s="105">
        <v>0.0012765254570881364</v>
      </c>
      <c r="D338" s="80" t="s">
        <v>3896</v>
      </c>
      <c r="E338" s="80" t="b">
        <v>0</v>
      </c>
      <c r="F338" s="80" t="b">
        <v>0</v>
      </c>
      <c r="G338" s="80" t="b">
        <v>0</v>
      </c>
    </row>
    <row r="339" spans="1:7" ht="15">
      <c r="A339" s="81" t="s">
        <v>3565</v>
      </c>
      <c r="B339" s="80">
        <v>3</v>
      </c>
      <c r="C339" s="105">
        <v>0.0012765254570881364</v>
      </c>
      <c r="D339" s="80" t="s">
        <v>3896</v>
      </c>
      <c r="E339" s="80" t="b">
        <v>0</v>
      </c>
      <c r="F339" s="80" t="b">
        <v>0</v>
      </c>
      <c r="G339" s="80" t="b">
        <v>0</v>
      </c>
    </row>
    <row r="340" spans="1:7" ht="15">
      <c r="A340" s="81" t="s">
        <v>3566</v>
      </c>
      <c r="B340" s="80">
        <v>3</v>
      </c>
      <c r="C340" s="105">
        <v>0.0012765254570881364</v>
      </c>
      <c r="D340" s="80" t="s">
        <v>3896</v>
      </c>
      <c r="E340" s="80" t="b">
        <v>0</v>
      </c>
      <c r="F340" s="80" t="b">
        <v>0</v>
      </c>
      <c r="G340" s="80" t="b">
        <v>0</v>
      </c>
    </row>
    <row r="341" spans="1:7" ht="15">
      <c r="A341" s="81" t="s">
        <v>3567</v>
      </c>
      <c r="B341" s="80">
        <v>3</v>
      </c>
      <c r="C341" s="105">
        <v>0.0012765254570881364</v>
      </c>
      <c r="D341" s="80" t="s">
        <v>3896</v>
      </c>
      <c r="E341" s="80" t="b">
        <v>0</v>
      </c>
      <c r="F341" s="80" t="b">
        <v>0</v>
      </c>
      <c r="G341" s="80" t="b">
        <v>0</v>
      </c>
    </row>
    <row r="342" spans="1:7" ht="15">
      <c r="A342" s="81" t="s">
        <v>3568</v>
      </c>
      <c r="B342" s="80">
        <v>3</v>
      </c>
      <c r="C342" s="105">
        <v>0.0012765254570881364</v>
      </c>
      <c r="D342" s="80" t="s">
        <v>3896</v>
      </c>
      <c r="E342" s="80" t="b">
        <v>0</v>
      </c>
      <c r="F342" s="80" t="b">
        <v>0</v>
      </c>
      <c r="G342" s="80" t="b">
        <v>0</v>
      </c>
    </row>
    <row r="343" spans="1:7" ht="15">
      <c r="A343" s="81" t="s">
        <v>3569</v>
      </c>
      <c r="B343" s="80">
        <v>3</v>
      </c>
      <c r="C343" s="105">
        <v>0.0012765254570881364</v>
      </c>
      <c r="D343" s="80" t="s">
        <v>3896</v>
      </c>
      <c r="E343" s="80" t="b">
        <v>0</v>
      </c>
      <c r="F343" s="80" t="b">
        <v>0</v>
      </c>
      <c r="G343" s="80" t="b">
        <v>0</v>
      </c>
    </row>
    <row r="344" spans="1:7" ht="15">
      <c r="A344" s="81" t="s">
        <v>3570</v>
      </c>
      <c r="B344" s="80">
        <v>3</v>
      </c>
      <c r="C344" s="105">
        <v>0.0012765254570881364</v>
      </c>
      <c r="D344" s="80" t="s">
        <v>3896</v>
      </c>
      <c r="E344" s="80" t="b">
        <v>0</v>
      </c>
      <c r="F344" s="80" t="b">
        <v>0</v>
      </c>
      <c r="G344" s="80" t="b">
        <v>0</v>
      </c>
    </row>
    <row r="345" spans="1:7" ht="15">
      <c r="A345" s="81" t="s">
        <v>3571</v>
      </c>
      <c r="B345" s="80">
        <v>3</v>
      </c>
      <c r="C345" s="105">
        <v>0.0012765254570881364</v>
      </c>
      <c r="D345" s="80" t="s">
        <v>3896</v>
      </c>
      <c r="E345" s="80" t="b">
        <v>0</v>
      </c>
      <c r="F345" s="80" t="b">
        <v>0</v>
      </c>
      <c r="G345" s="80" t="b">
        <v>0</v>
      </c>
    </row>
    <row r="346" spans="1:7" ht="15">
      <c r="A346" s="81" t="s">
        <v>3572</v>
      </c>
      <c r="B346" s="80">
        <v>3</v>
      </c>
      <c r="C346" s="105">
        <v>0.0012765254570881364</v>
      </c>
      <c r="D346" s="80" t="s">
        <v>3896</v>
      </c>
      <c r="E346" s="80" t="b">
        <v>0</v>
      </c>
      <c r="F346" s="80" t="b">
        <v>0</v>
      </c>
      <c r="G346" s="80" t="b">
        <v>0</v>
      </c>
    </row>
    <row r="347" spans="1:7" ht="15">
      <c r="A347" s="81" t="s">
        <v>3573</v>
      </c>
      <c r="B347" s="80">
        <v>3</v>
      </c>
      <c r="C347" s="105">
        <v>0.0012765254570881364</v>
      </c>
      <c r="D347" s="80" t="s">
        <v>3896</v>
      </c>
      <c r="E347" s="80" t="b">
        <v>0</v>
      </c>
      <c r="F347" s="80" t="b">
        <v>0</v>
      </c>
      <c r="G347" s="80" t="b">
        <v>0</v>
      </c>
    </row>
    <row r="348" spans="1:7" ht="15">
      <c r="A348" s="81" t="s">
        <v>3574</v>
      </c>
      <c r="B348" s="80">
        <v>3</v>
      </c>
      <c r="C348" s="105">
        <v>0.0012765254570881364</v>
      </c>
      <c r="D348" s="80" t="s">
        <v>3896</v>
      </c>
      <c r="E348" s="80" t="b">
        <v>0</v>
      </c>
      <c r="F348" s="80" t="b">
        <v>0</v>
      </c>
      <c r="G348" s="80" t="b">
        <v>0</v>
      </c>
    </row>
    <row r="349" spans="1:7" ht="15">
      <c r="A349" s="81" t="s">
        <v>3575</v>
      </c>
      <c r="B349" s="80">
        <v>3</v>
      </c>
      <c r="C349" s="105">
        <v>0.0012765254570881364</v>
      </c>
      <c r="D349" s="80" t="s">
        <v>3896</v>
      </c>
      <c r="E349" s="80" t="b">
        <v>0</v>
      </c>
      <c r="F349" s="80" t="b">
        <v>0</v>
      </c>
      <c r="G349" s="80" t="b">
        <v>0</v>
      </c>
    </row>
    <row r="350" spans="1:7" ht="15">
      <c r="A350" s="81" t="s">
        <v>3576</v>
      </c>
      <c r="B350" s="80">
        <v>3</v>
      </c>
      <c r="C350" s="105">
        <v>0.0012765254570881364</v>
      </c>
      <c r="D350" s="80" t="s">
        <v>3896</v>
      </c>
      <c r="E350" s="80" t="b">
        <v>0</v>
      </c>
      <c r="F350" s="80" t="b">
        <v>0</v>
      </c>
      <c r="G350" s="80" t="b">
        <v>0</v>
      </c>
    </row>
    <row r="351" spans="1:7" ht="15">
      <c r="A351" s="81" t="s">
        <v>3577</v>
      </c>
      <c r="B351" s="80">
        <v>3</v>
      </c>
      <c r="C351" s="105">
        <v>0.0012765254570881364</v>
      </c>
      <c r="D351" s="80" t="s">
        <v>3896</v>
      </c>
      <c r="E351" s="80" t="b">
        <v>0</v>
      </c>
      <c r="F351" s="80" t="b">
        <v>0</v>
      </c>
      <c r="G351" s="80" t="b">
        <v>0</v>
      </c>
    </row>
    <row r="352" spans="1:7" ht="15">
      <c r="A352" s="81" t="s">
        <v>3578</v>
      </c>
      <c r="B352" s="80">
        <v>3</v>
      </c>
      <c r="C352" s="105">
        <v>0.0012765254570881364</v>
      </c>
      <c r="D352" s="80" t="s">
        <v>3896</v>
      </c>
      <c r="E352" s="80" t="b">
        <v>0</v>
      </c>
      <c r="F352" s="80" t="b">
        <v>0</v>
      </c>
      <c r="G352" s="80" t="b">
        <v>0</v>
      </c>
    </row>
    <row r="353" spans="1:7" ht="15">
      <c r="A353" s="81" t="s">
        <v>3579</v>
      </c>
      <c r="B353" s="80">
        <v>3</v>
      </c>
      <c r="C353" s="105">
        <v>0.0012765254570881364</v>
      </c>
      <c r="D353" s="80" t="s">
        <v>3896</v>
      </c>
      <c r="E353" s="80" t="b">
        <v>0</v>
      </c>
      <c r="F353" s="80" t="b">
        <v>0</v>
      </c>
      <c r="G353" s="80" t="b">
        <v>0</v>
      </c>
    </row>
    <row r="354" spans="1:7" ht="15">
      <c r="A354" s="81" t="s">
        <v>3580</v>
      </c>
      <c r="B354" s="80">
        <v>3</v>
      </c>
      <c r="C354" s="105">
        <v>0.0012765254570881364</v>
      </c>
      <c r="D354" s="80" t="s">
        <v>3896</v>
      </c>
      <c r="E354" s="80" t="b">
        <v>0</v>
      </c>
      <c r="F354" s="80" t="b">
        <v>0</v>
      </c>
      <c r="G354" s="80" t="b">
        <v>0</v>
      </c>
    </row>
    <row r="355" spans="1:7" ht="15">
      <c r="A355" s="81" t="s">
        <v>3581</v>
      </c>
      <c r="B355" s="80">
        <v>3</v>
      </c>
      <c r="C355" s="105">
        <v>0.0012765254570881364</v>
      </c>
      <c r="D355" s="80" t="s">
        <v>3896</v>
      </c>
      <c r="E355" s="80" t="b">
        <v>0</v>
      </c>
      <c r="F355" s="80" t="b">
        <v>0</v>
      </c>
      <c r="G355" s="80" t="b">
        <v>0</v>
      </c>
    </row>
    <row r="356" spans="1:7" ht="15">
      <c r="A356" s="81" t="s">
        <v>3582</v>
      </c>
      <c r="B356" s="80">
        <v>3</v>
      </c>
      <c r="C356" s="105">
        <v>0.0012765254570881364</v>
      </c>
      <c r="D356" s="80" t="s">
        <v>3896</v>
      </c>
      <c r="E356" s="80" t="b">
        <v>0</v>
      </c>
      <c r="F356" s="80" t="b">
        <v>0</v>
      </c>
      <c r="G356" s="80" t="b">
        <v>0</v>
      </c>
    </row>
    <row r="357" spans="1:7" ht="15">
      <c r="A357" s="81" t="s">
        <v>3583</v>
      </c>
      <c r="B357" s="80">
        <v>3</v>
      </c>
      <c r="C357" s="105">
        <v>0.0012765254570881364</v>
      </c>
      <c r="D357" s="80" t="s">
        <v>3896</v>
      </c>
      <c r="E357" s="80" t="b">
        <v>0</v>
      </c>
      <c r="F357" s="80" t="b">
        <v>0</v>
      </c>
      <c r="G357" s="80" t="b">
        <v>0</v>
      </c>
    </row>
    <row r="358" spans="1:7" ht="15">
      <c r="A358" s="81" t="s">
        <v>3584</v>
      </c>
      <c r="B358" s="80">
        <v>3</v>
      </c>
      <c r="C358" s="105">
        <v>0.0012765254570881364</v>
      </c>
      <c r="D358" s="80" t="s">
        <v>3896</v>
      </c>
      <c r="E358" s="80" t="b">
        <v>0</v>
      </c>
      <c r="F358" s="80" t="b">
        <v>0</v>
      </c>
      <c r="G358" s="80" t="b">
        <v>0</v>
      </c>
    </row>
    <row r="359" spans="1:7" ht="15">
      <c r="A359" s="81" t="s">
        <v>3585</v>
      </c>
      <c r="B359" s="80">
        <v>3</v>
      </c>
      <c r="C359" s="105">
        <v>0.0012765254570881364</v>
      </c>
      <c r="D359" s="80" t="s">
        <v>3896</v>
      </c>
      <c r="E359" s="80" t="b">
        <v>0</v>
      </c>
      <c r="F359" s="80" t="b">
        <v>0</v>
      </c>
      <c r="G359" s="80" t="b">
        <v>0</v>
      </c>
    </row>
    <row r="360" spans="1:7" ht="15">
      <c r="A360" s="81" t="s">
        <v>3586</v>
      </c>
      <c r="B360" s="80">
        <v>3</v>
      </c>
      <c r="C360" s="105">
        <v>0.0012765254570881364</v>
      </c>
      <c r="D360" s="80" t="s">
        <v>3896</v>
      </c>
      <c r="E360" s="80" t="b">
        <v>0</v>
      </c>
      <c r="F360" s="80" t="b">
        <v>0</v>
      </c>
      <c r="G360" s="80" t="b">
        <v>0</v>
      </c>
    </row>
    <row r="361" spans="1:7" ht="15">
      <c r="A361" s="81" t="s">
        <v>3587</v>
      </c>
      <c r="B361" s="80">
        <v>3</v>
      </c>
      <c r="C361" s="105">
        <v>0.0012765254570881364</v>
      </c>
      <c r="D361" s="80" t="s">
        <v>3896</v>
      </c>
      <c r="E361" s="80" t="b">
        <v>0</v>
      </c>
      <c r="F361" s="80" t="b">
        <v>0</v>
      </c>
      <c r="G361" s="80" t="b">
        <v>0</v>
      </c>
    </row>
    <row r="362" spans="1:7" ht="15">
      <c r="A362" s="81" t="s">
        <v>3588</v>
      </c>
      <c r="B362" s="80">
        <v>3</v>
      </c>
      <c r="C362" s="105">
        <v>0.0012765254570881364</v>
      </c>
      <c r="D362" s="80" t="s">
        <v>3896</v>
      </c>
      <c r="E362" s="80" t="b">
        <v>0</v>
      </c>
      <c r="F362" s="80" t="b">
        <v>0</v>
      </c>
      <c r="G362" s="80" t="b">
        <v>0</v>
      </c>
    </row>
    <row r="363" spans="1:7" ht="15">
      <c r="A363" s="81" t="s">
        <v>3589</v>
      </c>
      <c r="B363" s="80">
        <v>3</v>
      </c>
      <c r="C363" s="105">
        <v>0.0012765254570881364</v>
      </c>
      <c r="D363" s="80" t="s">
        <v>3896</v>
      </c>
      <c r="E363" s="80" t="b">
        <v>0</v>
      </c>
      <c r="F363" s="80" t="b">
        <v>0</v>
      </c>
      <c r="G363" s="80" t="b">
        <v>0</v>
      </c>
    </row>
    <row r="364" spans="1:7" ht="15">
      <c r="A364" s="81" t="s">
        <v>3590</v>
      </c>
      <c r="B364" s="80">
        <v>3</v>
      </c>
      <c r="C364" s="105">
        <v>0.0012765254570881364</v>
      </c>
      <c r="D364" s="80" t="s">
        <v>3896</v>
      </c>
      <c r="E364" s="80" t="b">
        <v>0</v>
      </c>
      <c r="F364" s="80" t="b">
        <v>0</v>
      </c>
      <c r="G364" s="80" t="b">
        <v>0</v>
      </c>
    </row>
    <row r="365" spans="1:7" ht="15">
      <c r="A365" s="81" t="s">
        <v>3591</v>
      </c>
      <c r="B365" s="80">
        <v>3</v>
      </c>
      <c r="C365" s="105">
        <v>0.0012765254570881364</v>
      </c>
      <c r="D365" s="80" t="s">
        <v>3896</v>
      </c>
      <c r="E365" s="80" t="b">
        <v>0</v>
      </c>
      <c r="F365" s="80" t="b">
        <v>0</v>
      </c>
      <c r="G365" s="80" t="b">
        <v>0</v>
      </c>
    </row>
    <row r="366" spans="1:7" ht="15">
      <c r="A366" s="81" t="s">
        <v>3592</v>
      </c>
      <c r="B366" s="80">
        <v>3</v>
      </c>
      <c r="C366" s="105">
        <v>0.0012765254570881364</v>
      </c>
      <c r="D366" s="80" t="s">
        <v>3896</v>
      </c>
      <c r="E366" s="80" t="b">
        <v>0</v>
      </c>
      <c r="F366" s="80" t="b">
        <v>0</v>
      </c>
      <c r="G366" s="80" t="b">
        <v>0</v>
      </c>
    </row>
    <row r="367" spans="1:7" ht="15">
      <c r="A367" s="81" t="s">
        <v>3593</v>
      </c>
      <c r="B367" s="80">
        <v>3</v>
      </c>
      <c r="C367" s="105">
        <v>0.0012765254570881364</v>
      </c>
      <c r="D367" s="80" t="s">
        <v>3896</v>
      </c>
      <c r="E367" s="80" t="b">
        <v>0</v>
      </c>
      <c r="F367" s="80" t="b">
        <v>0</v>
      </c>
      <c r="G367" s="80" t="b">
        <v>0</v>
      </c>
    </row>
    <row r="368" spans="1:7" ht="15">
      <c r="A368" s="81" t="s">
        <v>3594</v>
      </c>
      <c r="B368" s="80">
        <v>3</v>
      </c>
      <c r="C368" s="105">
        <v>0.0012765254570881364</v>
      </c>
      <c r="D368" s="80" t="s">
        <v>3896</v>
      </c>
      <c r="E368" s="80" t="b">
        <v>0</v>
      </c>
      <c r="F368" s="80" t="b">
        <v>0</v>
      </c>
      <c r="G368" s="80" t="b">
        <v>0</v>
      </c>
    </row>
    <row r="369" spans="1:7" ht="15">
      <c r="A369" s="81" t="s">
        <v>3595</v>
      </c>
      <c r="B369" s="80">
        <v>3</v>
      </c>
      <c r="C369" s="105">
        <v>0.0012765254570881364</v>
      </c>
      <c r="D369" s="80" t="s">
        <v>3896</v>
      </c>
      <c r="E369" s="80" t="b">
        <v>0</v>
      </c>
      <c r="F369" s="80" t="b">
        <v>0</v>
      </c>
      <c r="G369" s="80" t="b">
        <v>0</v>
      </c>
    </row>
    <row r="370" spans="1:7" ht="15">
      <c r="A370" s="81" t="s">
        <v>3596</v>
      </c>
      <c r="B370" s="80">
        <v>3</v>
      </c>
      <c r="C370" s="105">
        <v>0.0012765254570881364</v>
      </c>
      <c r="D370" s="80" t="s">
        <v>3896</v>
      </c>
      <c r="E370" s="80" t="b">
        <v>0</v>
      </c>
      <c r="F370" s="80" t="b">
        <v>0</v>
      </c>
      <c r="G370" s="80" t="b">
        <v>0</v>
      </c>
    </row>
    <row r="371" spans="1:7" ht="15">
      <c r="A371" s="81" t="s">
        <v>3597</v>
      </c>
      <c r="B371" s="80">
        <v>3</v>
      </c>
      <c r="C371" s="105">
        <v>0.0012765254570881364</v>
      </c>
      <c r="D371" s="80" t="s">
        <v>3896</v>
      </c>
      <c r="E371" s="80" t="b">
        <v>0</v>
      </c>
      <c r="F371" s="80" t="b">
        <v>0</v>
      </c>
      <c r="G371" s="80" t="b">
        <v>0</v>
      </c>
    </row>
    <row r="372" spans="1:7" ht="15">
      <c r="A372" s="81" t="s">
        <v>3598</v>
      </c>
      <c r="B372" s="80">
        <v>3</v>
      </c>
      <c r="C372" s="105">
        <v>0.0012765254570881364</v>
      </c>
      <c r="D372" s="80" t="s">
        <v>3896</v>
      </c>
      <c r="E372" s="80" t="b">
        <v>0</v>
      </c>
      <c r="F372" s="80" t="b">
        <v>0</v>
      </c>
      <c r="G372" s="80" t="b">
        <v>0</v>
      </c>
    </row>
    <row r="373" spans="1:7" ht="15">
      <c r="A373" s="81" t="s">
        <v>3599</v>
      </c>
      <c r="B373" s="80">
        <v>3</v>
      </c>
      <c r="C373" s="105">
        <v>0.0012765254570881364</v>
      </c>
      <c r="D373" s="80" t="s">
        <v>3896</v>
      </c>
      <c r="E373" s="80" t="b">
        <v>0</v>
      </c>
      <c r="F373" s="80" t="b">
        <v>0</v>
      </c>
      <c r="G373" s="80" t="b">
        <v>0</v>
      </c>
    </row>
    <row r="374" spans="1:7" ht="15">
      <c r="A374" s="81" t="s">
        <v>3600</v>
      </c>
      <c r="B374" s="80">
        <v>3</v>
      </c>
      <c r="C374" s="105">
        <v>0.0012765254570881364</v>
      </c>
      <c r="D374" s="80" t="s">
        <v>3896</v>
      </c>
      <c r="E374" s="80" t="b">
        <v>0</v>
      </c>
      <c r="F374" s="80" t="b">
        <v>0</v>
      </c>
      <c r="G374" s="80" t="b">
        <v>0</v>
      </c>
    </row>
    <row r="375" spans="1:7" ht="15">
      <c r="A375" s="81" t="s">
        <v>3601</v>
      </c>
      <c r="B375" s="80">
        <v>3</v>
      </c>
      <c r="C375" s="105">
        <v>0.0012765254570881364</v>
      </c>
      <c r="D375" s="80" t="s">
        <v>3896</v>
      </c>
      <c r="E375" s="80" t="b">
        <v>0</v>
      </c>
      <c r="F375" s="80" t="b">
        <v>0</v>
      </c>
      <c r="G375" s="80" t="b">
        <v>0</v>
      </c>
    </row>
    <row r="376" spans="1:7" ht="15">
      <c r="A376" s="81" t="s">
        <v>3602</v>
      </c>
      <c r="B376" s="80">
        <v>3</v>
      </c>
      <c r="C376" s="105">
        <v>0.0012765254570881364</v>
      </c>
      <c r="D376" s="80" t="s">
        <v>3896</v>
      </c>
      <c r="E376" s="80" t="b">
        <v>0</v>
      </c>
      <c r="F376" s="80" t="b">
        <v>0</v>
      </c>
      <c r="G376" s="80" t="b">
        <v>0</v>
      </c>
    </row>
    <row r="377" spans="1:7" ht="15">
      <c r="A377" s="81" t="s">
        <v>3603</v>
      </c>
      <c r="B377" s="80">
        <v>3</v>
      </c>
      <c r="C377" s="105">
        <v>0.0012765254570881364</v>
      </c>
      <c r="D377" s="80" t="s">
        <v>3896</v>
      </c>
      <c r="E377" s="80" t="b">
        <v>0</v>
      </c>
      <c r="F377" s="80" t="b">
        <v>0</v>
      </c>
      <c r="G377" s="80" t="b">
        <v>0</v>
      </c>
    </row>
    <row r="378" spans="1:7" ht="15">
      <c r="A378" s="81" t="s">
        <v>3604</v>
      </c>
      <c r="B378" s="80">
        <v>3</v>
      </c>
      <c r="C378" s="105">
        <v>0.0012765254570881364</v>
      </c>
      <c r="D378" s="80" t="s">
        <v>3896</v>
      </c>
      <c r="E378" s="80" t="b">
        <v>0</v>
      </c>
      <c r="F378" s="80" t="b">
        <v>0</v>
      </c>
      <c r="G378" s="80" t="b">
        <v>0</v>
      </c>
    </row>
    <row r="379" spans="1:7" ht="15">
      <c r="A379" s="81" t="s">
        <v>3605</v>
      </c>
      <c r="B379" s="80">
        <v>3</v>
      </c>
      <c r="C379" s="105">
        <v>0.0012765254570881364</v>
      </c>
      <c r="D379" s="80" t="s">
        <v>3896</v>
      </c>
      <c r="E379" s="80" t="b">
        <v>0</v>
      </c>
      <c r="F379" s="80" t="b">
        <v>0</v>
      </c>
      <c r="G379" s="80" t="b">
        <v>0</v>
      </c>
    </row>
    <row r="380" spans="1:7" ht="15">
      <c r="A380" s="81" t="s">
        <v>3606</v>
      </c>
      <c r="B380" s="80">
        <v>3</v>
      </c>
      <c r="C380" s="105">
        <v>0.0012765254570881364</v>
      </c>
      <c r="D380" s="80" t="s">
        <v>3896</v>
      </c>
      <c r="E380" s="80" t="b">
        <v>0</v>
      </c>
      <c r="F380" s="80" t="b">
        <v>0</v>
      </c>
      <c r="G380" s="80" t="b">
        <v>0</v>
      </c>
    </row>
    <row r="381" spans="1:7" ht="15">
      <c r="A381" s="81" t="s">
        <v>3607</v>
      </c>
      <c r="B381" s="80">
        <v>3</v>
      </c>
      <c r="C381" s="105">
        <v>0.0012765254570881364</v>
      </c>
      <c r="D381" s="80" t="s">
        <v>3896</v>
      </c>
      <c r="E381" s="80" t="b">
        <v>0</v>
      </c>
      <c r="F381" s="80" t="b">
        <v>0</v>
      </c>
      <c r="G381" s="80" t="b">
        <v>0</v>
      </c>
    </row>
    <row r="382" spans="1:7" ht="15">
      <c r="A382" s="81" t="s">
        <v>3608</v>
      </c>
      <c r="B382" s="80">
        <v>3</v>
      </c>
      <c r="C382" s="105">
        <v>0.0012765254570881364</v>
      </c>
      <c r="D382" s="80" t="s">
        <v>3896</v>
      </c>
      <c r="E382" s="80" t="b">
        <v>0</v>
      </c>
      <c r="F382" s="80" t="b">
        <v>0</v>
      </c>
      <c r="G382" s="80" t="b">
        <v>0</v>
      </c>
    </row>
    <row r="383" spans="1:7" ht="15">
      <c r="A383" s="81" t="s">
        <v>3609</v>
      </c>
      <c r="B383" s="80">
        <v>3</v>
      </c>
      <c r="C383" s="105">
        <v>0.0012765254570881364</v>
      </c>
      <c r="D383" s="80" t="s">
        <v>3896</v>
      </c>
      <c r="E383" s="80" t="b">
        <v>0</v>
      </c>
      <c r="F383" s="80" t="b">
        <v>0</v>
      </c>
      <c r="G383" s="80" t="b">
        <v>0</v>
      </c>
    </row>
    <row r="384" spans="1:7" ht="15">
      <c r="A384" s="81" t="s">
        <v>3610</v>
      </c>
      <c r="B384" s="80">
        <v>3</v>
      </c>
      <c r="C384" s="105">
        <v>0.0012765254570881364</v>
      </c>
      <c r="D384" s="80" t="s">
        <v>3896</v>
      </c>
      <c r="E384" s="80" t="b">
        <v>0</v>
      </c>
      <c r="F384" s="80" t="b">
        <v>0</v>
      </c>
      <c r="G384" s="80" t="b">
        <v>0</v>
      </c>
    </row>
    <row r="385" spans="1:7" ht="15">
      <c r="A385" s="81" t="s">
        <v>3611</v>
      </c>
      <c r="B385" s="80">
        <v>3</v>
      </c>
      <c r="C385" s="105">
        <v>0.0012765254570881364</v>
      </c>
      <c r="D385" s="80" t="s">
        <v>3896</v>
      </c>
      <c r="E385" s="80" t="b">
        <v>0</v>
      </c>
      <c r="F385" s="80" t="b">
        <v>0</v>
      </c>
      <c r="G385" s="80" t="b">
        <v>0</v>
      </c>
    </row>
    <row r="386" spans="1:7" ht="15">
      <c r="A386" s="81" t="s">
        <v>3612</v>
      </c>
      <c r="B386" s="80">
        <v>3</v>
      </c>
      <c r="C386" s="105">
        <v>0.0012765254570881364</v>
      </c>
      <c r="D386" s="80" t="s">
        <v>3896</v>
      </c>
      <c r="E386" s="80" t="b">
        <v>0</v>
      </c>
      <c r="F386" s="80" t="b">
        <v>0</v>
      </c>
      <c r="G386" s="80" t="b">
        <v>0</v>
      </c>
    </row>
    <row r="387" spans="1:7" ht="15">
      <c r="A387" s="81" t="s">
        <v>3613</v>
      </c>
      <c r="B387" s="80">
        <v>3</v>
      </c>
      <c r="C387" s="105">
        <v>0.0012765254570881364</v>
      </c>
      <c r="D387" s="80" t="s">
        <v>3896</v>
      </c>
      <c r="E387" s="80" t="b">
        <v>0</v>
      </c>
      <c r="F387" s="80" t="b">
        <v>0</v>
      </c>
      <c r="G387" s="80" t="b">
        <v>0</v>
      </c>
    </row>
    <row r="388" spans="1:7" ht="15">
      <c r="A388" s="81" t="s">
        <v>3614</v>
      </c>
      <c r="B388" s="80">
        <v>3</v>
      </c>
      <c r="C388" s="105">
        <v>0.0012765254570881364</v>
      </c>
      <c r="D388" s="80" t="s">
        <v>3896</v>
      </c>
      <c r="E388" s="80" t="b">
        <v>0</v>
      </c>
      <c r="F388" s="80" t="b">
        <v>0</v>
      </c>
      <c r="G388" s="80" t="b">
        <v>0</v>
      </c>
    </row>
    <row r="389" spans="1:7" ht="15">
      <c r="A389" s="81" t="s">
        <v>3615</v>
      </c>
      <c r="B389" s="80">
        <v>3</v>
      </c>
      <c r="C389" s="105">
        <v>0.0012765254570881364</v>
      </c>
      <c r="D389" s="80" t="s">
        <v>3896</v>
      </c>
      <c r="E389" s="80" t="b">
        <v>0</v>
      </c>
      <c r="F389" s="80" t="b">
        <v>0</v>
      </c>
      <c r="G389" s="80" t="b">
        <v>0</v>
      </c>
    </row>
    <row r="390" spans="1:7" ht="15">
      <c r="A390" s="81" t="s">
        <v>3616</v>
      </c>
      <c r="B390" s="80">
        <v>3</v>
      </c>
      <c r="C390" s="105">
        <v>0.0012765254570881364</v>
      </c>
      <c r="D390" s="80" t="s">
        <v>3896</v>
      </c>
      <c r="E390" s="80" t="b">
        <v>0</v>
      </c>
      <c r="F390" s="80" t="b">
        <v>0</v>
      </c>
      <c r="G390" s="80" t="b">
        <v>0</v>
      </c>
    </row>
    <row r="391" spans="1:7" ht="15">
      <c r="A391" s="81" t="s">
        <v>3617</v>
      </c>
      <c r="B391" s="80">
        <v>3</v>
      </c>
      <c r="C391" s="105">
        <v>0.0012765254570881364</v>
      </c>
      <c r="D391" s="80" t="s">
        <v>3896</v>
      </c>
      <c r="E391" s="80" t="b">
        <v>0</v>
      </c>
      <c r="F391" s="80" t="b">
        <v>0</v>
      </c>
      <c r="G391" s="80" t="b">
        <v>0</v>
      </c>
    </row>
    <row r="392" spans="1:7" ht="15">
      <c r="A392" s="81" t="s">
        <v>3618</v>
      </c>
      <c r="B392" s="80">
        <v>3</v>
      </c>
      <c r="C392" s="105">
        <v>0.0012765254570881364</v>
      </c>
      <c r="D392" s="80" t="s">
        <v>3896</v>
      </c>
      <c r="E392" s="80" t="b">
        <v>0</v>
      </c>
      <c r="F392" s="80" t="b">
        <v>0</v>
      </c>
      <c r="G392" s="80" t="b">
        <v>0</v>
      </c>
    </row>
    <row r="393" spans="1:7" ht="15">
      <c r="A393" s="81" t="s">
        <v>3619</v>
      </c>
      <c r="B393" s="80">
        <v>3</v>
      </c>
      <c r="C393" s="105">
        <v>0.0012765254570881364</v>
      </c>
      <c r="D393" s="80" t="s">
        <v>3896</v>
      </c>
      <c r="E393" s="80" t="b">
        <v>0</v>
      </c>
      <c r="F393" s="80" t="b">
        <v>0</v>
      </c>
      <c r="G393" s="80" t="b">
        <v>0</v>
      </c>
    </row>
    <row r="394" spans="1:7" ht="15">
      <c r="A394" s="81" t="s">
        <v>3620</v>
      </c>
      <c r="B394" s="80">
        <v>3</v>
      </c>
      <c r="C394" s="105">
        <v>0.0012765254570881364</v>
      </c>
      <c r="D394" s="80" t="s">
        <v>3896</v>
      </c>
      <c r="E394" s="80" t="b">
        <v>0</v>
      </c>
      <c r="F394" s="80" t="b">
        <v>0</v>
      </c>
      <c r="G394" s="80" t="b">
        <v>0</v>
      </c>
    </row>
    <row r="395" spans="1:7" ht="15">
      <c r="A395" s="81" t="s">
        <v>3621</v>
      </c>
      <c r="B395" s="80">
        <v>3</v>
      </c>
      <c r="C395" s="105">
        <v>0.0012765254570881364</v>
      </c>
      <c r="D395" s="80" t="s">
        <v>3896</v>
      </c>
      <c r="E395" s="80" t="b">
        <v>0</v>
      </c>
      <c r="F395" s="80" t="b">
        <v>0</v>
      </c>
      <c r="G395" s="80" t="b">
        <v>0</v>
      </c>
    </row>
    <row r="396" spans="1:7" ht="15">
      <c r="A396" s="81" t="s">
        <v>3622</v>
      </c>
      <c r="B396" s="80">
        <v>3</v>
      </c>
      <c r="C396" s="105">
        <v>0.0012765254570881364</v>
      </c>
      <c r="D396" s="80" t="s">
        <v>3896</v>
      </c>
      <c r="E396" s="80" t="b">
        <v>0</v>
      </c>
      <c r="F396" s="80" t="b">
        <v>0</v>
      </c>
      <c r="G396" s="80" t="b">
        <v>0</v>
      </c>
    </row>
    <row r="397" spans="1:7" ht="15">
      <c r="A397" s="81" t="s">
        <v>3623</v>
      </c>
      <c r="B397" s="80">
        <v>3</v>
      </c>
      <c r="C397" s="105">
        <v>0.0012765254570881364</v>
      </c>
      <c r="D397" s="80" t="s">
        <v>3896</v>
      </c>
      <c r="E397" s="80" t="b">
        <v>0</v>
      </c>
      <c r="F397" s="80" t="b">
        <v>0</v>
      </c>
      <c r="G397" s="80" t="b">
        <v>0</v>
      </c>
    </row>
    <row r="398" spans="1:7" ht="15">
      <c r="A398" s="81" t="s">
        <v>3624</v>
      </c>
      <c r="B398" s="80">
        <v>3</v>
      </c>
      <c r="C398" s="105">
        <v>0.0012765254570881364</v>
      </c>
      <c r="D398" s="80" t="s">
        <v>3896</v>
      </c>
      <c r="E398" s="80" t="b">
        <v>0</v>
      </c>
      <c r="F398" s="80" t="b">
        <v>0</v>
      </c>
      <c r="G398" s="80" t="b">
        <v>0</v>
      </c>
    </row>
    <row r="399" spans="1:7" ht="15">
      <c r="A399" s="81" t="s">
        <v>3625</v>
      </c>
      <c r="B399" s="80">
        <v>3</v>
      </c>
      <c r="C399" s="105">
        <v>0.0012765254570881364</v>
      </c>
      <c r="D399" s="80" t="s">
        <v>3896</v>
      </c>
      <c r="E399" s="80" t="b">
        <v>0</v>
      </c>
      <c r="F399" s="80" t="b">
        <v>1</v>
      </c>
      <c r="G399" s="80" t="b">
        <v>0</v>
      </c>
    </row>
    <row r="400" spans="1:7" ht="15">
      <c r="A400" s="81" t="s">
        <v>3626</v>
      </c>
      <c r="B400" s="80">
        <v>3</v>
      </c>
      <c r="C400" s="105">
        <v>0.0013860122502833787</v>
      </c>
      <c r="D400" s="80" t="s">
        <v>3896</v>
      </c>
      <c r="E400" s="80" t="b">
        <v>0</v>
      </c>
      <c r="F400" s="80" t="b">
        <v>0</v>
      </c>
      <c r="G400" s="80" t="b">
        <v>0</v>
      </c>
    </row>
    <row r="401" spans="1:7" ht="15">
      <c r="A401" s="81" t="s">
        <v>3627</v>
      </c>
      <c r="B401" s="80">
        <v>3</v>
      </c>
      <c r="C401" s="105">
        <v>0.0012765254570881364</v>
      </c>
      <c r="D401" s="80" t="s">
        <v>3896</v>
      </c>
      <c r="E401" s="80" t="b">
        <v>0</v>
      </c>
      <c r="F401" s="80" t="b">
        <v>0</v>
      </c>
      <c r="G401" s="80" t="b">
        <v>0</v>
      </c>
    </row>
    <row r="402" spans="1:7" ht="15">
      <c r="A402" s="81" t="s">
        <v>3628</v>
      </c>
      <c r="B402" s="80">
        <v>3</v>
      </c>
      <c r="C402" s="105">
        <v>0.0012765254570881364</v>
      </c>
      <c r="D402" s="80" t="s">
        <v>3896</v>
      </c>
      <c r="E402" s="80" t="b">
        <v>1</v>
      </c>
      <c r="F402" s="80" t="b">
        <v>0</v>
      </c>
      <c r="G402" s="80" t="b">
        <v>0</v>
      </c>
    </row>
    <row r="403" spans="1:7" ht="15">
      <c r="A403" s="81" t="s">
        <v>3629</v>
      </c>
      <c r="B403" s="80">
        <v>3</v>
      </c>
      <c r="C403" s="105">
        <v>0.0012765254570881364</v>
      </c>
      <c r="D403" s="80" t="s">
        <v>3896</v>
      </c>
      <c r="E403" s="80" t="b">
        <v>0</v>
      </c>
      <c r="F403" s="80" t="b">
        <v>0</v>
      </c>
      <c r="G403" s="80" t="b">
        <v>0</v>
      </c>
    </row>
    <row r="404" spans="1:7" ht="15">
      <c r="A404" s="81" t="s">
        <v>3630</v>
      </c>
      <c r="B404" s="80">
        <v>3</v>
      </c>
      <c r="C404" s="105">
        <v>0.0012765254570881364</v>
      </c>
      <c r="D404" s="80" t="s">
        <v>3896</v>
      </c>
      <c r="E404" s="80" t="b">
        <v>0</v>
      </c>
      <c r="F404" s="80" t="b">
        <v>0</v>
      </c>
      <c r="G404" s="80" t="b">
        <v>0</v>
      </c>
    </row>
    <row r="405" spans="1:7" ht="15">
      <c r="A405" s="81" t="s">
        <v>3631</v>
      </c>
      <c r="B405" s="80">
        <v>3</v>
      </c>
      <c r="C405" s="105">
        <v>0.0012765254570881364</v>
      </c>
      <c r="D405" s="80" t="s">
        <v>3896</v>
      </c>
      <c r="E405" s="80" t="b">
        <v>0</v>
      </c>
      <c r="F405" s="80" t="b">
        <v>0</v>
      </c>
      <c r="G405" s="80" t="b">
        <v>0</v>
      </c>
    </row>
    <row r="406" spans="1:7" ht="15">
      <c r="A406" s="81" t="s">
        <v>3632</v>
      </c>
      <c r="B406" s="80">
        <v>3</v>
      </c>
      <c r="C406" s="105">
        <v>0.0012765254570881364</v>
      </c>
      <c r="D406" s="80" t="s">
        <v>3896</v>
      </c>
      <c r="E406" s="80" t="b">
        <v>0</v>
      </c>
      <c r="F406" s="80" t="b">
        <v>0</v>
      </c>
      <c r="G406" s="80" t="b">
        <v>0</v>
      </c>
    </row>
    <row r="407" spans="1:7" ht="15">
      <c r="A407" s="81" t="s">
        <v>3633</v>
      </c>
      <c r="B407" s="80">
        <v>3</v>
      </c>
      <c r="C407" s="105">
        <v>0.0012765254570881364</v>
      </c>
      <c r="D407" s="80" t="s">
        <v>3896</v>
      </c>
      <c r="E407" s="80" t="b">
        <v>0</v>
      </c>
      <c r="F407" s="80" t="b">
        <v>0</v>
      </c>
      <c r="G407" s="80" t="b">
        <v>0</v>
      </c>
    </row>
    <row r="408" spans="1:7" ht="15">
      <c r="A408" s="81" t="s">
        <v>3634</v>
      </c>
      <c r="B408" s="80">
        <v>3</v>
      </c>
      <c r="C408" s="105">
        <v>0.001573181159504507</v>
      </c>
      <c r="D408" s="80" t="s">
        <v>3896</v>
      </c>
      <c r="E408" s="80" t="b">
        <v>0</v>
      </c>
      <c r="F408" s="80" t="b">
        <v>0</v>
      </c>
      <c r="G408" s="80" t="b">
        <v>0</v>
      </c>
    </row>
    <row r="409" spans="1:7" ht="15">
      <c r="A409" s="81" t="s">
        <v>490</v>
      </c>
      <c r="B409" s="80">
        <v>3</v>
      </c>
      <c r="C409" s="105">
        <v>0.0012765254570881364</v>
      </c>
      <c r="D409" s="80" t="s">
        <v>3896</v>
      </c>
      <c r="E409" s="80" t="b">
        <v>0</v>
      </c>
      <c r="F409" s="80" t="b">
        <v>0</v>
      </c>
      <c r="G409" s="80" t="b">
        <v>0</v>
      </c>
    </row>
    <row r="410" spans="1:7" ht="15">
      <c r="A410" s="81" t="s">
        <v>3635</v>
      </c>
      <c r="B410" s="80">
        <v>3</v>
      </c>
      <c r="C410" s="105">
        <v>0.0012765254570881364</v>
      </c>
      <c r="D410" s="80" t="s">
        <v>3896</v>
      </c>
      <c r="E410" s="80" t="b">
        <v>0</v>
      </c>
      <c r="F410" s="80" t="b">
        <v>0</v>
      </c>
      <c r="G410" s="80" t="b">
        <v>0</v>
      </c>
    </row>
    <row r="411" spans="1:7" ht="15">
      <c r="A411" s="81" t="s">
        <v>1782</v>
      </c>
      <c r="B411" s="80">
        <v>3</v>
      </c>
      <c r="C411" s="105">
        <v>0.001573181159504507</v>
      </c>
      <c r="D411" s="80" t="s">
        <v>3896</v>
      </c>
      <c r="E411" s="80" t="b">
        <v>0</v>
      </c>
      <c r="F411" s="80" t="b">
        <v>0</v>
      </c>
      <c r="G411" s="80" t="b">
        <v>0</v>
      </c>
    </row>
    <row r="412" spans="1:7" ht="15">
      <c r="A412" s="81" t="s">
        <v>3636</v>
      </c>
      <c r="B412" s="80">
        <v>3</v>
      </c>
      <c r="C412" s="105">
        <v>0.0012765254570881364</v>
      </c>
      <c r="D412" s="80" t="s">
        <v>3896</v>
      </c>
      <c r="E412" s="80" t="b">
        <v>0</v>
      </c>
      <c r="F412" s="80" t="b">
        <v>0</v>
      </c>
      <c r="G412" s="80" t="b">
        <v>0</v>
      </c>
    </row>
    <row r="413" spans="1:7" ht="15">
      <c r="A413" s="81" t="s">
        <v>3637</v>
      </c>
      <c r="B413" s="80">
        <v>3</v>
      </c>
      <c r="C413" s="105">
        <v>0.0012765254570881364</v>
      </c>
      <c r="D413" s="80" t="s">
        <v>3896</v>
      </c>
      <c r="E413" s="80" t="b">
        <v>0</v>
      </c>
      <c r="F413" s="80" t="b">
        <v>0</v>
      </c>
      <c r="G413" s="80" t="b">
        <v>0</v>
      </c>
    </row>
    <row r="414" spans="1:7" ht="15">
      <c r="A414" s="81" t="s">
        <v>3638</v>
      </c>
      <c r="B414" s="80">
        <v>3</v>
      </c>
      <c r="C414" s="105">
        <v>0.0012765254570881364</v>
      </c>
      <c r="D414" s="80" t="s">
        <v>3896</v>
      </c>
      <c r="E414" s="80" t="b">
        <v>0</v>
      </c>
      <c r="F414" s="80" t="b">
        <v>0</v>
      </c>
      <c r="G414" s="80" t="b">
        <v>0</v>
      </c>
    </row>
    <row r="415" spans="1:7" ht="15">
      <c r="A415" s="81" t="s">
        <v>3639</v>
      </c>
      <c r="B415" s="80">
        <v>3</v>
      </c>
      <c r="C415" s="105">
        <v>0.0012765254570881364</v>
      </c>
      <c r="D415" s="80" t="s">
        <v>3896</v>
      </c>
      <c r="E415" s="80" t="b">
        <v>0</v>
      </c>
      <c r="F415" s="80" t="b">
        <v>0</v>
      </c>
      <c r="G415" s="80" t="b">
        <v>0</v>
      </c>
    </row>
    <row r="416" spans="1:7" ht="15">
      <c r="A416" s="81" t="s">
        <v>3640</v>
      </c>
      <c r="B416" s="80">
        <v>3</v>
      </c>
      <c r="C416" s="105">
        <v>0.0012765254570881364</v>
      </c>
      <c r="D416" s="80" t="s">
        <v>3896</v>
      </c>
      <c r="E416" s="80" t="b">
        <v>0</v>
      </c>
      <c r="F416" s="80" t="b">
        <v>0</v>
      </c>
      <c r="G416" s="80" t="b">
        <v>0</v>
      </c>
    </row>
    <row r="417" spans="1:7" ht="15">
      <c r="A417" s="81" t="s">
        <v>3641</v>
      </c>
      <c r="B417" s="80">
        <v>3</v>
      </c>
      <c r="C417" s="105">
        <v>0.0012765254570881364</v>
      </c>
      <c r="D417" s="80" t="s">
        <v>3896</v>
      </c>
      <c r="E417" s="80" t="b">
        <v>0</v>
      </c>
      <c r="F417" s="80" t="b">
        <v>0</v>
      </c>
      <c r="G417" s="80" t="b">
        <v>0</v>
      </c>
    </row>
    <row r="418" spans="1:7" ht="15">
      <c r="A418" s="81" t="s">
        <v>3642</v>
      </c>
      <c r="B418" s="80">
        <v>3</v>
      </c>
      <c r="C418" s="105">
        <v>0.0012765254570881364</v>
      </c>
      <c r="D418" s="80" t="s">
        <v>3896</v>
      </c>
      <c r="E418" s="80" t="b">
        <v>0</v>
      </c>
      <c r="F418" s="80" t="b">
        <v>0</v>
      </c>
      <c r="G418" s="80" t="b">
        <v>0</v>
      </c>
    </row>
    <row r="419" spans="1:7" ht="15">
      <c r="A419" s="81" t="s">
        <v>3643</v>
      </c>
      <c r="B419" s="80">
        <v>3</v>
      </c>
      <c r="C419" s="105">
        <v>0.0012765254570881364</v>
      </c>
      <c r="D419" s="80" t="s">
        <v>3896</v>
      </c>
      <c r="E419" s="80" t="b">
        <v>0</v>
      </c>
      <c r="F419" s="80" t="b">
        <v>0</v>
      </c>
      <c r="G419" s="80" t="b">
        <v>0</v>
      </c>
    </row>
    <row r="420" spans="1:7" ht="15">
      <c r="A420" s="81" t="s">
        <v>3644</v>
      </c>
      <c r="B420" s="80">
        <v>3</v>
      </c>
      <c r="C420" s="105">
        <v>0.0012765254570881364</v>
      </c>
      <c r="D420" s="80" t="s">
        <v>3896</v>
      </c>
      <c r="E420" s="80" t="b">
        <v>0</v>
      </c>
      <c r="F420" s="80" t="b">
        <v>0</v>
      </c>
      <c r="G420" s="80" t="b">
        <v>0</v>
      </c>
    </row>
    <row r="421" spans="1:7" ht="15">
      <c r="A421" s="81" t="s">
        <v>3645</v>
      </c>
      <c r="B421" s="80">
        <v>3</v>
      </c>
      <c r="C421" s="105">
        <v>0.0012765254570881364</v>
      </c>
      <c r="D421" s="80" t="s">
        <v>3896</v>
      </c>
      <c r="E421" s="80" t="b">
        <v>0</v>
      </c>
      <c r="F421" s="80" t="b">
        <v>0</v>
      </c>
      <c r="G421" s="80" t="b">
        <v>0</v>
      </c>
    </row>
    <row r="422" spans="1:7" ht="15">
      <c r="A422" s="81" t="s">
        <v>3646</v>
      </c>
      <c r="B422" s="80">
        <v>3</v>
      </c>
      <c r="C422" s="105">
        <v>0.0012765254570881364</v>
      </c>
      <c r="D422" s="80" t="s">
        <v>3896</v>
      </c>
      <c r="E422" s="80" t="b">
        <v>0</v>
      </c>
      <c r="F422" s="80" t="b">
        <v>0</v>
      </c>
      <c r="G422" s="80" t="b">
        <v>0</v>
      </c>
    </row>
    <row r="423" spans="1:7" ht="15">
      <c r="A423" s="81" t="s">
        <v>3647</v>
      </c>
      <c r="B423" s="80">
        <v>3</v>
      </c>
      <c r="C423" s="105">
        <v>0.0012765254570881364</v>
      </c>
      <c r="D423" s="80" t="s">
        <v>3896</v>
      </c>
      <c r="E423" s="80" t="b">
        <v>0</v>
      </c>
      <c r="F423" s="80" t="b">
        <v>0</v>
      </c>
      <c r="G423" s="80" t="b">
        <v>0</v>
      </c>
    </row>
    <row r="424" spans="1:7" ht="15">
      <c r="A424" s="81" t="s">
        <v>3648</v>
      </c>
      <c r="B424" s="80">
        <v>3</v>
      </c>
      <c r="C424" s="105">
        <v>0.0012765254570881364</v>
      </c>
      <c r="D424" s="80" t="s">
        <v>3896</v>
      </c>
      <c r="E424" s="80" t="b">
        <v>0</v>
      </c>
      <c r="F424" s="80" t="b">
        <v>0</v>
      </c>
      <c r="G424" s="80" t="b">
        <v>0</v>
      </c>
    </row>
    <row r="425" spans="1:7" ht="15">
      <c r="A425" s="81" t="s">
        <v>3649</v>
      </c>
      <c r="B425" s="80">
        <v>3</v>
      </c>
      <c r="C425" s="105">
        <v>0.0012765254570881364</v>
      </c>
      <c r="D425" s="80" t="s">
        <v>3896</v>
      </c>
      <c r="E425" s="80" t="b">
        <v>0</v>
      </c>
      <c r="F425" s="80" t="b">
        <v>0</v>
      </c>
      <c r="G425" s="80" t="b">
        <v>0</v>
      </c>
    </row>
    <row r="426" spans="1:7" ht="15">
      <c r="A426" s="81" t="s">
        <v>3650</v>
      </c>
      <c r="B426" s="80">
        <v>3</v>
      </c>
      <c r="C426" s="105">
        <v>0.0012765254570881364</v>
      </c>
      <c r="D426" s="80" t="s">
        <v>3896</v>
      </c>
      <c r="E426" s="80" t="b">
        <v>0</v>
      </c>
      <c r="F426" s="80" t="b">
        <v>0</v>
      </c>
      <c r="G426" s="80" t="b">
        <v>0</v>
      </c>
    </row>
    <row r="427" spans="1:7" ht="15">
      <c r="A427" s="81" t="s">
        <v>3651</v>
      </c>
      <c r="B427" s="80">
        <v>3</v>
      </c>
      <c r="C427" s="105">
        <v>0.0012765254570881364</v>
      </c>
      <c r="D427" s="80" t="s">
        <v>3896</v>
      </c>
      <c r="E427" s="80" t="b">
        <v>0</v>
      </c>
      <c r="F427" s="80" t="b">
        <v>0</v>
      </c>
      <c r="G427" s="80" t="b">
        <v>0</v>
      </c>
    </row>
    <row r="428" spans="1:7" ht="15">
      <c r="A428" s="81" t="s">
        <v>3652</v>
      </c>
      <c r="B428" s="80">
        <v>3</v>
      </c>
      <c r="C428" s="105">
        <v>0.0012765254570881364</v>
      </c>
      <c r="D428" s="80" t="s">
        <v>3896</v>
      </c>
      <c r="E428" s="80" t="b">
        <v>0</v>
      </c>
      <c r="F428" s="80" t="b">
        <v>0</v>
      </c>
      <c r="G428" s="80" t="b">
        <v>0</v>
      </c>
    </row>
    <row r="429" spans="1:7" ht="15">
      <c r="A429" s="81" t="s">
        <v>3653</v>
      </c>
      <c r="B429" s="80">
        <v>3</v>
      </c>
      <c r="C429" s="105">
        <v>0.0012765254570881364</v>
      </c>
      <c r="D429" s="80" t="s">
        <v>3896</v>
      </c>
      <c r="E429" s="80" t="b">
        <v>0</v>
      </c>
      <c r="F429" s="80" t="b">
        <v>0</v>
      </c>
      <c r="G429" s="80" t="b">
        <v>0</v>
      </c>
    </row>
    <row r="430" spans="1:7" ht="15">
      <c r="A430" s="81" t="s">
        <v>3654</v>
      </c>
      <c r="B430" s="80">
        <v>3</v>
      </c>
      <c r="C430" s="105">
        <v>0.0012765254570881364</v>
      </c>
      <c r="D430" s="80" t="s">
        <v>3896</v>
      </c>
      <c r="E430" s="80" t="b">
        <v>0</v>
      </c>
      <c r="F430" s="80" t="b">
        <v>0</v>
      </c>
      <c r="G430" s="80" t="b">
        <v>0</v>
      </c>
    </row>
    <row r="431" spans="1:7" ht="15">
      <c r="A431" s="81" t="s">
        <v>3655</v>
      </c>
      <c r="B431" s="80">
        <v>3</v>
      </c>
      <c r="C431" s="105">
        <v>0.0012765254570881364</v>
      </c>
      <c r="D431" s="80" t="s">
        <v>3896</v>
      </c>
      <c r="E431" s="80" t="b">
        <v>0</v>
      </c>
      <c r="F431" s="80" t="b">
        <v>0</v>
      </c>
      <c r="G431" s="80" t="b">
        <v>0</v>
      </c>
    </row>
    <row r="432" spans="1:7" ht="15">
      <c r="A432" s="81" t="s">
        <v>3656</v>
      </c>
      <c r="B432" s="80">
        <v>3</v>
      </c>
      <c r="C432" s="105">
        <v>0.0012765254570881364</v>
      </c>
      <c r="D432" s="80" t="s">
        <v>3896</v>
      </c>
      <c r="E432" s="80" t="b">
        <v>0</v>
      </c>
      <c r="F432" s="80" t="b">
        <v>0</v>
      </c>
      <c r="G432" s="80" t="b">
        <v>0</v>
      </c>
    </row>
    <row r="433" spans="1:7" ht="15">
      <c r="A433" s="81" t="s">
        <v>3657</v>
      </c>
      <c r="B433" s="80">
        <v>3</v>
      </c>
      <c r="C433" s="105">
        <v>0.0012765254570881364</v>
      </c>
      <c r="D433" s="80" t="s">
        <v>3896</v>
      </c>
      <c r="E433" s="80" t="b">
        <v>0</v>
      </c>
      <c r="F433" s="80" t="b">
        <v>0</v>
      </c>
      <c r="G433" s="80" t="b">
        <v>0</v>
      </c>
    </row>
    <row r="434" spans="1:7" ht="15">
      <c r="A434" s="81" t="s">
        <v>3658</v>
      </c>
      <c r="B434" s="80">
        <v>3</v>
      </c>
      <c r="C434" s="105">
        <v>0.0012765254570881364</v>
      </c>
      <c r="D434" s="80" t="s">
        <v>3896</v>
      </c>
      <c r="E434" s="80" t="b">
        <v>0</v>
      </c>
      <c r="F434" s="80" t="b">
        <v>0</v>
      </c>
      <c r="G434" s="80" t="b">
        <v>0</v>
      </c>
    </row>
    <row r="435" spans="1:7" ht="15">
      <c r="A435" s="81" t="s">
        <v>3659</v>
      </c>
      <c r="B435" s="80">
        <v>3</v>
      </c>
      <c r="C435" s="105">
        <v>0.0012765254570881364</v>
      </c>
      <c r="D435" s="80" t="s">
        <v>3896</v>
      </c>
      <c r="E435" s="80" t="b">
        <v>0</v>
      </c>
      <c r="F435" s="80" t="b">
        <v>0</v>
      </c>
      <c r="G435" s="80" t="b">
        <v>0</v>
      </c>
    </row>
    <row r="436" spans="1:7" ht="15">
      <c r="A436" s="81" t="s">
        <v>3660</v>
      </c>
      <c r="B436" s="80">
        <v>3</v>
      </c>
      <c r="C436" s="105">
        <v>0.0012765254570881364</v>
      </c>
      <c r="D436" s="80" t="s">
        <v>3896</v>
      </c>
      <c r="E436" s="80" t="b">
        <v>0</v>
      </c>
      <c r="F436" s="80" t="b">
        <v>0</v>
      </c>
      <c r="G436" s="80" t="b">
        <v>0</v>
      </c>
    </row>
    <row r="437" spans="1:7" ht="15">
      <c r="A437" s="81" t="s">
        <v>3661</v>
      </c>
      <c r="B437" s="80">
        <v>3</v>
      </c>
      <c r="C437" s="105">
        <v>0.0012765254570881364</v>
      </c>
      <c r="D437" s="80" t="s">
        <v>3896</v>
      </c>
      <c r="E437" s="80" t="b">
        <v>0</v>
      </c>
      <c r="F437" s="80" t="b">
        <v>0</v>
      </c>
      <c r="G437" s="80" t="b">
        <v>0</v>
      </c>
    </row>
    <row r="438" spans="1:7" ht="15">
      <c r="A438" s="81" t="s">
        <v>3662</v>
      </c>
      <c r="B438" s="80">
        <v>3</v>
      </c>
      <c r="C438" s="105">
        <v>0.0012765254570881364</v>
      </c>
      <c r="D438" s="80" t="s">
        <v>3896</v>
      </c>
      <c r="E438" s="80" t="b">
        <v>0</v>
      </c>
      <c r="F438" s="80" t="b">
        <v>0</v>
      </c>
      <c r="G438" s="80" t="b">
        <v>0</v>
      </c>
    </row>
    <row r="439" spans="1:7" ht="15">
      <c r="A439" s="81" t="s">
        <v>3663</v>
      </c>
      <c r="B439" s="80">
        <v>3</v>
      </c>
      <c r="C439" s="105">
        <v>0.0012765254570881364</v>
      </c>
      <c r="D439" s="80" t="s">
        <v>3896</v>
      </c>
      <c r="E439" s="80" t="b">
        <v>0</v>
      </c>
      <c r="F439" s="80" t="b">
        <v>0</v>
      </c>
      <c r="G439" s="80" t="b">
        <v>0</v>
      </c>
    </row>
    <row r="440" spans="1:7" ht="15">
      <c r="A440" s="81" t="s">
        <v>3664</v>
      </c>
      <c r="B440" s="80">
        <v>3</v>
      </c>
      <c r="C440" s="105">
        <v>0.0012765254570881364</v>
      </c>
      <c r="D440" s="80" t="s">
        <v>3896</v>
      </c>
      <c r="E440" s="80" t="b">
        <v>0</v>
      </c>
      <c r="F440" s="80" t="b">
        <v>0</v>
      </c>
      <c r="G440" s="80" t="b">
        <v>0</v>
      </c>
    </row>
    <row r="441" spans="1:7" ht="15">
      <c r="A441" s="81" t="s">
        <v>3665</v>
      </c>
      <c r="B441" s="80">
        <v>3</v>
      </c>
      <c r="C441" s="105">
        <v>0.0012765254570881364</v>
      </c>
      <c r="D441" s="80" t="s">
        <v>3896</v>
      </c>
      <c r="E441" s="80" t="b">
        <v>0</v>
      </c>
      <c r="F441" s="80" t="b">
        <v>0</v>
      </c>
      <c r="G441" s="80" t="b">
        <v>0</v>
      </c>
    </row>
    <row r="442" spans="1:7" ht="15">
      <c r="A442" s="81" t="s">
        <v>3666</v>
      </c>
      <c r="B442" s="80">
        <v>3</v>
      </c>
      <c r="C442" s="105">
        <v>0.0012765254570881364</v>
      </c>
      <c r="D442" s="80" t="s">
        <v>3896</v>
      </c>
      <c r="E442" s="80" t="b">
        <v>0</v>
      </c>
      <c r="F442" s="80" t="b">
        <v>0</v>
      </c>
      <c r="G442" s="80" t="b">
        <v>0</v>
      </c>
    </row>
    <row r="443" spans="1:7" ht="15">
      <c r="A443" s="81" t="s">
        <v>3667</v>
      </c>
      <c r="B443" s="80">
        <v>3</v>
      </c>
      <c r="C443" s="105">
        <v>0.0012765254570881364</v>
      </c>
      <c r="D443" s="80" t="s">
        <v>3896</v>
      </c>
      <c r="E443" s="80" t="b">
        <v>0</v>
      </c>
      <c r="F443" s="80" t="b">
        <v>0</v>
      </c>
      <c r="G443" s="80" t="b">
        <v>0</v>
      </c>
    </row>
    <row r="444" spans="1:7" ht="15">
      <c r="A444" s="81" t="s">
        <v>3668</v>
      </c>
      <c r="B444" s="80">
        <v>3</v>
      </c>
      <c r="C444" s="105">
        <v>0.0012765254570881364</v>
      </c>
      <c r="D444" s="80" t="s">
        <v>3896</v>
      </c>
      <c r="E444" s="80" t="b">
        <v>0</v>
      </c>
      <c r="F444" s="80" t="b">
        <v>0</v>
      </c>
      <c r="G444" s="80" t="b">
        <v>0</v>
      </c>
    </row>
    <row r="445" spans="1:7" ht="15">
      <c r="A445" s="81" t="s">
        <v>3669</v>
      </c>
      <c r="B445" s="80">
        <v>3</v>
      </c>
      <c r="C445" s="105">
        <v>0.0012765254570881364</v>
      </c>
      <c r="D445" s="80" t="s">
        <v>3896</v>
      </c>
      <c r="E445" s="80" t="b">
        <v>0</v>
      </c>
      <c r="F445" s="80" t="b">
        <v>0</v>
      </c>
      <c r="G445" s="80" t="b">
        <v>0</v>
      </c>
    </row>
    <row r="446" spans="1:7" ht="15">
      <c r="A446" s="81" t="s">
        <v>3670</v>
      </c>
      <c r="B446" s="80">
        <v>3</v>
      </c>
      <c r="C446" s="105">
        <v>0.0012765254570881364</v>
      </c>
      <c r="D446" s="80" t="s">
        <v>3896</v>
      </c>
      <c r="E446" s="80" t="b">
        <v>0</v>
      </c>
      <c r="F446" s="80" t="b">
        <v>0</v>
      </c>
      <c r="G446" s="80" t="b">
        <v>0</v>
      </c>
    </row>
    <row r="447" spans="1:7" ht="15">
      <c r="A447" s="81" t="s">
        <v>3671</v>
      </c>
      <c r="B447" s="80">
        <v>3</v>
      </c>
      <c r="C447" s="105">
        <v>0.0012765254570881364</v>
      </c>
      <c r="D447" s="80" t="s">
        <v>3896</v>
      </c>
      <c r="E447" s="80" t="b">
        <v>0</v>
      </c>
      <c r="F447" s="80" t="b">
        <v>0</v>
      </c>
      <c r="G447" s="80" t="b">
        <v>0</v>
      </c>
    </row>
    <row r="448" spans="1:7" ht="15">
      <c r="A448" s="81" t="s">
        <v>3672</v>
      </c>
      <c r="B448" s="80">
        <v>2</v>
      </c>
      <c r="C448" s="105">
        <v>0.0009240081668555858</v>
      </c>
      <c r="D448" s="80" t="s">
        <v>3896</v>
      </c>
      <c r="E448" s="80" t="b">
        <v>0</v>
      </c>
      <c r="F448" s="80" t="b">
        <v>0</v>
      </c>
      <c r="G448" s="80" t="b">
        <v>0</v>
      </c>
    </row>
    <row r="449" spans="1:7" ht="15">
      <c r="A449" s="81" t="s">
        <v>3673</v>
      </c>
      <c r="B449" s="80">
        <v>2</v>
      </c>
      <c r="C449" s="105">
        <v>0.0009240081668555858</v>
      </c>
      <c r="D449" s="80" t="s">
        <v>3896</v>
      </c>
      <c r="E449" s="80" t="b">
        <v>0</v>
      </c>
      <c r="F449" s="80" t="b">
        <v>0</v>
      </c>
      <c r="G449" s="80" t="b">
        <v>0</v>
      </c>
    </row>
    <row r="450" spans="1:7" ht="15">
      <c r="A450" s="81" t="s">
        <v>3674</v>
      </c>
      <c r="B450" s="80">
        <v>2</v>
      </c>
      <c r="C450" s="105">
        <v>0.0009240081668555858</v>
      </c>
      <c r="D450" s="80" t="s">
        <v>3896</v>
      </c>
      <c r="E450" s="80" t="b">
        <v>0</v>
      </c>
      <c r="F450" s="80" t="b">
        <v>0</v>
      </c>
      <c r="G450" s="80" t="b">
        <v>0</v>
      </c>
    </row>
    <row r="451" spans="1:7" ht="15">
      <c r="A451" s="81" t="s">
        <v>3675</v>
      </c>
      <c r="B451" s="80">
        <v>2</v>
      </c>
      <c r="C451" s="105">
        <v>0.0009240081668555858</v>
      </c>
      <c r="D451" s="80" t="s">
        <v>3896</v>
      </c>
      <c r="E451" s="80" t="b">
        <v>0</v>
      </c>
      <c r="F451" s="80" t="b">
        <v>0</v>
      </c>
      <c r="G451" s="80" t="b">
        <v>0</v>
      </c>
    </row>
    <row r="452" spans="1:7" ht="15">
      <c r="A452" s="81" t="s">
        <v>3676</v>
      </c>
      <c r="B452" s="80">
        <v>2</v>
      </c>
      <c r="C452" s="105">
        <v>0.0009240081668555858</v>
      </c>
      <c r="D452" s="80" t="s">
        <v>3896</v>
      </c>
      <c r="E452" s="80" t="b">
        <v>0</v>
      </c>
      <c r="F452" s="80" t="b">
        <v>0</v>
      </c>
      <c r="G452" s="80" t="b">
        <v>0</v>
      </c>
    </row>
    <row r="453" spans="1:7" ht="15">
      <c r="A453" s="81" t="s">
        <v>3677</v>
      </c>
      <c r="B453" s="80">
        <v>2</v>
      </c>
      <c r="C453" s="105">
        <v>0.0009240081668555858</v>
      </c>
      <c r="D453" s="80" t="s">
        <v>3896</v>
      </c>
      <c r="E453" s="80" t="b">
        <v>0</v>
      </c>
      <c r="F453" s="80" t="b">
        <v>0</v>
      </c>
      <c r="G453" s="80" t="b">
        <v>0</v>
      </c>
    </row>
    <row r="454" spans="1:7" ht="15">
      <c r="A454" s="81" t="s">
        <v>3678</v>
      </c>
      <c r="B454" s="80">
        <v>2</v>
      </c>
      <c r="C454" s="105">
        <v>0.0009240081668555858</v>
      </c>
      <c r="D454" s="80" t="s">
        <v>3896</v>
      </c>
      <c r="E454" s="80" t="b">
        <v>0</v>
      </c>
      <c r="F454" s="80" t="b">
        <v>0</v>
      </c>
      <c r="G454" s="80" t="b">
        <v>0</v>
      </c>
    </row>
    <row r="455" spans="1:7" ht="15">
      <c r="A455" s="81" t="s">
        <v>3679</v>
      </c>
      <c r="B455" s="80">
        <v>2</v>
      </c>
      <c r="C455" s="105">
        <v>0.0009240081668555858</v>
      </c>
      <c r="D455" s="80" t="s">
        <v>3896</v>
      </c>
      <c r="E455" s="80" t="b">
        <v>0</v>
      </c>
      <c r="F455" s="80" t="b">
        <v>0</v>
      </c>
      <c r="G455" s="80" t="b">
        <v>0</v>
      </c>
    </row>
    <row r="456" spans="1:7" ht="15">
      <c r="A456" s="81" t="s">
        <v>3680</v>
      </c>
      <c r="B456" s="80">
        <v>2</v>
      </c>
      <c r="C456" s="105">
        <v>0.0009240081668555858</v>
      </c>
      <c r="D456" s="80" t="s">
        <v>3896</v>
      </c>
      <c r="E456" s="80" t="b">
        <v>0</v>
      </c>
      <c r="F456" s="80" t="b">
        <v>0</v>
      </c>
      <c r="G456" s="80" t="b">
        <v>0</v>
      </c>
    </row>
    <row r="457" spans="1:7" ht="15">
      <c r="A457" s="81" t="s">
        <v>3681</v>
      </c>
      <c r="B457" s="80">
        <v>2</v>
      </c>
      <c r="C457" s="105">
        <v>0.0009240081668555858</v>
      </c>
      <c r="D457" s="80" t="s">
        <v>3896</v>
      </c>
      <c r="E457" s="80" t="b">
        <v>0</v>
      </c>
      <c r="F457" s="80" t="b">
        <v>0</v>
      </c>
      <c r="G457" s="80" t="b">
        <v>0</v>
      </c>
    </row>
    <row r="458" spans="1:7" ht="15">
      <c r="A458" s="81" t="s">
        <v>3682</v>
      </c>
      <c r="B458" s="80">
        <v>2</v>
      </c>
      <c r="C458" s="105">
        <v>0.0009240081668555858</v>
      </c>
      <c r="D458" s="80" t="s">
        <v>3896</v>
      </c>
      <c r="E458" s="80" t="b">
        <v>0</v>
      </c>
      <c r="F458" s="80" t="b">
        <v>0</v>
      </c>
      <c r="G458" s="80" t="b">
        <v>0</v>
      </c>
    </row>
    <row r="459" spans="1:7" ht="15">
      <c r="A459" s="81" t="s">
        <v>3683</v>
      </c>
      <c r="B459" s="80">
        <v>2</v>
      </c>
      <c r="C459" s="105">
        <v>0.0010487874396696714</v>
      </c>
      <c r="D459" s="80" t="s">
        <v>3896</v>
      </c>
      <c r="E459" s="80" t="b">
        <v>0</v>
      </c>
      <c r="F459" s="80" t="b">
        <v>0</v>
      </c>
      <c r="G459" s="80" t="b">
        <v>0</v>
      </c>
    </row>
    <row r="460" spans="1:7" ht="15">
      <c r="A460" s="81" t="s">
        <v>3684</v>
      </c>
      <c r="B460" s="80">
        <v>2</v>
      </c>
      <c r="C460" s="105">
        <v>0.0009240081668555858</v>
      </c>
      <c r="D460" s="80" t="s">
        <v>3896</v>
      </c>
      <c r="E460" s="80" t="b">
        <v>0</v>
      </c>
      <c r="F460" s="80" t="b">
        <v>0</v>
      </c>
      <c r="G460" s="80" t="b">
        <v>0</v>
      </c>
    </row>
    <row r="461" spans="1:7" ht="15">
      <c r="A461" s="81" t="s">
        <v>3685</v>
      </c>
      <c r="B461" s="80">
        <v>2</v>
      </c>
      <c r="C461" s="105">
        <v>0.0009240081668555858</v>
      </c>
      <c r="D461" s="80" t="s">
        <v>3896</v>
      </c>
      <c r="E461" s="80" t="b">
        <v>0</v>
      </c>
      <c r="F461" s="80" t="b">
        <v>0</v>
      </c>
      <c r="G461" s="80" t="b">
        <v>0</v>
      </c>
    </row>
    <row r="462" spans="1:7" ht="15">
      <c r="A462" s="81" t="s">
        <v>3686</v>
      </c>
      <c r="B462" s="80">
        <v>2</v>
      </c>
      <c r="C462" s="105">
        <v>0.0009240081668555858</v>
      </c>
      <c r="D462" s="80" t="s">
        <v>3896</v>
      </c>
      <c r="E462" s="80" t="b">
        <v>0</v>
      </c>
      <c r="F462" s="80" t="b">
        <v>0</v>
      </c>
      <c r="G462" s="80" t="b">
        <v>0</v>
      </c>
    </row>
    <row r="463" spans="1:7" ht="15">
      <c r="A463" s="81" t="s">
        <v>3687</v>
      </c>
      <c r="B463" s="80">
        <v>2</v>
      </c>
      <c r="C463" s="105">
        <v>0.0009240081668555858</v>
      </c>
      <c r="D463" s="80" t="s">
        <v>3896</v>
      </c>
      <c r="E463" s="80" t="b">
        <v>0</v>
      </c>
      <c r="F463" s="80" t="b">
        <v>0</v>
      </c>
      <c r="G463" s="80" t="b">
        <v>0</v>
      </c>
    </row>
    <row r="464" spans="1:7" ht="15">
      <c r="A464" s="81" t="s">
        <v>3688</v>
      </c>
      <c r="B464" s="80">
        <v>2</v>
      </c>
      <c r="C464" s="105">
        <v>0.0009240081668555858</v>
      </c>
      <c r="D464" s="80" t="s">
        <v>3896</v>
      </c>
      <c r="E464" s="80" t="b">
        <v>0</v>
      </c>
      <c r="F464" s="80" t="b">
        <v>0</v>
      </c>
      <c r="G464" s="80" t="b">
        <v>0</v>
      </c>
    </row>
    <row r="465" spans="1:7" ht="15">
      <c r="A465" s="81" t="s">
        <v>3689</v>
      </c>
      <c r="B465" s="80">
        <v>2</v>
      </c>
      <c r="C465" s="105">
        <v>0.0009240081668555858</v>
      </c>
      <c r="D465" s="80" t="s">
        <v>3896</v>
      </c>
      <c r="E465" s="80" t="b">
        <v>0</v>
      </c>
      <c r="F465" s="80" t="b">
        <v>0</v>
      </c>
      <c r="G465" s="80" t="b">
        <v>0</v>
      </c>
    </row>
    <row r="466" spans="1:7" ht="15">
      <c r="A466" s="81" t="s">
        <v>3690</v>
      </c>
      <c r="B466" s="80">
        <v>2</v>
      </c>
      <c r="C466" s="105">
        <v>0.0009240081668555858</v>
      </c>
      <c r="D466" s="80" t="s">
        <v>3896</v>
      </c>
      <c r="E466" s="80" t="b">
        <v>0</v>
      </c>
      <c r="F466" s="80" t="b">
        <v>0</v>
      </c>
      <c r="G466" s="80" t="b">
        <v>0</v>
      </c>
    </row>
    <row r="467" spans="1:7" ht="15">
      <c r="A467" s="81" t="s">
        <v>3691</v>
      </c>
      <c r="B467" s="80">
        <v>2</v>
      </c>
      <c r="C467" s="105">
        <v>0.0009240081668555858</v>
      </c>
      <c r="D467" s="80" t="s">
        <v>3896</v>
      </c>
      <c r="E467" s="80" t="b">
        <v>0</v>
      </c>
      <c r="F467" s="80" t="b">
        <v>0</v>
      </c>
      <c r="G467" s="80" t="b">
        <v>0</v>
      </c>
    </row>
    <row r="468" spans="1:7" ht="15">
      <c r="A468" s="81" t="s">
        <v>3692</v>
      </c>
      <c r="B468" s="80">
        <v>2</v>
      </c>
      <c r="C468" s="105">
        <v>0.0010487874396696714</v>
      </c>
      <c r="D468" s="80" t="s">
        <v>3896</v>
      </c>
      <c r="E468" s="80" t="b">
        <v>0</v>
      </c>
      <c r="F468" s="80" t="b">
        <v>0</v>
      </c>
      <c r="G468" s="80" t="b">
        <v>0</v>
      </c>
    </row>
    <row r="469" spans="1:7" ht="15">
      <c r="A469" s="81" t="s">
        <v>3693</v>
      </c>
      <c r="B469" s="80">
        <v>2</v>
      </c>
      <c r="C469" s="105">
        <v>0.0009240081668555858</v>
      </c>
      <c r="D469" s="80" t="s">
        <v>3896</v>
      </c>
      <c r="E469" s="80" t="b">
        <v>0</v>
      </c>
      <c r="F469" s="80" t="b">
        <v>0</v>
      </c>
      <c r="G469" s="80" t="b">
        <v>0</v>
      </c>
    </row>
    <row r="470" spans="1:7" ht="15">
      <c r="A470" s="81" t="s">
        <v>3694</v>
      </c>
      <c r="B470" s="80">
        <v>2</v>
      </c>
      <c r="C470" s="105">
        <v>0.0009240081668555858</v>
      </c>
      <c r="D470" s="80" t="s">
        <v>3896</v>
      </c>
      <c r="E470" s="80" t="b">
        <v>0</v>
      </c>
      <c r="F470" s="80" t="b">
        <v>0</v>
      </c>
      <c r="G470" s="80" t="b">
        <v>0</v>
      </c>
    </row>
    <row r="471" spans="1:7" ht="15">
      <c r="A471" s="81" t="s">
        <v>3695</v>
      </c>
      <c r="B471" s="80">
        <v>2</v>
      </c>
      <c r="C471" s="105">
        <v>0.0009240081668555858</v>
      </c>
      <c r="D471" s="80" t="s">
        <v>3896</v>
      </c>
      <c r="E471" s="80" t="b">
        <v>0</v>
      </c>
      <c r="F471" s="80" t="b">
        <v>0</v>
      </c>
      <c r="G471" s="80" t="b">
        <v>0</v>
      </c>
    </row>
    <row r="472" spans="1:7" ht="15">
      <c r="A472" s="81" t="s">
        <v>545</v>
      </c>
      <c r="B472" s="80">
        <v>2</v>
      </c>
      <c r="C472" s="105">
        <v>0.0009240081668555858</v>
      </c>
      <c r="D472" s="80" t="s">
        <v>3896</v>
      </c>
      <c r="E472" s="80" t="b">
        <v>0</v>
      </c>
      <c r="F472" s="80" t="b">
        <v>0</v>
      </c>
      <c r="G472" s="80" t="b">
        <v>0</v>
      </c>
    </row>
    <row r="473" spans="1:7" ht="15">
      <c r="A473" s="81" t="s">
        <v>3696</v>
      </c>
      <c r="B473" s="80">
        <v>2</v>
      </c>
      <c r="C473" s="105">
        <v>0.0009240081668555858</v>
      </c>
      <c r="D473" s="80" t="s">
        <v>3896</v>
      </c>
      <c r="E473" s="80" t="b">
        <v>0</v>
      </c>
      <c r="F473" s="80" t="b">
        <v>0</v>
      </c>
      <c r="G473" s="80" t="b">
        <v>0</v>
      </c>
    </row>
    <row r="474" spans="1:7" ht="15">
      <c r="A474" s="81" t="s">
        <v>3697</v>
      </c>
      <c r="B474" s="80">
        <v>2</v>
      </c>
      <c r="C474" s="105">
        <v>0.0009240081668555858</v>
      </c>
      <c r="D474" s="80" t="s">
        <v>3896</v>
      </c>
      <c r="E474" s="80" t="b">
        <v>0</v>
      </c>
      <c r="F474" s="80" t="b">
        <v>0</v>
      </c>
      <c r="G474" s="80" t="b">
        <v>0</v>
      </c>
    </row>
    <row r="475" spans="1:7" ht="15">
      <c r="A475" s="81" t="s">
        <v>3698</v>
      </c>
      <c r="B475" s="80">
        <v>2</v>
      </c>
      <c r="C475" s="105">
        <v>0.0009240081668555858</v>
      </c>
      <c r="D475" s="80" t="s">
        <v>3896</v>
      </c>
      <c r="E475" s="80" t="b">
        <v>0</v>
      </c>
      <c r="F475" s="80" t="b">
        <v>0</v>
      </c>
      <c r="G475" s="80" t="b">
        <v>0</v>
      </c>
    </row>
    <row r="476" spans="1:7" ht="15">
      <c r="A476" s="81" t="s">
        <v>3699</v>
      </c>
      <c r="B476" s="80">
        <v>2</v>
      </c>
      <c r="C476" s="105">
        <v>0.0009240081668555858</v>
      </c>
      <c r="D476" s="80" t="s">
        <v>3896</v>
      </c>
      <c r="E476" s="80" t="b">
        <v>0</v>
      </c>
      <c r="F476" s="80" t="b">
        <v>0</v>
      </c>
      <c r="G476" s="80" t="b">
        <v>0</v>
      </c>
    </row>
    <row r="477" spans="1:7" ht="15">
      <c r="A477" s="81" t="s">
        <v>3700</v>
      </c>
      <c r="B477" s="80">
        <v>2</v>
      </c>
      <c r="C477" s="105">
        <v>0.0009240081668555858</v>
      </c>
      <c r="D477" s="80" t="s">
        <v>3896</v>
      </c>
      <c r="E477" s="80" t="b">
        <v>0</v>
      </c>
      <c r="F477" s="80" t="b">
        <v>0</v>
      </c>
      <c r="G477" s="80" t="b">
        <v>0</v>
      </c>
    </row>
    <row r="478" spans="1:7" ht="15">
      <c r="A478" s="81" t="s">
        <v>3701</v>
      </c>
      <c r="B478" s="80">
        <v>2</v>
      </c>
      <c r="C478" s="105">
        <v>0.0009240081668555858</v>
      </c>
      <c r="D478" s="80" t="s">
        <v>3896</v>
      </c>
      <c r="E478" s="80" t="b">
        <v>0</v>
      </c>
      <c r="F478" s="80" t="b">
        <v>0</v>
      </c>
      <c r="G478" s="80" t="b">
        <v>0</v>
      </c>
    </row>
    <row r="479" spans="1:7" ht="15">
      <c r="A479" s="81" t="s">
        <v>3702</v>
      </c>
      <c r="B479" s="80">
        <v>2</v>
      </c>
      <c r="C479" s="105">
        <v>0.0009240081668555858</v>
      </c>
      <c r="D479" s="80" t="s">
        <v>3896</v>
      </c>
      <c r="E479" s="80" t="b">
        <v>0</v>
      </c>
      <c r="F479" s="80" t="b">
        <v>0</v>
      </c>
      <c r="G479" s="80" t="b">
        <v>0</v>
      </c>
    </row>
    <row r="480" spans="1:7" ht="15">
      <c r="A480" s="81" t="s">
        <v>3703</v>
      </c>
      <c r="B480" s="80">
        <v>2</v>
      </c>
      <c r="C480" s="105">
        <v>0.0009240081668555858</v>
      </c>
      <c r="D480" s="80" t="s">
        <v>3896</v>
      </c>
      <c r="E480" s="80" t="b">
        <v>0</v>
      </c>
      <c r="F480" s="80" t="b">
        <v>0</v>
      </c>
      <c r="G480" s="80" t="b">
        <v>0</v>
      </c>
    </row>
    <row r="481" spans="1:7" ht="15">
      <c r="A481" s="81" t="s">
        <v>3704</v>
      </c>
      <c r="B481" s="80">
        <v>2</v>
      </c>
      <c r="C481" s="105">
        <v>0.0009240081668555858</v>
      </c>
      <c r="D481" s="80" t="s">
        <v>3896</v>
      </c>
      <c r="E481" s="80" t="b">
        <v>0</v>
      </c>
      <c r="F481" s="80" t="b">
        <v>0</v>
      </c>
      <c r="G481" s="80" t="b">
        <v>0</v>
      </c>
    </row>
    <row r="482" spans="1:7" ht="15">
      <c r="A482" s="81" t="s">
        <v>3705</v>
      </c>
      <c r="B482" s="80">
        <v>2</v>
      </c>
      <c r="C482" s="105">
        <v>0.0009240081668555858</v>
      </c>
      <c r="D482" s="80" t="s">
        <v>3896</v>
      </c>
      <c r="E482" s="80" t="b">
        <v>0</v>
      </c>
      <c r="F482" s="80" t="b">
        <v>0</v>
      </c>
      <c r="G482" s="80" t="b">
        <v>0</v>
      </c>
    </row>
    <row r="483" spans="1:7" ht="15">
      <c r="A483" s="81" t="s">
        <v>3706</v>
      </c>
      <c r="B483" s="80">
        <v>2</v>
      </c>
      <c r="C483" s="105">
        <v>0.0009240081668555858</v>
      </c>
      <c r="D483" s="80" t="s">
        <v>3896</v>
      </c>
      <c r="E483" s="80" t="b">
        <v>0</v>
      </c>
      <c r="F483" s="80" t="b">
        <v>0</v>
      </c>
      <c r="G483" s="80" t="b">
        <v>0</v>
      </c>
    </row>
    <row r="484" spans="1:7" ht="15">
      <c r="A484" s="81" t="s">
        <v>3707</v>
      </c>
      <c r="B484" s="80">
        <v>2</v>
      </c>
      <c r="C484" s="105">
        <v>0.0009240081668555858</v>
      </c>
      <c r="D484" s="80" t="s">
        <v>3896</v>
      </c>
      <c r="E484" s="80" t="b">
        <v>0</v>
      </c>
      <c r="F484" s="80" t="b">
        <v>0</v>
      </c>
      <c r="G484" s="80" t="b">
        <v>0</v>
      </c>
    </row>
    <row r="485" spans="1:7" ht="15">
      <c r="A485" s="81" t="s">
        <v>3708</v>
      </c>
      <c r="B485" s="80">
        <v>2</v>
      </c>
      <c r="C485" s="105">
        <v>0.0009240081668555858</v>
      </c>
      <c r="D485" s="80" t="s">
        <v>3896</v>
      </c>
      <c r="E485" s="80" t="b">
        <v>0</v>
      </c>
      <c r="F485" s="80" t="b">
        <v>0</v>
      </c>
      <c r="G485" s="80" t="b">
        <v>0</v>
      </c>
    </row>
    <row r="486" spans="1:7" ht="15">
      <c r="A486" s="81" t="s">
        <v>3709</v>
      </c>
      <c r="B486" s="80">
        <v>2</v>
      </c>
      <c r="C486" s="105">
        <v>0.0009240081668555858</v>
      </c>
      <c r="D486" s="80" t="s">
        <v>3896</v>
      </c>
      <c r="E486" s="80" t="b">
        <v>0</v>
      </c>
      <c r="F486" s="80" t="b">
        <v>0</v>
      </c>
      <c r="G486" s="80" t="b">
        <v>0</v>
      </c>
    </row>
    <row r="487" spans="1:7" ht="15">
      <c r="A487" s="81" t="s">
        <v>3710</v>
      </c>
      <c r="B487" s="80">
        <v>2</v>
      </c>
      <c r="C487" s="105">
        <v>0.0009240081668555858</v>
      </c>
      <c r="D487" s="80" t="s">
        <v>3896</v>
      </c>
      <c r="E487" s="80" t="b">
        <v>0</v>
      </c>
      <c r="F487" s="80" t="b">
        <v>0</v>
      </c>
      <c r="G487" s="80" t="b">
        <v>0</v>
      </c>
    </row>
    <row r="488" spans="1:7" ht="15">
      <c r="A488" s="81" t="s">
        <v>3711</v>
      </c>
      <c r="B488" s="80">
        <v>2</v>
      </c>
      <c r="C488" s="105">
        <v>0.0009240081668555858</v>
      </c>
      <c r="D488" s="80" t="s">
        <v>3896</v>
      </c>
      <c r="E488" s="80" t="b">
        <v>0</v>
      </c>
      <c r="F488" s="80" t="b">
        <v>0</v>
      </c>
      <c r="G488" s="80" t="b">
        <v>0</v>
      </c>
    </row>
    <row r="489" spans="1:7" ht="15">
      <c r="A489" s="81" t="s">
        <v>3712</v>
      </c>
      <c r="B489" s="80">
        <v>2</v>
      </c>
      <c r="C489" s="105">
        <v>0.0009240081668555858</v>
      </c>
      <c r="D489" s="80" t="s">
        <v>3896</v>
      </c>
      <c r="E489" s="80" t="b">
        <v>0</v>
      </c>
      <c r="F489" s="80" t="b">
        <v>0</v>
      </c>
      <c r="G489" s="80" t="b">
        <v>0</v>
      </c>
    </row>
    <row r="490" spans="1:7" ht="15">
      <c r="A490" s="81" t="s">
        <v>3713</v>
      </c>
      <c r="B490" s="80">
        <v>2</v>
      </c>
      <c r="C490" s="105">
        <v>0.0009240081668555858</v>
      </c>
      <c r="D490" s="80" t="s">
        <v>3896</v>
      </c>
      <c r="E490" s="80" t="b">
        <v>0</v>
      </c>
      <c r="F490" s="80" t="b">
        <v>0</v>
      </c>
      <c r="G490" s="80" t="b">
        <v>0</v>
      </c>
    </row>
    <row r="491" spans="1:7" ht="15">
      <c r="A491" s="81" t="s">
        <v>3714</v>
      </c>
      <c r="B491" s="80">
        <v>2</v>
      </c>
      <c r="C491" s="105">
        <v>0.0009240081668555858</v>
      </c>
      <c r="D491" s="80" t="s">
        <v>3896</v>
      </c>
      <c r="E491" s="80" t="b">
        <v>0</v>
      </c>
      <c r="F491" s="80" t="b">
        <v>0</v>
      </c>
      <c r="G491" s="80" t="b">
        <v>0</v>
      </c>
    </row>
    <row r="492" spans="1:7" ht="15">
      <c r="A492" s="81" t="s">
        <v>3715</v>
      </c>
      <c r="B492" s="80">
        <v>2</v>
      </c>
      <c r="C492" s="105">
        <v>0.0009240081668555858</v>
      </c>
      <c r="D492" s="80" t="s">
        <v>3896</v>
      </c>
      <c r="E492" s="80" t="b">
        <v>0</v>
      </c>
      <c r="F492" s="80" t="b">
        <v>0</v>
      </c>
      <c r="G492" s="80" t="b">
        <v>0</v>
      </c>
    </row>
    <row r="493" spans="1:7" ht="15">
      <c r="A493" s="81" t="s">
        <v>3716</v>
      </c>
      <c r="B493" s="80">
        <v>2</v>
      </c>
      <c r="C493" s="105">
        <v>0.0009240081668555858</v>
      </c>
      <c r="D493" s="80" t="s">
        <v>3896</v>
      </c>
      <c r="E493" s="80" t="b">
        <v>0</v>
      </c>
      <c r="F493" s="80" t="b">
        <v>0</v>
      </c>
      <c r="G493" s="80" t="b">
        <v>0</v>
      </c>
    </row>
    <row r="494" spans="1:7" ht="15">
      <c r="A494" s="81" t="s">
        <v>3717</v>
      </c>
      <c r="B494" s="80">
        <v>2</v>
      </c>
      <c r="C494" s="105">
        <v>0.0009240081668555858</v>
      </c>
      <c r="D494" s="80" t="s">
        <v>3896</v>
      </c>
      <c r="E494" s="80" t="b">
        <v>0</v>
      </c>
      <c r="F494" s="80" t="b">
        <v>0</v>
      </c>
      <c r="G494" s="80" t="b">
        <v>0</v>
      </c>
    </row>
    <row r="495" spans="1:7" ht="15">
      <c r="A495" s="81" t="s">
        <v>3718</v>
      </c>
      <c r="B495" s="80">
        <v>2</v>
      </c>
      <c r="C495" s="105">
        <v>0.0009240081668555858</v>
      </c>
      <c r="D495" s="80" t="s">
        <v>3896</v>
      </c>
      <c r="E495" s="80" t="b">
        <v>0</v>
      </c>
      <c r="F495" s="80" t="b">
        <v>0</v>
      </c>
      <c r="G495" s="80" t="b">
        <v>0</v>
      </c>
    </row>
    <row r="496" spans="1:7" ht="15">
      <c r="A496" s="81" t="s">
        <v>3719</v>
      </c>
      <c r="B496" s="80">
        <v>2</v>
      </c>
      <c r="C496" s="105">
        <v>0.0009240081668555858</v>
      </c>
      <c r="D496" s="80" t="s">
        <v>3896</v>
      </c>
      <c r="E496" s="80" t="b">
        <v>0</v>
      </c>
      <c r="F496" s="80" t="b">
        <v>0</v>
      </c>
      <c r="G496" s="80" t="b">
        <v>0</v>
      </c>
    </row>
    <row r="497" spans="1:7" ht="15">
      <c r="A497" s="81" t="s">
        <v>3720</v>
      </c>
      <c r="B497" s="80">
        <v>2</v>
      </c>
      <c r="C497" s="105">
        <v>0.0010487874396696714</v>
      </c>
      <c r="D497" s="80" t="s">
        <v>3896</v>
      </c>
      <c r="E497" s="80" t="b">
        <v>0</v>
      </c>
      <c r="F497" s="80" t="b">
        <v>0</v>
      </c>
      <c r="G497" s="80" t="b">
        <v>0</v>
      </c>
    </row>
    <row r="498" spans="1:7" ht="15">
      <c r="A498" s="81" t="s">
        <v>3721</v>
      </c>
      <c r="B498" s="80">
        <v>2</v>
      </c>
      <c r="C498" s="105">
        <v>0.0010487874396696714</v>
      </c>
      <c r="D498" s="80" t="s">
        <v>3896</v>
      </c>
      <c r="E498" s="80" t="b">
        <v>0</v>
      </c>
      <c r="F498" s="80" t="b">
        <v>0</v>
      </c>
      <c r="G498" s="80" t="b">
        <v>0</v>
      </c>
    </row>
    <row r="499" spans="1:7" ht="15">
      <c r="A499" s="81" t="s">
        <v>3722</v>
      </c>
      <c r="B499" s="80">
        <v>2</v>
      </c>
      <c r="C499" s="105">
        <v>0.0009240081668555858</v>
      </c>
      <c r="D499" s="80" t="s">
        <v>3896</v>
      </c>
      <c r="E499" s="80" t="b">
        <v>0</v>
      </c>
      <c r="F499" s="80" t="b">
        <v>0</v>
      </c>
      <c r="G499" s="80" t="b">
        <v>0</v>
      </c>
    </row>
    <row r="500" spans="1:7" ht="15">
      <c r="A500" s="81" t="s">
        <v>3723</v>
      </c>
      <c r="B500" s="80">
        <v>2</v>
      </c>
      <c r="C500" s="105">
        <v>0.0009240081668555858</v>
      </c>
      <c r="D500" s="80" t="s">
        <v>3896</v>
      </c>
      <c r="E500" s="80" t="b">
        <v>0</v>
      </c>
      <c r="F500" s="80" t="b">
        <v>0</v>
      </c>
      <c r="G500" s="80" t="b">
        <v>0</v>
      </c>
    </row>
    <row r="501" spans="1:7" ht="15">
      <c r="A501" s="81" t="s">
        <v>3724</v>
      </c>
      <c r="B501" s="80">
        <v>2</v>
      </c>
      <c r="C501" s="105">
        <v>0.0009240081668555858</v>
      </c>
      <c r="D501" s="80" t="s">
        <v>3896</v>
      </c>
      <c r="E501" s="80" t="b">
        <v>0</v>
      </c>
      <c r="F501" s="80" t="b">
        <v>0</v>
      </c>
      <c r="G501" s="80" t="b">
        <v>0</v>
      </c>
    </row>
    <row r="502" spans="1:7" ht="15">
      <c r="A502" s="81" t="s">
        <v>446</v>
      </c>
      <c r="B502" s="80">
        <v>2</v>
      </c>
      <c r="C502" s="105">
        <v>0.0009240081668555858</v>
      </c>
      <c r="D502" s="80" t="s">
        <v>3896</v>
      </c>
      <c r="E502" s="80" t="b">
        <v>0</v>
      </c>
      <c r="F502" s="80" t="b">
        <v>0</v>
      </c>
      <c r="G502" s="80" t="b">
        <v>0</v>
      </c>
    </row>
    <row r="503" spans="1:7" ht="15">
      <c r="A503" s="81" t="s">
        <v>3725</v>
      </c>
      <c r="B503" s="80">
        <v>2</v>
      </c>
      <c r="C503" s="105">
        <v>0.0009240081668555858</v>
      </c>
      <c r="D503" s="80" t="s">
        <v>3896</v>
      </c>
      <c r="E503" s="80" t="b">
        <v>0</v>
      </c>
      <c r="F503" s="80" t="b">
        <v>0</v>
      </c>
      <c r="G503" s="80" t="b">
        <v>0</v>
      </c>
    </row>
    <row r="504" spans="1:7" ht="15">
      <c r="A504" s="81" t="s">
        <v>3726</v>
      </c>
      <c r="B504" s="80">
        <v>2</v>
      </c>
      <c r="C504" s="105">
        <v>0.0010487874396696714</v>
      </c>
      <c r="D504" s="80" t="s">
        <v>3896</v>
      </c>
      <c r="E504" s="80" t="b">
        <v>0</v>
      </c>
      <c r="F504" s="80" t="b">
        <v>0</v>
      </c>
      <c r="G504" s="80" t="b">
        <v>0</v>
      </c>
    </row>
    <row r="505" spans="1:7" ht="15">
      <c r="A505" s="81" t="s">
        <v>3727</v>
      </c>
      <c r="B505" s="80">
        <v>2</v>
      </c>
      <c r="C505" s="105">
        <v>0.0010487874396696714</v>
      </c>
      <c r="D505" s="80" t="s">
        <v>3896</v>
      </c>
      <c r="E505" s="80" t="b">
        <v>0</v>
      </c>
      <c r="F505" s="80" t="b">
        <v>0</v>
      </c>
      <c r="G505" s="80" t="b">
        <v>0</v>
      </c>
    </row>
    <row r="506" spans="1:7" ht="15">
      <c r="A506" s="81" t="s">
        <v>3728</v>
      </c>
      <c r="B506" s="80">
        <v>2</v>
      </c>
      <c r="C506" s="105">
        <v>0.0009240081668555858</v>
      </c>
      <c r="D506" s="80" t="s">
        <v>3896</v>
      </c>
      <c r="E506" s="80" t="b">
        <v>0</v>
      </c>
      <c r="F506" s="80" t="b">
        <v>0</v>
      </c>
      <c r="G506" s="80" t="b">
        <v>0</v>
      </c>
    </row>
    <row r="507" spans="1:7" ht="15">
      <c r="A507" s="81" t="s">
        <v>3729</v>
      </c>
      <c r="B507" s="80">
        <v>2</v>
      </c>
      <c r="C507" s="105">
        <v>0.0009240081668555858</v>
      </c>
      <c r="D507" s="80" t="s">
        <v>3896</v>
      </c>
      <c r="E507" s="80" t="b">
        <v>0</v>
      </c>
      <c r="F507" s="80" t="b">
        <v>0</v>
      </c>
      <c r="G507" s="80" t="b">
        <v>0</v>
      </c>
    </row>
    <row r="508" spans="1:7" ht="15">
      <c r="A508" s="81" t="s">
        <v>3730</v>
      </c>
      <c r="B508" s="80">
        <v>2</v>
      </c>
      <c r="C508" s="105">
        <v>0.0009240081668555858</v>
      </c>
      <c r="D508" s="80" t="s">
        <v>3896</v>
      </c>
      <c r="E508" s="80" t="b">
        <v>0</v>
      </c>
      <c r="F508" s="80" t="b">
        <v>0</v>
      </c>
      <c r="G508" s="80" t="b">
        <v>0</v>
      </c>
    </row>
    <row r="509" spans="1:7" ht="15">
      <c r="A509" s="81" t="s">
        <v>3731</v>
      </c>
      <c r="B509" s="80">
        <v>2</v>
      </c>
      <c r="C509" s="105">
        <v>0.0009240081668555858</v>
      </c>
      <c r="D509" s="80" t="s">
        <v>3896</v>
      </c>
      <c r="E509" s="80" t="b">
        <v>0</v>
      </c>
      <c r="F509" s="80" t="b">
        <v>0</v>
      </c>
      <c r="G509" s="80" t="b">
        <v>0</v>
      </c>
    </row>
    <row r="510" spans="1:7" ht="15">
      <c r="A510" s="81" t="s">
        <v>3732</v>
      </c>
      <c r="B510" s="80">
        <v>2</v>
      </c>
      <c r="C510" s="105">
        <v>0.0009240081668555858</v>
      </c>
      <c r="D510" s="80" t="s">
        <v>3896</v>
      </c>
      <c r="E510" s="80" t="b">
        <v>0</v>
      </c>
      <c r="F510" s="80" t="b">
        <v>0</v>
      </c>
      <c r="G510" s="80" t="b">
        <v>0</v>
      </c>
    </row>
    <row r="511" spans="1:7" ht="15">
      <c r="A511" s="81" t="s">
        <v>3733</v>
      </c>
      <c r="B511" s="80">
        <v>2</v>
      </c>
      <c r="C511" s="105">
        <v>0.0009240081668555858</v>
      </c>
      <c r="D511" s="80" t="s">
        <v>3896</v>
      </c>
      <c r="E511" s="80" t="b">
        <v>0</v>
      </c>
      <c r="F511" s="80" t="b">
        <v>0</v>
      </c>
      <c r="G511" s="80" t="b">
        <v>0</v>
      </c>
    </row>
    <row r="512" spans="1:7" ht="15">
      <c r="A512" s="81" t="s">
        <v>3734</v>
      </c>
      <c r="B512" s="80">
        <v>2</v>
      </c>
      <c r="C512" s="105">
        <v>0.0009240081668555858</v>
      </c>
      <c r="D512" s="80" t="s">
        <v>3896</v>
      </c>
      <c r="E512" s="80" t="b">
        <v>0</v>
      </c>
      <c r="F512" s="80" t="b">
        <v>0</v>
      </c>
      <c r="G512" s="80" t="b">
        <v>0</v>
      </c>
    </row>
    <row r="513" spans="1:7" ht="15">
      <c r="A513" s="81" t="s">
        <v>3735</v>
      </c>
      <c r="B513" s="80">
        <v>2</v>
      </c>
      <c r="C513" s="105">
        <v>0.0009240081668555858</v>
      </c>
      <c r="D513" s="80" t="s">
        <v>3896</v>
      </c>
      <c r="E513" s="80" t="b">
        <v>0</v>
      </c>
      <c r="F513" s="80" t="b">
        <v>0</v>
      </c>
      <c r="G513" s="80" t="b">
        <v>0</v>
      </c>
    </row>
    <row r="514" spans="1:7" ht="15">
      <c r="A514" s="81" t="s">
        <v>3736</v>
      </c>
      <c r="B514" s="80">
        <v>2</v>
      </c>
      <c r="C514" s="105">
        <v>0.0009240081668555858</v>
      </c>
      <c r="D514" s="80" t="s">
        <v>3896</v>
      </c>
      <c r="E514" s="80" t="b">
        <v>0</v>
      </c>
      <c r="F514" s="80" t="b">
        <v>0</v>
      </c>
      <c r="G514" s="80" t="b">
        <v>0</v>
      </c>
    </row>
    <row r="515" spans="1:7" ht="15">
      <c r="A515" s="81" t="s">
        <v>3737</v>
      </c>
      <c r="B515" s="80">
        <v>2</v>
      </c>
      <c r="C515" s="105">
        <v>0.0010487874396696714</v>
      </c>
      <c r="D515" s="80" t="s">
        <v>3896</v>
      </c>
      <c r="E515" s="80" t="b">
        <v>0</v>
      </c>
      <c r="F515" s="80" t="b">
        <v>0</v>
      </c>
      <c r="G515" s="80" t="b">
        <v>0</v>
      </c>
    </row>
    <row r="516" spans="1:7" ht="15">
      <c r="A516" s="81" t="s">
        <v>512</v>
      </c>
      <c r="B516" s="80">
        <v>2</v>
      </c>
      <c r="C516" s="105">
        <v>0.0009240081668555858</v>
      </c>
      <c r="D516" s="80" t="s">
        <v>3896</v>
      </c>
      <c r="E516" s="80" t="b">
        <v>0</v>
      </c>
      <c r="F516" s="80" t="b">
        <v>0</v>
      </c>
      <c r="G516" s="80" t="b">
        <v>0</v>
      </c>
    </row>
    <row r="517" spans="1:7" ht="15">
      <c r="A517" s="81" t="s">
        <v>3738</v>
      </c>
      <c r="B517" s="80">
        <v>2</v>
      </c>
      <c r="C517" s="105">
        <v>0.0009240081668555858</v>
      </c>
      <c r="D517" s="80" t="s">
        <v>3896</v>
      </c>
      <c r="E517" s="80" t="b">
        <v>1</v>
      </c>
      <c r="F517" s="80" t="b">
        <v>0</v>
      </c>
      <c r="G517" s="80" t="b">
        <v>0</v>
      </c>
    </row>
    <row r="518" spans="1:7" ht="15">
      <c r="A518" s="81" t="s">
        <v>3739</v>
      </c>
      <c r="B518" s="80">
        <v>2</v>
      </c>
      <c r="C518" s="105">
        <v>0.0009240081668555858</v>
      </c>
      <c r="D518" s="80" t="s">
        <v>3896</v>
      </c>
      <c r="E518" s="80" t="b">
        <v>0</v>
      </c>
      <c r="F518" s="80" t="b">
        <v>0</v>
      </c>
      <c r="G518" s="80" t="b">
        <v>0</v>
      </c>
    </row>
    <row r="519" spans="1:7" ht="15">
      <c r="A519" s="81" t="s">
        <v>3740</v>
      </c>
      <c r="B519" s="80">
        <v>2</v>
      </c>
      <c r="C519" s="105">
        <v>0.0009240081668555858</v>
      </c>
      <c r="D519" s="80" t="s">
        <v>3896</v>
      </c>
      <c r="E519" s="80" t="b">
        <v>0</v>
      </c>
      <c r="F519" s="80" t="b">
        <v>0</v>
      </c>
      <c r="G519" s="80" t="b">
        <v>0</v>
      </c>
    </row>
    <row r="520" spans="1:7" ht="15">
      <c r="A520" s="81" t="s">
        <v>3741</v>
      </c>
      <c r="B520" s="80">
        <v>2</v>
      </c>
      <c r="C520" s="105">
        <v>0.0009240081668555858</v>
      </c>
      <c r="D520" s="80" t="s">
        <v>3896</v>
      </c>
      <c r="E520" s="80" t="b">
        <v>0</v>
      </c>
      <c r="F520" s="80" t="b">
        <v>0</v>
      </c>
      <c r="G520" s="80" t="b">
        <v>0</v>
      </c>
    </row>
    <row r="521" spans="1:7" ht="15">
      <c r="A521" s="81" t="s">
        <v>3742</v>
      </c>
      <c r="B521" s="80">
        <v>2</v>
      </c>
      <c r="C521" s="105">
        <v>0.0009240081668555858</v>
      </c>
      <c r="D521" s="80" t="s">
        <v>3896</v>
      </c>
      <c r="E521" s="80" t="b">
        <v>0</v>
      </c>
      <c r="F521" s="80" t="b">
        <v>0</v>
      </c>
      <c r="G521" s="80" t="b">
        <v>0</v>
      </c>
    </row>
    <row r="522" spans="1:7" ht="15">
      <c r="A522" s="81" t="s">
        <v>3743</v>
      </c>
      <c r="B522" s="80">
        <v>2</v>
      </c>
      <c r="C522" s="105">
        <v>0.0009240081668555858</v>
      </c>
      <c r="D522" s="80" t="s">
        <v>3896</v>
      </c>
      <c r="E522" s="80" t="b">
        <v>0</v>
      </c>
      <c r="F522" s="80" t="b">
        <v>0</v>
      </c>
      <c r="G522" s="80" t="b">
        <v>0</v>
      </c>
    </row>
    <row r="523" spans="1:7" ht="15">
      <c r="A523" s="81" t="s">
        <v>3744</v>
      </c>
      <c r="B523" s="80">
        <v>2</v>
      </c>
      <c r="C523" s="105">
        <v>0.0009240081668555858</v>
      </c>
      <c r="D523" s="80" t="s">
        <v>3896</v>
      </c>
      <c r="E523" s="80" t="b">
        <v>0</v>
      </c>
      <c r="F523" s="80" t="b">
        <v>0</v>
      </c>
      <c r="G523" s="80" t="b">
        <v>0</v>
      </c>
    </row>
    <row r="524" spans="1:7" ht="15">
      <c r="A524" s="81" t="s">
        <v>3745</v>
      </c>
      <c r="B524" s="80">
        <v>2</v>
      </c>
      <c r="C524" s="105">
        <v>0.0009240081668555858</v>
      </c>
      <c r="D524" s="80" t="s">
        <v>3896</v>
      </c>
      <c r="E524" s="80" t="b">
        <v>0</v>
      </c>
      <c r="F524" s="80" t="b">
        <v>0</v>
      </c>
      <c r="G524" s="80" t="b">
        <v>0</v>
      </c>
    </row>
    <row r="525" spans="1:7" ht="15">
      <c r="A525" s="81" t="s">
        <v>3746</v>
      </c>
      <c r="B525" s="80">
        <v>2</v>
      </c>
      <c r="C525" s="105">
        <v>0.0009240081668555858</v>
      </c>
      <c r="D525" s="80" t="s">
        <v>3896</v>
      </c>
      <c r="E525" s="80" t="b">
        <v>0</v>
      </c>
      <c r="F525" s="80" t="b">
        <v>0</v>
      </c>
      <c r="G525" s="80" t="b">
        <v>0</v>
      </c>
    </row>
    <row r="526" spans="1:7" ht="15">
      <c r="A526" s="81" t="s">
        <v>3747</v>
      </c>
      <c r="B526" s="80">
        <v>2</v>
      </c>
      <c r="C526" s="105">
        <v>0.0009240081668555858</v>
      </c>
      <c r="D526" s="80" t="s">
        <v>3896</v>
      </c>
      <c r="E526" s="80" t="b">
        <v>0</v>
      </c>
      <c r="F526" s="80" t="b">
        <v>0</v>
      </c>
      <c r="G526" s="80" t="b">
        <v>0</v>
      </c>
    </row>
    <row r="527" spans="1:7" ht="15">
      <c r="A527" s="81" t="s">
        <v>3748</v>
      </c>
      <c r="B527" s="80">
        <v>2</v>
      </c>
      <c r="C527" s="105">
        <v>0.0009240081668555858</v>
      </c>
      <c r="D527" s="80" t="s">
        <v>3896</v>
      </c>
      <c r="E527" s="80" t="b">
        <v>0</v>
      </c>
      <c r="F527" s="80" t="b">
        <v>0</v>
      </c>
      <c r="G527" s="80" t="b">
        <v>0</v>
      </c>
    </row>
    <row r="528" spans="1:7" ht="15">
      <c r="A528" s="81" t="s">
        <v>3749</v>
      </c>
      <c r="B528" s="80">
        <v>2</v>
      </c>
      <c r="C528" s="105">
        <v>0.0009240081668555858</v>
      </c>
      <c r="D528" s="80" t="s">
        <v>3896</v>
      </c>
      <c r="E528" s="80" t="b">
        <v>0</v>
      </c>
      <c r="F528" s="80" t="b">
        <v>0</v>
      </c>
      <c r="G528" s="80" t="b">
        <v>0</v>
      </c>
    </row>
    <row r="529" spans="1:7" ht="15">
      <c r="A529" s="81" t="s">
        <v>3750</v>
      </c>
      <c r="B529" s="80">
        <v>2</v>
      </c>
      <c r="C529" s="105">
        <v>0.0009240081668555858</v>
      </c>
      <c r="D529" s="80" t="s">
        <v>3896</v>
      </c>
      <c r="E529" s="80" t="b">
        <v>0</v>
      </c>
      <c r="F529" s="80" t="b">
        <v>0</v>
      </c>
      <c r="G529" s="80" t="b">
        <v>0</v>
      </c>
    </row>
    <row r="530" spans="1:7" ht="15">
      <c r="A530" s="81" t="s">
        <v>3751</v>
      </c>
      <c r="B530" s="80">
        <v>2</v>
      </c>
      <c r="C530" s="105">
        <v>0.0009240081668555858</v>
      </c>
      <c r="D530" s="80" t="s">
        <v>3896</v>
      </c>
      <c r="E530" s="80" t="b">
        <v>0</v>
      </c>
      <c r="F530" s="80" t="b">
        <v>0</v>
      </c>
      <c r="G530" s="80" t="b">
        <v>0</v>
      </c>
    </row>
    <row r="531" spans="1:7" ht="15">
      <c r="A531" s="81" t="s">
        <v>3752</v>
      </c>
      <c r="B531" s="80">
        <v>2</v>
      </c>
      <c r="C531" s="105">
        <v>0.0009240081668555858</v>
      </c>
      <c r="D531" s="80" t="s">
        <v>3896</v>
      </c>
      <c r="E531" s="80" t="b">
        <v>0</v>
      </c>
      <c r="F531" s="80" t="b">
        <v>0</v>
      </c>
      <c r="G531" s="80" t="b">
        <v>0</v>
      </c>
    </row>
    <row r="532" spans="1:7" ht="15">
      <c r="A532" s="81" t="s">
        <v>3753</v>
      </c>
      <c r="B532" s="80">
        <v>2</v>
      </c>
      <c r="C532" s="105">
        <v>0.0009240081668555858</v>
      </c>
      <c r="D532" s="80" t="s">
        <v>3896</v>
      </c>
      <c r="E532" s="80" t="b">
        <v>0</v>
      </c>
      <c r="F532" s="80" t="b">
        <v>0</v>
      </c>
      <c r="G532" s="80" t="b">
        <v>0</v>
      </c>
    </row>
    <row r="533" spans="1:7" ht="15">
      <c r="A533" s="81" t="s">
        <v>3754</v>
      </c>
      <c r="B533" s="80">
        <v>2</v>
      </c>
      <c r="C533" s="105">
        <v>0.0009240081668555858</v>
      </c>
      <c r="D533" s="80" t="s">
        <v>3896</v>
      </c>
      <c r="E533" s="80" t="b">
        <v>0</v>
      </c>
      <c r="F533" s="80" t="b">
        <v>0</v>
      </c>
      <c r="G533" s="80" t="b">
        <v>0</v>
      </c>
    </row>
    <row r="534" spans="1:7" ht="15">
      <c r="A534" s="81" t="s">
        <v>3755</v>
      </c>
      <c r="B534" s="80">
        <v>2</v>
      </c>
      <c r="C534" s="105">
        <v>0.0009240081668555858</v>
      </c>
      <c r="D534" s="80" t="s">
        <v>3896</v>
      </c>
      <c r="E534" s="80" t="b">
        <v>0</v>
      </c>
      <c r="F534" s="80" t="b">
        <v>0</v>
      </c>
      <c r="G534" s="80" t="b">
        <v>0</v>
      </c>
    </row>
    <row r="535" spans="1:7" ht="15">
      <c r="A535" s="81" t="s">
        <v>3756</v>
      </c>
      <c r="B535" s="80">
        <v>2</v>
      </c>
      <c r="C535" s="105">
        <v>0.0009240081668555858</v>
      </c>
      <c r="D535" s="80" t="s">
        <v>3896</v>
      </c>
      <c r="E535" s="80" t="b">
        <v>0</v>
      </c>
      <c r="F535" s="80" t="b">
        <v>0</v>
      </c>
      <c r="G535" s="80" t="b">
        <v>0</v>
      </c>
    </row>
    <row r="536" spans="1:7" ht="15">
      <c r="A536" s="81" t="s">
        <v>3757</v>
      </c>
      <c r="B536" s="80">
        <v>2</v>
      </c>
      <c r="C536" s="105">
        <v>0.0009240081668555858</v>
      </c>
      <c r="D536" s="80" t="s">
        <v>3896</v>
      </c>
      <c r="E536" s="80" t="b">
        <v>0</v>
      </c>
      <c r="F536" s="80" t="b">
        <v>0</v>
      </c>
      <c r="G536" s="80" t="b">
        <v>0</v>
      </c>
    </row>
    <row r="537" spans="1:7" ht="15">
      <c r="A537" s="81" t="s">
        <v>3758</v>
      </c>
      <c r="B537" s="80">
        <v>2</v>
      </c>
      <c r="C537" s="105">
        <v>0.0009240081668555858</v>
      </c>
      <c r="D537" s="80" t="s">
        <v>3896</v>
      </c>
      <c r="E537" s="80" t="b">
        <v>0</v>
      </c>
      <c r="F537" s="80" t="b">
        <v>0</v>
      </c>
      <c r="G537" s="80" t="b">
        <v>0</v>
      </c>
    </row>
    <row r="538" spans="1:7" ht="15">
      <c r="A538" s="81" t="s">
        <v>3759</v>
      </c>
      <c r="B538" s="80">
        <v>2</v>
      </c>
      <c r="C538" s="105">
        <v>0.0009240081668555858</v>
      </c>
      <c r="D538" s="80" t="s">
        <v>3896</v>
      </c>
      <c r="E538" s="80" t="b">
        <v>0</v>
      </c>
      <c r="F538" s="80" t="b">
        <v>0</v>
      </c>
      <c r="G538" s="80" t="b">
        <v>0</v>
      </c>
    </row>
    <row r="539" spans="1:7" ht="15">
      <c r="A539" s="81" t="s">
        <v>3760</v>
      </c>
      <c r="B539" s="80">
        <v>2</v>
      </c>
      <c r="C539" s="105">
        <v>0.0009240081668555858</v>
      </c>
      <c r="D539" s="80" t="s">
        <v>3896</v>
      </c>
      <c r="E539" s="80" t="b">
        <v>0</v>
      </c>
      <c r="F539" s="80" t="b">
        <v>0</v>
      </c>
      <c r="G539" s="80" t="b">
        <v>0</v>
      </c>
    </row>
    <row r="540" spans="1:7" ht="15">
      <c r="A540" s="81" t="s">
        <v>3761</v>
      </c>
      <c r="B540" s="80">
        <v>2</v>
      </c>
      <c r="C540" s="105">
        <v>0.0009240081668555858</v>
      </c>
      <c r="D540" s="80" t="s">
        <v>3896</v>
      </c>
      <c r="E540" s="80" t="b">
        <v>0</v>
      </c>
      <c r="F540" s="80" t="b">
        <v>0</v>
      </c>
      <c r="G540" s="80" t="b">
        <v>0</v>
      </c>
    </row>
    <row r="541" spans="1:7" ht="15">
      <c r="A541" s="81" t="s">
        <v>3762</v>
      </c>
      <c r="B541" s="80">
        <v>2</v>
      </c>
      <c r="C541" s="105">
        <v>0.0009240081668555858</v>
      </c>
      <c r="D541" s="80" t="s">
        <v>3896</v>
      </c>
      <c r="E541" s="80" t="b">
        <v>0</v>
      </c>
      <c r="F541" s="80" t="b">
        <v>0</v>
      </c>
      <c r="G541" s="80" t="b">
        <v>0</v>
      </c>
    </row>
    <row r="542" spans="1:7" ht="15">
      <c r="A542" s="81" t="s">
        <v>3763</v>
      </c>
      <c r="B542" s="80">
        <v>2</v>
      </c>
      <c r="C542" s="105">
        <v>0.0009240081668555858</v>
      </c>
      <c r="D542" s="80" t="s">
        <v>3896</v>
      </c>
      <c r="E542" s="80" t="b">
        <v>0</v>
      </c>
      <c r="F542" s="80" t="b">
        <v>0</v>
      </c>
      <c r="G542" s="80" t="b">
        <v>0</v>
      </c>
    </row>
    <row r="543" spans="1:7" ht="15">
      <c r="A543" s="81" t="s">
        <v>3764</v>
      </c>
      <c r="B543" s="80">
        <v>2</v>
      </c>
      <c r="C543" s="105">
        <v>0.0009240081668555858</v>
      </c>
      <c r="D543" s="80" t="s">
        <v>3896</v>
      </c>
      <c r="E543" s="80" t="b">
        <v>0</v>
      </c>
      <c r="F543" s="80" t="b">
        <v>0</v>
      </c>
      <c r="G543" s="80" t="b">
        <v>0</v>
      </c>
    </row>
    <row r="544" spans="1:7" ht="15">
      <c r="A544" s="81" t="s">
        <v>3765</v>
      </c>
      <c r="B544" s="80">
        <v>2</v>
      </c>
      <c r="C544" s="105">
        <v>0.0009240081668555858</v>
      </c>
      <c r="D544" s="80" t="s">
        <v>3896</v>
      </c>
      <c r="E544" s="80" t="b">
        <v>0</v>
      </c>
      <c r="F544" s="80" t="b">
        <v>0</v>
      </c>
      <c r="G544" s="80" t="b">
        <v>0</v>
      </c>
    </row>
    <row r="545" spans="1:7" ht="15">
      <c r="A545" s="81" t="s">
        <v>3766</v>
      </c>
      <c r="B545" s="80">
        <v>2</v>
      </c>
      <c r="C545" s="105">
        <v>0.0009240081668555858</v>
      </c>
      <c r="D545" s="80" t="s">
        <v>3896</v>
      </c>
      <c r="E545" s="80" t="b">
        <v>0</v>
      </c>
      <c r="F545" s="80" t="b">
        <v>0</v>
      </c>
      <c r="G545" s="80" t="b">
        <v>0</v>
      </c>
    </row>
    <row r="546" spans="1:7" ht="15">
      <c r="A546" s="81" t="s">
        <v>3767</v>
      </c>
      <c r="B546" s="80">
        <v>2</v>
      </c>
      <c r="C546" s="105">
        <v>0.0009240081668555858</v>
      </c>
      <c r="D546" s="80" t="s">
        <v>3896</v>
      </c>
      <c r="E546" s="80" t="b">
        <v>0</v>
      </c>
      <c r="F546" s="80" t="b">
        <v>0</v>
      </c>
      <c r="G546" s="80" t="b">
        <v>0</v>
      </c>
    </row>
    <row r="547" spans="1:7" ht="15">
      <c r="A547" s="81" t="s">
        <v>478</v>
      </c>
      <c r="B547" s="80">
        <v>2</v>
      </c>
      <c r="C547" s="105">
        <v>0.0009240081668555858</v>
      </c>
      <c r="D547" s="80" t="s">
        <v>3896</v>
      </c>
      <c r="E547" s="80" t="b">
        <v>0</v>
      </c>
      <c r="F547" s="80" t="b">
        <v>0</v>
      </c>
      <c r="G547" s="80" t="b">
        <v>0</v>
      </c>
    </row>
    <row r="548" spans="1:7" ht="15">
      <c r="A548" s="81" t="s">
        <v>3768</v>
      </c>
      <c r="B548" s="80">
        <v>2</v>
      </c>
      <c r="C548" s="105">
        <v>0.0009240081668555858</v>
      </c>
      <c r="D548" s="80" t="s">
        <v>3896</v>
      </c>
      <c r="E548" s="80" t="b">
        <v>0</v>
      </c>
      <c r="F548" s="80" t="b">
        <v>0</v>
      </c>
      <c r="G548" s="80" t="b">
        <v>0</v>
      </c>
    </row>
    <row r="549" spans="1:7" ht="15">
      <c r="A549" s="81" t="s">
        <v>3769</v>
      </c>
      <c r="B549" s="80">
        <v>2</v>
      </c>
      <c r="C549" s="105">
        <v>0.0010487874396696714</v>
      </c>
      <c r="D549" s="80" t="s">
        <v>3896</v>
      </c>
      <c r="E549" s="80" t="b">
        <v>0</v>
      </c>
      <c r="F549" s="80" t="b">
        <v>0</v>
      </c>
      <c r="G549" s="80" t="b">
        <v>0</v>
      </c>
    </row>
    <row r="550" spans="1:7" ht="15">
      <c r="A550" s="81" t="s">
        <v>3770</v>
      </c>
      <c r="B550" s="80">
        <v>2</v>
      </c>
      <c r="C550" s="105">
        <v>0.0009240081668555858</v>
      </c>
      <c r="D550" s="80" t="s">
        <v>3896</v>
      </c>
      <c r="E550" s="80" t="b">
        <v>0</v>
      </c>
      <c r="F550" s="80" t="b">
        <v>0</v>
      </c>
      <c r="G550" s="80" t="b">
        <v>0</v>
      </c>
    </row>
    <row r="551" spans="1:7" ht="15">
      <c r="A551" s="81" t="s">
        <v>3771</v>
      </c>
      <c r="B551" s="80">
        <v>2</v>
      </c>
      <c r="C551" s="105">
        <v>0.0010487874396696714</v>
      </c>
      <c r="D551" s="80" t="s">
        <v>3896</v>
      </c>
      <c r="E551" s="80" t="b">
        <v>0</v>
      </c>
      <c r="F551" s="80" t="b">
        <v>0</v>
      </c>
      <c r="G551" s="80" t="b">
        <v>0</v>
      </c>
    </row>
    <row r="552" spans="1:7" ht="15">
      <c r="A552" s="81" t="s">
        <v>3772</v>
      </c>
      <c r="B552" s="80">
        <v>2</v>
      </c>
      <c r="C552" s="105">
        <v>0.0010487874396696714</v>
      </c>
      <c r="D552" s="80" t="s">
        <v>3896</v>
      </c>
      <c r="E552" s="80" t="b">
        <v>0</v>
      </c>
      <c r="F552" s="80" t="b">
        <v>0</v>
      </c>
      <c r="G552" s="80" t="b">
        <v>0</v>
      </c>
    </row>
    <row r="553" spans="1:7" ht="15">
      <c r="A553" s="81" t="s">
        <v>3773</v>
      </c>
      <c r="B553" s="80">
        <v>2</v>
      </c>
      <c r="C553" s="105">
        <v>0.0009240081668555858</v>
      </c>
      <c r="D553" s="80" t="s">
        <v>3896</v>
      </c>
      <c r="E553" s="80" t="b">
        <v>0</v>
      </c>
      <c r="F553" s="80" t="b">
        <v>0</v>
      </c>
      <c r="G553" s="80" t="b">
        <v>0</v>
      </c>
    </row>
    <row r="554" spans="1:7" ht="15">
      <c r="A554" s="81" t="s">
        <v>3774</v>
      </c>
      <c r="B554" s="80">
        <v>2</v>
      </c>
      <c r="C554" s="105">
        <v>0.0010487874396696714</v>
      </c>
      <c r="D554" s="80" t="s">
        <v>3896</v>
      </c>
      <c r="E554" s="80" t="b">
        <v>0</v>
      </c>
      <c r="F554" s="80" t="b">
        <v>0</v>
      </c>
      <c r="G554" s="80" t="b">
        <v>0</v>
      </c>
    </row>
    <row r="555" spans="1:7" ht="15">
      <c r="A555" s="81" t="s">
        <v>3775</v>
      </c>
      <c r="B555" s="80">
        <v>2</v>
      </c>
      <c r="C555" s="105">
        <v>0.0009240081668555858</v>
      </c>
      <c r="D555" s="80" t="s">
        <v>3896</v>
      </c>
      <c r="E555" s="80" t="b">
        <v>0</v>
      </c>
      <c r="F555" s="80" t="b">
        <v>0</v>
      </c>
      <c r="G555" s="80" t="b">
        <v>0</v>
      </c>
    </row>
    <row r="556" spans="1:7" ht="15">
      <c r="A556" s="81" t="s">
        <v>3776</v>
      </c>
      <c r="B556" s="80">
        <v>2</v>
      </c>
      <c r="C556" s="105">
        <v>0.0009240081668555858</v>
      </c>
      <c r="D556" s="80" t="s">
        <v>3896</v>
      </c>
      <c r="E556" s="80" t="b">
        <v>0</v>
      </c>
      <c r="F556" s="80" t="b">
        <v>0</v>
      </c>
      <c r="G556" s="80" t="b">
        <v>0</v>
      </c>
    </row>
    <row r="557" spans="1:7" ht="15">
      <c r="A557" s="81" t="s">
        <v>3777</v>
      </c>
      <c r="B557" s="80">
        <v>2</v>
      </c>
      <c r="C557" s="105">
        <v>0.0009240081668555858</v>
      </c>
      <c r="D557" s="80" t="s">
        <v>3896</v>
      </c>
      <c r="E557" s="80" t="b">
        <v>0</v>
      </c>
      <c r="F557" s="80" t="b">
        <v>0</v>
      </c>
      <c r="G557" s="80" t="b">
        <v>0</v>
      </c>
    </row>
    <row r="558" spans="1:7" ht="15">
      <c r="A558" s="81" t="s">
        <v>3778</v>
      </c>
      <c r="B558" s="80">
        <v>2</v>
      </c>
      <c r="C558" s="105">
        <v>0.0009240081668555858</v>
      </c>
      <c r="D558" s="80" t="s">
        <v>3896</v>
      </c>
      <c r="E558" s="80" t="b">
        <v>0</v>
      </c>
      <c r="F558" s="80" t="b">
        <v>0</v>
      </c>
      <c r="G558" s="80" t="b">
        <v>0</v>
      </c>
    </row>
    <row r="559" spans="1:7" ht="15">
      <c r="A559" s="81" t="s">
        <v>3779</v>
      </c>
      <c r="B559" s="80">
        <v>2</v>
      </c>
      <c r="C559" s="105">
        <v>0.0009240081668555858</v>
      </c>
      <c r="D559" s="80" t="s">
        <v>3896</v>
      </c>
      <c r="E559" s="80" t="b">
        <v>0</v>
      </c>
      <c r="F559" s="80" t="b">
        <v>0</v>
      </c>
      <c r="G559" s="80" t="b">
        <v>0</v>
      </c>
    </row>
    <row r="560" spans="1:7" ht="15">
      <c r="A560" s="81" t="s">
        <v>3780</v>
      </c>
      <c r="B560" s="80">
        <v>2</v>
      </c>
      <c r="C560" s="105">
        <v>0.0009240081668555858</v>
      </c>
      <c r="D560" s="80" t="s">
        <v>3896</v>
      </c>
      <c r="E560" s="80" t="b">
        <v>0</v>
      </c>
      <c r="F560" s="80" t="b">
        <v>0</v>
      </c>
      <c r="G560" s="80" t="b">
        <v>0</v>
      </c>
    </row>
    <row r="561" spans="1:7" ht="15">
      <c r="A561" s="81" t="s">
        <v>3781</v>
      </c>
      <c r="B561" s="80">
        <v>2</v>
      </c>
      <c r="C561" s="105">
        <v>0.0009240081668555858</v>
      </c>
      <c r="D561" s="80" t="s">
        <v>3896</v>
      </c>
      <c r="E561" s="80" t="b">
        <v>0</v>
      </c>
      <c r="F561" s="80" t="b">
        <v>1</v>
      </c>
      <c r="G561" s="80" t="b">
        <v>0</v>
      </c>
    </row>
    <row r="562" spans="1:7" ht="15">
      <c r="A562" s="81" t="s">
        <v>3782</v>
      </c>
      <c r="B562" s="80">
        <v>2</v>
      </c>
      <c r="C562" s="105">
        <v>0.0009240081668555858</v>
      </c>
      <c r="D562" s="80" t="s">
        <v>3896</v>
      </c>
      <c r="E562" s="80" t="b">
        <v>0</v>
      </c>
      <c r="F562" s="80" t="b">
        <v>0</v>
      </c>
      <c r="G562" s="80" t="b">
        <v>0</v>
      </c>
    </row>
    <row r="563" spans="1:7" ht="15">
      <c r="A563" s="81" t="s">
        <v>3783</v>
      </c>
      <c r="B563" s="80">
        <v>2</v>
      </c>
      <c r="C563" s="105">
        <v>0.0009240081668555858</v>
      </c>
      <c r="D563" s="80" t="s">
        <v>3896</v>
      </c>
      <c r="E563" s="80" t="b">
        <v>0</v>
      </c>
      <c r="F563" s="80" t="b">
        <v>1</v>
      </c>
      <c r="G563" s="80" t="b">
        <v>0</v>
      </c>
    </row>
    <row r="564" spans="1:7" ht="15">
      <c r="A564" s="81" t="s">
        <v>3784</v>
      </c>
      <c r="B564" s="80">
        <v>2</v>
      </c>
      <c r="C564" s="105">
        <v>0.0009240081668555858</v>
      </c>
      <c r="D564" s="80" t="s">
        <v>3896</v>
      </c>
      <c r="E564" s="80" t="b">
        <v>0</v>
      </c>
      <c r="F564" s="80" t="b">
        <v>1</v>
      </c>
      <c r="G564" s="80" t="b">
        <v>0</v>
      </c>
    </row>
    <row r="565" spans="1:7" ht="15">
      <c r="A565" s="81" t="s">
        <v>3785</v>
      </c>
      <c r="B565" s="80">
        <v>2</v>
      </c>
      <c r="C565" s="105">
        <v>0.0009240081668555858</v>
      </c>
      <c r="D565" s="80" t="s">
        <v>3896</v>
      </c>
      <c r="E565" s="80" t="b">
        <v>0</v>
      </c>
      <c r="F565" s="80" t="b">
        <v>0</v>
      </c>
      <c r="G565" s="80" t="b">
        <v>0</v>
      </c>
    </row>
    <row r="566" spans="1:7" ht="15">
      <c r="A566" s="81" t="s">
        <v>3786</v>
      </c>
      <c r="B566" s="80">
        <v>2</v>
      </c>
      <c r="C566" s="105">
        <v>0.0009240081668555858</v>
      </c>
      <c r="D566" s="80" t="s">
        <v>3896</v>
      </c>
      <c r="E566" s="80" t="b">
        <v>0</v>
      </c>
      <c r="F566" s="80" t="b">
        <v>0</v>
      </c>
      <c r="G566" s="80" t="b">
        <v>0</v>
      </c>
    </row>
    <row r="567" spans="1:7" ht="15">
      <c r="A567" s="81" t="s">
        <v>3787</v>
      </c>
      <c r="B567" s="80">
        <v>2</v>
      </c>
      <c r="C567" s="105">
        <v>0.0009240081668555858</v>
      </c>
      <c r="D567" s="80" t="s">
        <v>3896</v>
      </c>
      <c r="E567" s="80" t="b">
        <v>0</v>
      </c>
      <c r="F567" s="80" t="b">
        <v>0</v>
      </c>
      <c r="G567" s="80" t="b">
        <v>0</v>
      </c>
    </row>
    <row r="568" spans="1:7" ht="15">
      <c r="A568" s="81" t="s">
        <v>3788</v>
      </c>
      <c r="B568" s="80">
        <v>2</v>
      </c>
      <c r="C568" s="105">
        <v>0.0009240081668555858</v>
      </c>
      <c r="D568" s="80" t="s">
        <v>3896</v>
      </c>
      <c r="E568" s="80" t="b">
        <v>0</v>
      </c>
      <c r="F568" s="80" t="b">
        <v>0</v>
      </c>
      <c r="G568" s="80" t="b">
        <v>0</v>
      </c>
    </row>
    <row r="569" spans="1:7" ht="15">
      <c r="A569" s="81" t="s">
        <v>3789</v>
      </c>
      <c r="B569" s="80">
        <v>2</v>
      </c>
      <c r="C569" s="105">
        <v>0.0009240081668555858</v>
      </c>
      <c r="D569" s="80" t="s">
        <v>3896</v>
      </c>
      <c r="E569" s="80" t="b">
        <v>0</v>
      </c>
      <c r="F569" s="80" t="b">
        <v>0</v>
      </c>
      <c r="G569" s="80" t="b">
        <v>0</v>
      </c>
    </row>
    <row r="570" spans="1:7" ht="15">
      <c r="A570" s="81" t="s">
        <v>3790</v>
      </c>
      <c r="B570" s="80">
        <v>2</v>
      </c>
      <c r="C570" s="105">
        <v>0.0009240081668555858</v>
      </c>
      <c r="D570" s="80" t="s">
        <v>3896</v>
      </c>
      <c r="E570" s="80" t="b">
        <v>0</v>
      </c>
      <c r="F570" s="80" t="b">
        <v>0</v>
      </c>
      <c r="G570" s="80" t="b">
        <v>0</v>
      </c>
    </row>
    <row r="571" spans="1:7" ht="15">
      <c r="A571" s="81" t="s">
        <v>3791</v>
      </c>
      <c r="B571" s="80">
        <v>2</v>
      </c>
      <c r="C571" s="105">
        <v>0.0009240081668555858</v>
      </c>
      <c r="D571" s="80" t="s">
        <v>3896</v>
      </c>
      <c r="E571" s="80" t="b">
        <v>0</v>
      </c>
      <c r="F571" s="80" t="b">
        <v>0</v>
      </c>
      <c r="G571" s="80" t="b">
        <v>0</v>
      </c>
    </row>
    <row r="572" spans="1:7" ht="15">
      <c r="A572" s="81" t="s">
        <v>3792</v>
      </c>
      <c r="B572" s="80">
        <v>2</v>
      </c>
      <c r="C572" s="105">
        <v>0.0009240081668555858</v>
      </c>
      <c r="D572" s="80" t="s">
        <v>3896</v>
      </c>
      <c r="E572" s="80" t="b">
        <v>0</v>
      </c>
      <c r="F572" s="80" t="b">
        <v>0</v>
      </c>
      <c r="G572" s="80" t="b">
        <v>0</v>
      </c>
    </row>
    <row r="573" spans="1:7" ht="15">
      <c r="A573" s="81" t="s">
        <v>3793</v>
      </c>
      <c r="B573" s="80">
        <v>2</v>
      </c>
      <c r="C573" s="105">
        <v>0.0009240081668555858</v>
      </c>
      <c r="D573" s="80" t="s">
        <v>3896</v>
      </c>
      <c r="E573" s="80" t="b">
        <v>0</v>
      </c>
      <c r="F573" s="80" t="b">
        <v>0</v>
      </c>
      <c r="G573" s="80" t="b">
        <v>0</v>
      </c>
    </row>
    <row r="574" spans="1:7" ht="15">
      <c r="A574" s="81" t="s">
        <v>3794</v>
      </c>
      <c r="B574" s="80">
        <v>2</v>
      </c>
      <c r="C574" s="105">
        <v>0.0009240081668555858</v>
      </c>
      <c r="D574" s="80" t="s">
        <v>3896</v>
      </c>
      <c r="E574" s="80" t="b">
        <v>0</v>
      </c>
      <c r="F574" s="80" t="b">
        <v>0</v>
      </c>
      <c r="G574" s="80" t="b">
        <v>0</v>
      </c>
    </row>
    <row r="575" spans="1:7" ht="15">
      <c r="A575" s="81" t="s">
        <v>3795</v>
      </c>
      <c r="B575" s="80">
        <v>2</v>
      </c>
      <c r="C575" s="105">
        <v>0.0009240081668555858</v>
      </c>
      <c r="D575" s="80" t="s">
        <v>3896</v>
      </c>
      <c r="E575" s="80" t="b">
        <v>0</v>
      </c>
      <c r="F575" s="80" t="b">
        <v>0</v>
      </c>
      <c r="G575" s="80" t="b">
        <v>0</v>
      </c>
    </row>
    <row r="576" spans="1:7" ht="15">
      <c r="A576" s="81" t="s">
        <v>3796</v>
      </c>
      <c r="B576" s="80">
        <v>2</v>
      </c>
      <c r="C576" s="105">
        <v>0.0009240081668555858</v>
      </c>
      <c r="D576" s="80" t="s">
        <v>3896</v>
      </c>
      <c r="E576" s="80" t="b">
        <v>0</v>
      </c>
      <c r="F576" s="80" t="b">
        <v>0</v>
      </c>
      <c r="G576" s="80" t="b">
        <v>0</v>
      </c>
    </row>
    <row r="577" spans="1:7" ht="15">
      <c r="A577" s="81" t="s">
        <v>3797</v>
      </c>
      <c r="B577" s="80">
        <v>2</v>
      </c>
      <c r="C577" s="105">
        <v>0.0009240081668555858</v>
      </c>
      <c r="D577" s="80" t="s">
        <v>3896</v>
      </c>
      <c r="E577" s="80" t="b">
        <v>0</v>
      </c>
      <c r="F577" s="80" t="b">
        <v>0</v>
      </c>
      <c r="G577" s="80" t="b">
        <v>0</v>
      </c>
    </row>
    <row r="578" spans="1:7" ht="15">
      <c r="A578" s="81" t="s">
        <v>3798</v>
      </c>
      <c r="B578" s="80">
        <v>2</v>
      </c>
      <c r="C578" s="105">
        <v>0.0009240081668555858</v>
      </c>
      <c r="D578" s="80" t="s">
        <v>3896</v>
      </c>
      <c r="E578" s="80" t="b">
        <v>0</v>
      </c>
      <c r="F578" s="80" t="b">
        <v>0</v>
      </c>
      <c r="G578" s="80" t="b">
        <v>0</v>
      </c>
    </row>
    <row r="579" spans="1:7" ht="15">
      <c r="A579" s="81" t="s">
        <v>3799</v>
      </c>
      <c r="B579" s="80">
        <v>2</v>
      </c>
      <c r="C579" s="105">
        <v>0.0009240081668555858</v>
      </c>
      <c r="D579" s="80" t="s">
        <v>3896</v>
      </c>
      <c r="E579" s="80" t="b">
        <v>0</v>
      </c>
      <c r="F579" s="80" t="b">
        <v>0</v>
      </c>
      <c r="G579" s="80" t="b">
        <v>0</v>
      </c>
    </row>
    <row r="580" spans="1:7" ht="15">
      <c r="A580" s="81" t="s">
        <v>3800</v>
      </c>
      <c r="B580" s="80">
        <v>2</v>
      </c>
      <c r="C580" s="105">
        <v>0.0009240081668555858</v>
      </c>
      <c r="D580" s="80" t="s">
        <v>3896</v>
      </c>
      <c r="E580" s="80" t="b">
        <v>0</v>
      </c>
      <c r="F580" s="80" t="b">
        <v>0</v>
      </c>
      <c r="G580" s="80" t="b">
        <v>0</v>
      </c>
    </row>
    <row r="581" spans="1:7" ht="15">
      <c r="A581" s="81" t="s">
        <v>3801</v>
      </c>
      <c r="B581" s="80">
        <v>2</v>
      </c>
      <c r="C581" s="105">
        <v>0.0009240081668555858</v>
      </c>
      <c r="D581" s="80" t="s">
        <v>3896</v>
      </c>
      <c r="E581" s="80" t="b">
        <v>0</v>
      </c>
      <c r="F581" s="80" t="b">
        <v>0</v>
      </c>
      <c r="G581" s="80" t="b">
        <v>0</v>
      </c>
    </row>
    <row r="582" spans="1:7" ht="15">
      <c r="A582" s="81" t="s">
        <v>3802</v>
      </c>
      <c r="B582" s="80">
        <v>2</v>
      </c>
      <c r="C582" s="105">
        <v>0.0009240081668555858</v>
      </c>
      <c r="D582" s="80" t="s">
        <v>3896</v>
      </c>
      <c r="E582" s="80" t="b">
        <v>0</v>
      </c>
      <c r="F582" s="80" t="b">
        <v>0</v>
      </c>
      <c r="G582" s="80" t="b">
        <v>0</v>
      </c>
    </row>
    <row r="583" spans="1:7" ht="15">
      <c r="A583" s="81" t="s">
        <v>3803</v>
      </c>
      <c r="B583" s="80">
        <v>2</v>
      </c>
      <c r="C583" s="105">
        <v>0.0009240081668555858</v>
      </c>
      <c r="D583" s="80" t="s">
        <v>3896</v>
      </c>
      <c r="E583" s="80" t="b">
        <v>0</v>
      </c>
      <c r="F583" s="80" t="b">
        <v>0</v>
      </c>
      <c r="G583" s="80" t="b">
        <v>0</v>
      </c>
    </row>
    <row r="584" spans="1:7" ht="15">
      <c r="A584" s="81" t="s">
        <v>3804</v>
      </c>
      <c r="B584" s="80">
        <v>2</v>
      </c>
      <c r="C584" s="105">
        <v>0.0009240081668555858</v>
      </c>
      <c r="D584" s="80" t="s">
        <v>3896</v>
      </c>
      <c r="E584" s="80" t="b">
        <v>0</v>
      </c>
      <c r="F584" s="80" t="b">
        <v>0</v>
      </c>
      <c r="G584" s="80" t="b">
        <v>0</v>
      </c>
    </row>
    <row r="585" spans="1:7" ht="15">
      <c r="A585" s="81" t="s">
        <v>3805</v>
      </c>
      <c r="B585" s="80">
        <v>2</v>
      </c>
      <c r="C585" s="105">
        <v>0.0009240081668555858</v>
      </c>
      <c r="D585" s="80" t="s">
        <v>3896</v>
      </c>
      <c r="E585" s="80" t="b">
        <v>0</v>
      </c>
      <c r="F585" s="80" t="b">
        <v>0</v>
      </c>
      <c r="G585" s="80" t="b">
        <v>0</v>
      </c>
    </row>
    <row r="586" spans="1:7" ht="15">
      <c r="A586" s="81" t="s">
        <v>3806</v>
      </c>
      <c r="B586" s="80">
        <v>2</v>
      </c>
      <c r="C586" s="105">
        <v>0.0009240081668555858</v>
      </c>
      <c r="D586" s="80" t="s">
        <v>3896</v>
      </c>
      <c r="E586" s="80" t="b">
        <v>0</v>
      </c>
      <c r="F586" s="80" t="b">
        <v>0</v>
      </c>
      <c r="G586" s="80" t="b">
        <v>0</v>
      </c>
    </row>
    <row r="587" spans="1:7" ht="15">
      <c r="A587" s="81" t="s">
        <v>3807</v>
      </c>
      <c r="B587" s="80">
        <v>2</v>
      </c>
      <c r="C587" s="105">
        <v>0.0009240081668555858</v>
      </c>
      <c r="D587" s="80" t="s">
        <v>3896</v>
      </c>
      <c r="E587" s="80" t="b">
        <v>0</v>
      </c>
      <c r="F587" s="80" t="b">
        <v>0</v>
      </c>
      <c r="G587" s="80" t="b">
        <v>0</v>
      </c>
    </row>
    <row r="588" spans="1:7" ht="15">
      <c r="A588" s="81" t="s">
        <v>3808</v>
      </c>
      <c r="B588" s="80">
        <v>2</v>
      </c>
      <c r="C588" s="105">
        <v>0.0010487874396696714</v>
      </c>
      <c r="D588" s="80" t="s">
        <v>3896</v>
      </c>
      <c r="E588" s="80" t="b">
        <v>0</v>
      </c>
      <c r="F588" s="80" t="b">
        <v>0</v>
      </c>
      <c r="G588" s="80" t="b">
        <v>0</v>
      </c>
    </row>
    <row r="589" spans="1:7" ht="15">
      <c r="A589" s="81" t="s">
        <v>3809</v>
      </c>
      <c r="B589" s="80">
        <v>2</v>
      </c>
      <c r="C589" s="105">
        <v>0.0009240081668555858</v>
      </c>
      <c r="D589" s="80" t="s">
        <v>3896</v>
      </c>
      <c r="E589" s="80" t="b">
        <v>0</v>
      </c>
      <c r="F589" s="80" t="b">
        <v>0</v>
      </c>
      <c r="G589" s="80" t="b">
        <v>0</v>
      </c>
    </row>
    <row r="590" spans="1:7" ht="15">
      <c r="A590" s="81" t="s">
        <v>3810</v>
      </c>
      <c r="B590" s="80">
        <v>2</v>
      </c>
      <c r="C590" s="105">
        <v>0.0009240081668555858</v>
      </c>
      <c r="D590" s="80" t="s">
        <v>3896</v>
      </c>
      <c r="E590" s="80" t="b">
        <v>0</v>
      </c>
      <c r="F590" s="80" t="b">
        <v>0</v>
      </c>
      <c r="G590" s="80" t="b">
        <v>0</v>
      </c>
    </row>
    <row r="591" spans="1:7" ht="15">
      <c r="A591" s="81" t="s">
        <v>3811</v>
      </c>
      <c r="B591" s="80">
        <v>2</v>
      </c>
      <c r="C591" s="105">
        <v>0.0010487874396696714</v>
      </c>
      <c r="D591" s="80" t="s">
        <v>3896</v>
      </c>
      <c r="E591" s="80" t="b">
        <v>0</v>
      </c>
      <c r="F591" s="80" t="b">
        <v>0</v>
      </c>
      <c r="G591" s="80" t="b">
        <v>0</v>
      </c>
    </row>
    <row r="592" spans="1:7" ht="15">
      <c r="A592" s="81" t="s">
        <v>3812</v>
      </c>
      <c r="B592" s="80">
        <v>2</v>
      </c>
      <c r="C592" s="105">
        <v>0.0010487874396696714</v>
      </c>
      <c r="D592" s="80" t="s">
        <v>3896</v>
      </c>
      <c r="E592" s="80" t="b">
        <v>0</v>
      </c>
      <c r="F592" s="80" t="b">
        <v>0</v>
      </c>
      <c r="G592" s="80" t="b">
        <v>0</v>
      </c>
    </row>
    <row r="593" spans="1:7" ht="15">
      <c r="A593" s="81" t="s">
        <v>3813</v>
      </c>
      <c r="B593" s="80">
        <v>2</v>
      </c>
      <c r="C593" s="105">
        <v>0.0009240081668555858</v>
      </c>
      <c r="D593" s="80" t="s">
        <v>3896</v>
      </c>
      <c r="E593" s="80" t="b">
        <v>0</v>
      </c>
      <c r="F593" s="80" t="b">
        <v>0</v>
      </c>
      <c r="G593" s="80" t="b">
        <v>0</v>
      </c>
    </row>
    <row r="594" spans="1:7" ht="15">
      <c r="A594" s="81" t="s">
        <v>3814</v>
      </c>
      <c r="B594" s="80">
        <v>2</v>
      </c>
      <c r="C594" s="105">
        <v>0.0009240081668555858</v>
      </c>
      <c r="D594" s="80" t="s">
        <v>3896</v>
      </c>
      <c r="E594" s="80" t="b">
        <v>0</v>
      </c>
      <c r="F594" s="80" t="b">
        <v>0</v>
      </c>
      <c r="G594" s="80" t="b">
        <v>0</v>
      </c>
    </row>
    <row r="595" spans="1:7" ht="15">
      <c r="A595" s="81" t="s">
        <v>3815</v>
      </c>
      <c r="B595" s="80">
        <v>2</v>
      </c>
      <c r="C595" s="105">
        <v>0.0009240081668555858</v>
      </c>
      <c r="D595" s="80" t="s">
        <v>3896</v>
      </c>
      <c r="E595" s="80" t="b">
        <v>0</v>
      </c>
      <c r="F595" s="80" t="b">
        <v>0</v>
      </c>
      <c r="G595" s="80" t="b">
        <v>0</v>
      </c>
    </row>
    <row r="596" spans="1:7" ht="15">
      <c r="A596" s="81" t="s">
        <v>3816</v>
      </c>
      <c r="B596" s="80">
        <v>2</v>
      </c>
      <c r="C596" s="105">
        <v>0.0009240081668555858</v>
      </c>
      <c r="D596" s="80" t="s">
        <v>3896</v>
      </c>
      <c r="E596" s="80" t="b">
        <v>0</v>
      </c>
      <c r="F596" s="80" t="b">
        <v>0</v>
      </c>
      <c r="G596" s="80" t="b">
        <v>0</v>
      </c>
    </row>
    <row r="597" spans="1:7" ht="15">
      <c r="A597" s="81" t="s">
        <v>3817</v>
      </c>
      <c r="B597" s="80">
        <v>2</v>
      </c>
      <c r="C597" s="105">
        <v>0.0009240081668555858</v>
      </c>
      <c r="D597" s="80" t="s">
        <v>3896</v>
      </c>
      <c r="E597" s="80" t="b">
        <v>0</v>
      </c>
      <c r="F597" s="80" t="b">
        <v>0</v>
      </c>
      <c r="G597" s="80" t="b">
        <v>0</v>
      </c>
    </row>
    <row r="598" spans="1:7" ht="15">
      <c r="A598" s="81" t="s">
        <v>3818</v>
      </c>
      <c r="B598" s="80">
        <v>2</v>
      </c>
      <c r="C598" s="105">
        <v>0.0009240081668555858</v>
      </c>
      <c r="D598" s="80" t="s">
        <v>3896</v>
      </c>
      <c r="E598" s="80" t="b">
        <v>0</v>
      </c>
      <c r="F598" s="80" t="b">
        <v>0</v>
      </c>
      <c r="G598" s="80" t="b">
        <v>0</v>
      </c>
    </row>
    <row r="599" spans="1:7" ht="15">
      <c r="A599" s="81" t="s">
        <v>3819</v>
      </c>
      <c r="B599" s="80">
        <v>2</v>
      </c>
      <c r="C599" s="105">
        <v>0.0010487874396696714</v>
      </c>
      <c r="D599" s="80" t="s">
        <v>3896</v>
      </c>
      <c r="E599" s="80" t="b">
        <v>0</v>
      </c>
      <c r="F599" s="80" t="b">
        <v>0</v>
      </c>
      <c r="G599" s="80" t="b">
        <v>0</v>
      </c>
    </row>
    <row r="600" spans="1:7" ht="15">
      <c r="A600" s="81" t="s">
        <v>3820</v>
      </c>
      <c r="B600" s="80">
        <v>2</v>
      </c>
      <c r="C600" s="105">
        <v>0.0009240081668555858</v>
      </c>
      <c r="D600" s="80" t="s">
        <v>3896</v>
      </c>
      <c r="E600" s="80" t="b">
        <v>0</v>
      </c>
      <c r="F600" s="80" t="b">
        <v>0</v>
      </c>
      <c r="G600" s="80" t="b">
        <v>0</v>
      </c>
    </row>
    <row r="601" spans="1:7" ht="15">
      <c r="A601" s="81" t="s">
        <v>3821</v>
      </c>
      <c r="B601" s="80">
        <v>2</v>
      </c>
      <c r="C601" s="105">
        <v>0.0009240081668555858</v>
      </c>
      <c r="D601" s="80" t="s">
        <v>3896</v>
      </c>
      <c r="E601" s="80" t="b">
        <v>0</v>
      </c>
      <c r="F601" s="80" t="b">
        <v>0</v>
      </c>
      <c r="G601" s="80" t="b">
        <v>0</v>
      </c>
    </row>
    <row r="602" spans="1:7" ht="15">
      <c r="A602" s="81" t="s">
        <v>3822</v>
      </c>
      <c r="B602" s="80">
        <v>2</v>
      </c>
      <c r="C602" s="105">
        <v>0.0009240081668555858</v>
      </c>
      <c r="D602" s="80" t="s">
        <v>3896</v>
      </c>
      <c r="E602" s="80" t="b">
        <v>0</v>
      </c>
      <c r="F602" s="80" t="b">
        <v>1</v>
      </c>
      <c r="G602" s="80" t="b">
        <v>0</v>
      </c>
    </row>
    <row r="603" spans="1:7" ht="15">
      <c r="A603" s="81" t="s">
        <v>3823</v>
      </c>
      <c r="B603" s="80">
        <v>2</v>
      </c>
      <c r="C603" s="105">
        <v>0.0009240081668555858</v>
      </c>
      <c r="D603" s="80" t="s">
        <v>3896</v>
      </c>
      <c r="E603" s="80" t="b">
        <v>0</v>
      </c>
      <c r="F603" s="80" t="b">
        <v>1</v>
      </c>
      <c r="G603" s="80" t="b">
        <v>0</v>
      </c>
    </row>
    <row r="604" spans="1:7" ht="15">
      <c r="A604" s="81" t="s">
        <v>3824</v>
      </c>
      <c r="B604" s="80">
        <v>2</v>
      </c>
      <c r="C604" s="105">
        <v>0.0009240081668555858</v>
      </c>
      <c r="D604" s="80" t="s">
        <v>3896</v>
      </c>
      <c r="E604" s="80" t="b">
        <v>0</v>
      </c>
      <c r="F604" s="80" t="b">
        <v>0</v>
      </c>
      <c r="G604" s="80" t="b">
        <v>0</v>
      </c>
    </row>
    <row r="605" spans="1:7" ht="15">
      <c r="A605" s="81" t="s">
        <v>3825</v>
      </c>
      <c r="B605" s="80">
        <v>2</v>
      </c>
      <c r="C605" s="105">
        <v>0.0009240081668555858</v>
      </c>
      <c r="D605" s="80" t="s">
        <v>3896</v>
      </c>
      <c r="E605" s="80" t="b">
        <v>0</v>
      </c>
      <c r="F605" s="80" t="b">
        <v>0</v>
      </c>
      <c r="G605" s="80" t="b">
        <v>0</v>
      </c>
    </row>
    <row r="606" spans="1:7" ht="15">
      <c r="A606" s="81" t="s">
        <v>3826</v>
      </c>
      <c r="B606" s="80">
        <v>2</v>
      </c>
      <c r="C606" s="105">
        <v>0.0009240081668555858</v>
      </c>
      <c r="D606" s="80" t="s">
        <v>3896</v>
      </c>
      <c r="E606" s="80" t="b">
        <v>0</v>
      </c>
      <c r="F606" s="80" t="b">
        <v>0</v>
      </c>
      <c r="G606" s="80" t="b">
        <v>0</v>
      </c>
    </row>
    <row r="607" spans="1:7" ht="15">
      <c r="A607" s="81" t="s">
        <v>3827</v>
      </c>
      <c r="B607" s="80">
        <v>2</v>
      </c>
      <c r="C607" s="105">
        <v>0.0009240081668555858</v>
      </c>
      <c r="D607" s="80" t="s">
        <v>3896</v>
      </c>
      <c r="E607" s="80" t="b">
        <v>0</v>
      </c>
      <c r="F607" s="80" t="b">
        <v>0</v>
      </c>
      <c r="G607" s="80" t="b">
        <v>0</v>
      </c>
    </row>
    <row r="608" spans="1:7" ht="15">
      <c r="A608" s="81" t="s">
        <v>3828</v>
      </c>
      <c r="B608" s="80">
        <v>2</v>
      </c>
      <c r="C608" s="105">
        <v>0.0009240081668555858</v>
      </c>
      <c r="D608" s="80" t="s">
        <v>3896</v>
      </c>
      <c r="E608" s="80" t="b">
        <v>0</v>
      </c>
      <c r="F608" s="80" t="b">
        <v>0</v>
      </c>
      <c r="G608" s="80" t="b">
        <v>0</v>
      </c>
    </row>
    <row r="609" spans="1:7" ht="15">
      <c r="A609" s="81" t="s">
        <v>3829</v>
      </c>
      <c r="B609" s="80">
        <v>2</v>
      </c>
      <c r="C609" s="105">
        <v>0.0009240081668555858</v>
      </c>
      <c r="D609" s="80" t="s">
        <v>3896</v>
      </c>
      <c r="E609" s="80" t="b">
        <v>0</v>
      </c>
      <c r="F609" s="80" t="b">
        <v>0</v>
      </c>
      <c r="G609" s="80" t="b">
        <v>0</v>
      </c>
    </row>
    <row r="610" spans="1:7" ht="15">
      <c r="A610" s="81" t="s">
        <v>495</v>
      </c>
      <c r="B610" s="80">
        <v>2</v>
      </c>
      <c r="C610" s="105">
        <v>0.0009240081668555858</v>
      </c>
      <c r="D610" s="80" t="s">
        <v>3896</v>
      </c>
      <c r="E610" s="80" t="b">
        <v>0</v>
      </c>
      <c r="F610" s="80" t="b">
        <v>0</v>
      </c>
      <c r="G610" s="80" t="b">
        <v>0</v>
      </c>
    </row>
    <row r="611" spans="1:7" ht="15">
      <c r="A611" s="81" t="s">
        <v>3830</v>
      </c>
      <c r="B611" s="80">
        <v>2</v>
      </c>
      <c r="C611" s="105">
        <v>0.0009240081668555858</v>
      </c>
      <c r="D611" s="80" t="s">
        <v>3896</v>
      </c>
      <c r="E611" s="80" t="b">
        <v>0</v>
      </c>
      <c r="F611" s="80" t="b">
        <v>0</v>
      </c>
      <c r="G611" s="80" t="b">
        <v>0</v>
      </c>
    </row>
    <row r="612" spans="1:7" ht="15">
      <c r="A612" s="81" t="s">
        <v>3831</v>
      </c>
      <c r="B612" s="80">
        <v>2</v>
      </c>
      <c r="C612" s="105">
        <v>0.0009240081668555858</v>
      </c>
      <c r="D612" s="80" t="s">
        <v>3896</v>
      </c>
      <c r="E612" s="80" t="b">
        <v>0</v>
      </c>
      <c r="F612" s="80" t="b">
        <v>0</v>
      </c>
      <c r="G612" s="80" t="b">
        <v>0</v>
      </c>
    </row>
    <row r="613" spans="1:7" ht="15">
      <c r="A613" s="81" t="s">
        <v>3832</v>
      </c>
      <c r="B613" s="80">
        <v>2</v>
      </c>
      <c r="C613" s="105">
        <v>0.0009240081668555858</v>
      </c>
      <c r="D613" s="80" t="s">
        <v>3896</v>
      </c>
      <c r="E613" s="80" t="b">
        <v>0</v>
      </c>
      <c r="F613" s="80" t="b">
        <v>0</v>
      </c>
      <c r="G613" s="80" t="b">
        <v>0</v>
      </c>
    </row>
    <row r="614" spans="1:7" ht="15">
      <c r="A614" s="81" t="s">
        <v>3833</v>
      </c>
      <c r="B614" s="80">
        <v>2</v>
      </c>
      <c r="C614" s="105">
        <v>0.0009240081668555858</v>
      </c>
      <c r="D614" s="80" t="s">
        <v>3896</v>
      </c>
      <c r="E614" s="80" t="b">
        <v>0</v>
      </c>
      <c r="F614" s="80" t="b">
        <v>0</v>
      </c>
      <c r="G614" s="80" t="b">
        <v>0</v>
      </c>
    </row>
    <row r="615" spans="1:7" ht="15">
      <c r="A615" s="81" t="s">
        <v>3834</v>
      </c>
      <c r="B615" s="80">
        <v>2</v>
      </c>
      <c r="C615" s="105">
        <v>0.0009240081668555858</v>
      </c>
      <c r="D615" s="80" t="s">
        <v>3896</v>
      </c>
      <c r="E615" s="80" t="b">
        <v>0</v>
      </c>
      <c r="F615" s="80" t="b">
        <v>0</v>
      </c>
      <c r="G615" s="80" t="b">
        <v>0</v>
      </c>
    </row>
    <row r="616" spans="1:7" ht="15">
      <c r="A616" s="81" t="s">
        <v>492</v>
      </c>
      <c r="B616" s="80">
        <v>2</v>
      </c>
      <c r="C616" s="105">
        <v>0.0009240081668555858</v>
      </c>
      <c r="D616" s="80" t="s">
        <v>3896</v>
      </c>
      <c r="E616" s="80" t="b">
        <v>0</v>
      </c>
      <c r="F616" s="80" t="b">
        <v>0</v>
      </c>
      <c r="G616" s="80" t="b">
        <v>0</v>
      </c>
    </row>
    <row r="617" spans="1:7" ht="15">
      <c r="A617" s="81" t="s">
        <v>3835</v>
      </c>
      <c r="B617" s="80">
        <v>2</v>
      </c>
      <c r="C617" s="105">
        <v>0.0010487874396696714</v>
      </c>
      <c r="D617" s="80" t="s">
        <v>3896</v>
      </c>
      <c r="E617" s="80" t="b">
        <v>0</v>
      </c>
      <c r="F617" s="80" t="b">
        <v>0</v>
      </c>
      <c r="G617" s="80" t="b">
        <v>0</v>
      </c>
    </row>
    <row r="618" spans="1:7" ht="15">
      <c r="A618" s="81" t="s">
        <v>3836</v>
      </c>
      <c r="B618" s="80">
        <v>2</v>
      </c>
      <c r="C618" s="105">
        <v>0.0009240081668555858</v>
      </c>
      <c r="D618" s="80" t="s">
        <v>3896</v>
      </c>
      <c r="E618" s="80" t="b">
        <v>0</v>
      </c>
      <c r="F618" s="80" t="b">
        <v>0</v>
      </c>
      <c r="G618" s="80" t="b">
        <v>0</v>
      </c>
    </row>
    <row r="619" spans="1:7" ht="15">
      <c r="A619" s="81" t="s">
        <v>3837</v>
      </c>
      <c r="B619" s="80">
        <v>2</v>
      </c>
      <c r="C619" s="105">
        <v>0.0009240081668555858</v>
      </c>
      <c r="D619" s="80" t="s">
        <v>3896</v>
      </c>
      <c r="E619" s="80" t="b">
        <v>0</v>
      </c>
      <c r="F619" s="80" t="b">
        <v>0</v>
      </c>
      <c r="G619" s="80" t="b">
        <v>0</v>
      </c>
    </row>
    <row r="620" spans="1:7" ht="15">
      <c r="A620" s="81" t="s">
        <v>3838</v>
      </c>
      <c r="B620" s="80">
        <v>2</v>
      </c>
      <c r="C620" s="105">
        <v>0.0009240081668555858</v>
      </c>
      <c r="D620" s="80" t="s">
        <v>3896</v>
      </c>
      <c r="E620" s="80" t="b">
        <v>0</v>
      </c>
      <c r="F620" s="80" t="b">
        <v>0</v>
      </c>
      <c r="G620" s="80" t="b">
        <v>0</v>
      </c>
    </row>
    <row r="621" spans="1:7" ht="15">
      <c r="A621" s="81" t="s">
        <v>3839</v>
      </c>
      <c r="B621" s="80">
        <v>2</v>
      </c>
      <c r="C621" s="105">
        <v>0.0009240081668555858</v>
      </c>
      <c r="D621" s="80" t="s">
        <v>3896</v>
      </c>
      <c r="E621" s="80" t="b">
        <v>0</v>
      </c>
      <c r="F621" s="80" t="b">
        <v>0</v>
      </c>
      <c r="G621" s="80" t="b">
        <v>0</v>
      </c>
    </row>
    <row r="622" spans="1:7" ht="15">
      <c r="A622" s="81" t="s">
        <v>3840</v>
      </c>
      <c r="B622" s="80">
        <v>2</v>
      </c>
      <c r="C622" s="105">
        <v>0.0009240081668555858</v>
      </c>
      <c r="D622" s="80" t="s">
        <v>3896</v>
      </c>
      <c r="E622" s="80" t="b">
        <v>0</v>
      </c>
      <c r="F622" s="80" t="b">
        <v>0</v>
      </c>
      <c r="G622" s="80" t="b">
        <v>0</v>
      </c>
    </row>
    <row r="623" spans="1:7" ht="15">
      <c r="A623" s="81" t="s">
        <v>3841</v>
      </c>
      <c r="B623" s="80">
        <v>2</v>
      </c>
      <c r="C623" s="105">
        <v>0.0009240081668555858</v>
      </c>
      <c r="D623" s="80" t="s">
        <v>3896</v>
      </c>
      <c r="E623" s="80" t="b">
        <v>0</v>
      </c>
      <c r="F623" s="80" t="b">
        <v>1</v>
      </c>
      <c r="G623" s="80" t="b">
        <v>0</v>
      </c>
    </row>
    <row r="624" spans="1:7" ht="15">
      <c r="A624" s="81" t="s">
        <v>3842</v>
      </c>
      <c r="B624" s="80">
        <v>2</v>
      </c>
      <c r="C624" s="105">
        <v>0.0009240081668555858</v>
      </c>
      <c r="D624" s="80" t="s">
        <v>3896</v>
      </c>
      <c r="E624" s="80" t="b">
        <v>0</v>
      </c>
      <c r="F624" s="80" t="b">
        <v>0</v>
      </c>
      <c r="G624" s="80" t="b">
        <v>0</v>
      </c>
    </row>
    <row r="625" spans="1:7" ht="15">
      <c r="A625" s="81" t="s">
        <v>3843</v>
      </c>
      <c r="B625" s="80">
        <v>2</v>
      </c>
      <c r="C625" s="105">
        <v>0.0010487874396696714</v>
      </c>
      <c r="D625" s="80" t="s">
        <v>3896</v>
      </c>
      <c r="E625" s="80" t="b">
        <v>0</v>
      </c>
      <c r="F625" s="80" t="b">
        <v>0</v>
      </c>
      <c r="G625" s="80" t="b">
        <v>0</v>
      </c>
    </row>
    <row r="626" spans="1:7" ht="15">
      <c r="A626" s="81" t="s">
        <v>3844</v>
      </c>
      <c r="B626" s="80">
        <v>2</v>
      </c>
      <c r="C626" s="105">
        <v>0.0009240081668555858</v>
      </c>
      <c r="D626" s="80" t="s">
        <v>3896</v>
      </c>
      <c r="E626" s="80" t="b">
        <v>0</v>
      </c>
      <c r="F626" s="80" t="b">
        <v>0</v>
      </c>
      <c r="G626" s="80" t="b">
        <v>0</v>
      </c>
    </row>
    <row r="627" spans="1:7" ht="15">
      <c r="A627" s="81" t="s">
        <v>3845</v>
      </c>
      <c r="B627" s="80">
        <v>2</v>
      </c>
      <c r="C627" s="105">
        <v>0.0009240081668555858</v>
      </c>
      <c r="D627" s="80" t="s">
        <v>3896</v>
      </c>
      <c r="E627" s="80" t="b">
        <v>0</v>
      </c>
      <c r="F627" s="80" t="b">
        <v>0</v>
      </c>
      <c r="G627" s="80" t="b">
        <v>0</v>
      </c>
    </row>
    <row r="628" spans="1:7" ht="15">
      <c r="A628" s="81" t="s">
        <v>3846</v>
      </c>
      <c r="B628" s="80">
        <v>2</v>
      </c>
      <c r="C628" s="105">
        <v>0.0009240081668555858</v>
      </c>
      <c r="D628" s="80" t="s">
        <v>3896</v>
      </c>
      <c r="E628" s="80" t="b">
        <v>0</v>
      </c>
      <c r="F628" s="80" t="b">
        <v>0</v>
      </c>
      <c r="G628" s="80" t="b">
        <v>0</v>
      </c>
    </row>
    <row r="629" spans="1:7" ht="15">
      <c r="A629" s="81" t="s">
        <v>3847</v>
      </c>
      <c r="B629" s="80">
        <v>2</v>
      </c>
      <c r="C629" s="105">
        <v>0.0009240081668555858</v>
      </c>
      <c r="D629" s="80" t="s">
        <v>3896</v>
      </c>
      <c r="E629" s="80" t="b">
        <v>0</v>
      </c>
      <c r="F629" s="80" t="b">
        <v>0</v>
      </c>
      <c r="G629" s="80" t="b">
        <v>0</v>
      </c>
    </row>
    <row r="630" spans="1:7" ht="15">
      <c r="A630" s="81" t="s">
        <v>3848</v>
      </c>
      <c r="B630" s="80">
        <v>2</v>
      </c>
      <c r="C630" s="105">
        <v>0.0009240081668555858</v>
      </c>
      <c r="D630" s="80" t="s">
        <v>3896</v>
      </c>
      <c r="E630" s="80" t="b">
        <v>0</v>
      </c>
      <c r="F630" s="80" t="b">
        <v>0</v>
      </c>
      <c r="G630" s="80" t="b">
        <v>0</v>
      </c>
    </row>
    <row r="631" spans="1:7" ht="15">
      <c r="A631" s="81" t="s">
        <v>3849</v>
      </c>
      <c r="B631" s="80">
        <v>2</v>
      </c>
      <c r="C631" s="105">
        <v>0.0009240081668555858</v>
      </c>
      <c r="D631" s="80" t="s">
        <v>3896</v>
      </c>
      <c r="E631" s="80" t="b">
        <v>0</v>
      </c>
      <c r="F631" s="80" t="b">
        <v>0</v>
      </c>
      <c r="G631" s="80" t="b">
        <v>0</v>
      </c>
    </row>
    <row r="632" spans="1:7" ht="15">
      <c r="A632" s="81" t="s">
        <v>462</v>
      </c>
      <c r="B632" s="80">
        <v>2</v>
      </c>
      <c r="C632" s="105">
        <v>0.0009240081668555858</v>
      </c>
      <c r="D632" s="80" t="s">
        <v>3896</v>
      </c>
      <c r="E632" s="80" t="b">
        <v>0</v>
      </c>
      <c r="F632" s="80" t="b">
        <v>0</v>
      </c>
      <c r="G632" s="80" t="b">
        <v>0</v>
      </c>
    </row>
    <row r="633" spans="1:7" ht="15">
      <c r="A633" s="81" t="s">
        <v>461</v>
      </c>
      <c r="B633" s="80">
        <v>2</v>
      </c>
      <c r="C633" s="105">
        <v>0.0009240081668555858</v>
      </c>
      <c r="D633" s="80" t="s">
        <v>3896</v>
      </c>
      <c r="E633" s="80" t="b">
        <v>0</v>
      </c>
      <c r="F633" s="80" t="b">
        <v>0</v>
      </c>
      <c r="G633" s="80" t="b">
        <v>0</v>
      </c>
    </row>
    <row r="634" spans="1:7" ht="15">
      <c r="A634" s="81" t="s">
        <v>3850</v>
      </c>
      <c r="B634" s="80">
        <v>2</v>
      </c>
      <c r="C634" s="105">
        <v>0.0009240081668555858</v>
      </c>
      <c r="D634" s="80" t="s">
        <v>3896</v>
      </c>
      <c r="E634" s="80" t="b">
        <v>0</v>
      </c>
      <c r="F634" s="80" t="b">
        <v>0</v>
      </c>
      <c r="G634" s="80" t="b">
        <v>0</v>
      </c>
    </row>
    <row r="635" spans="1:7" ht="15">
      <c r="A635" s="81" t="s">
        <v>3851</v>
      </c>
      <c r="B635" s="80">
        <v>2</v>
      </c>
      <c r="C635" s="105">
        <v>0.0009240081668555858</v>
      </c>
      <c r="D635" s="80" t="s">
        <v>3896</v>
      </c>
      <c r="E635" s="80" t="b">
        <v>0</v>
      </c>
      <c r="F635" s="80" t="b">
        <v>0</v>
      </c>
      <c r="G635" s="80" t="b">
        <v>0</v>
      </c>
    </row>
    <row r="636" spans="1:7" ht="15">
      <c r="A636" s="81" t="s">
        <v>3852</v>
      </c>
      <c r="B636" s="80">
        <v>2</v>
      </c>
      <c r="C636" s="105">
        <v>0.0009240081668555858</v>
      </c>
      <c r="D636" s="80" t="s">
        <v>3896</v>
      </c>
      <c r="E636" s="80" t="b">
        <v>0</v>
      </c>
      <c r="F636" s="80" t="b">
        <v>0</v>
      </c>
      <c r="G636" s="80" t="b">
        <v>0</v>
      </c>
    </row>
    <row r="637" spans="1:7" ht="15">
      <c r="A637" s="81" t="s">
        <v>3853</v>
      </c>
      <c r="B637" s="80">
        <v>2</v>
      </c>
      <c r="C637" s="105">
        <v>0.0009240081668555858</v>
      </c>
      <c r="D637" s="80" t="s">
        <v>3896</v>
      </c>
      <c r="E637" s="80" t="b">
        <v>0</v>
      </c>
      <c r="F637" s="80" t="b">
        <v>0</v>
      </c>
      <c r="G637" s="80" t="b">
        <v>0</v>
      </c>
    </row>
    <row r="638" spans="1:7" ht="15">
      <c r="A638" s="81" t="s">
        <v>3854</v>
      </c>
      <c r="B638" s="80">
        <v>2</v>
      </c>
      <c r="C638" s="105">
        <v>0.0009240081668555858</v>
      </c>
      <c r="D638" s="80" t="s">
        <v>3896</v>
      </c>
      <c r="E638" s="80" t="b">
        <v>0</v>
      </c>
      <c r="F638" s="80" t="b">
        <v>0</v>
      </c>
      <c r="G638" s="80" t="b">
        <v>0</v>
      </c>
    </row>
    <row r="639" spans="1:7" ht="15">
      <c r="A639" s="81" t="s">
        <v>3855</v>
      </c>
      <c r="B639" s="80">
        <v>2</v>
      </c>
      <c r="C639" s="105">
        <v>0.0009240081668555858</v>
      </c>
      <c r="D639" s="80" t="s">
        <v>3896</v>
      </c>
      <c r="E639" s="80" t="b">
        <v>0</v>
      </c>
      <c r="F639" s="80" t="b">
        <v>0</v>
      </c>
      <c r="G639" s="80" t="b">
        <v>0</v>
      </c>
    </row>
    <row r="640" spans="1:7" ht="15">
      <c r="A640" s="81" t="s">
        <v>3856</v>
      </c>
      <c r="B640" s="80">
        <v>2</v>
      </c>
      <c r="C640" s="105">
        <v>0.0009240081668555858</v>
      </c>
      <c r="D640" s="80" t="s">
        <v>3896</v>
      </c>
      <c r="E640" s="80" t="b">
        <v>0</v>
      </c>
      <c r="F640" s="80" t="b">
        <v>0</v>
      </c>
      <c r="G640" s="80" t="b">
        <v>0</v>
      </c>
    </row>
    <row r="641" spans="1:7" ht="15">
      <c r="A641" s="81" t="s">
        <v>3857</v>
      </c>
      <c r="B641" s="80">
        <v>2</v>
      </c>
      <c r="C641" s="105">
        <v>0.0009240081668555858</v>
      </c>
      <c r="D641" s="80" t="s">
        <v>3896</v>
      </c>
      <c r="E641" s="80" t="b">
        <v>0</v>
      </c>
      <c r="F641" s="80" t="b">
        <v>0</v>
      </c>
      <c r="G641" s="80" t="b">
        <v>0</v>
      </c>
    </row>
    <row r="642" spans="1:7" ht="15">
      <c r="A642" s="81" t="s">
        <v>3858</v>
      </c>
      <c r="B642" s="80">
        <v>2</v>
      </c>
      <c r="C642" s="105">
        <v>0.0009240081668555858</v>
      </c>
      <c r="D642" s="80" t="s">
        <v>3896</v>
      </c>
      <c r="E642" s="80" t="b">
        <v>0</v>
      </c>
      <c r="F642" s="80" t="b">
        <v>0</v>
      </c>
      <c r="G642" s="80" t="b">
        <v>0</v>
      </c>
    </row>
    <row r="643" spans="1:7" ht="15">
      <c r="A643" s="81" t="s">
        <v>3859</v>
      </c>
      <c r="B643" s="80">
        <v>2</v>
      </c>
      <c r="C643" s="105">
        <v>0.0009240081668555858</v>
      </c>
      <c r="D643" s="80" t="s">
        <v>3896</v>
      </c>
      <c r="E643" s="80" t="b">
        <v>0</v>
      </c>
      <c r="F643" s="80" t="b">
        <v>0</v>
      </c>
      <c r="G643" s="80" t="b">
        <v>0</v>
      </c>
    </row>
    <row r="644" spans="1:7" ht="15">
      <c r="A644" s="81" t="s">
        <v>459</v>
      </c>
      <c r="B644" s="80">
        <v>2</v>
      </c>
      <c r="C644" s="105">
        <v>0.0009240081668555858</v>
      </c>
      <c r="D644" s="80" t="s">
        <v>3896</v>
      </c>
      <c r="E644" s="80" t="b">
        <v>0</v>
      </c>
      <c r="F644" s="80" t="b">
        <v>0</v>
      </c>
      <c r="G644" s="80" t="b">
        <v>0</v>
      </c>
    </row>
    <row r="645" spans="1:7" ht="15">
      <c r="A645" s="81" t="s">
        <v>457</v>
      </c>
      <c r="B645" s="80">
        <v>2</v>
      </c>
      <c r="C645" s="105">
        <v>0.0009240081668555858</v>
      </c>
      <c r="D645" s="80" t="s">
        <v>3896</v>
      </c>
      <c r="E645" s="80" t="b">
        <v>0</v>
      </c>
      <c r="F645" s="80" t="b">
        <v>0</v>
      </c>
      <c r="G645" s="80" t="b">
        <v>0</v>
      </c>
    </row>
    <row r="646" spans="1:7" ht="15">
      <c r="A646" s="81" t="s">
        <v>3860</v>
      </c>
      <c r="B646" s="80">
        <v>2</v>
      </c>
      <c r="C646" s="105">
        <v>0.0009240081668555858</v>
      </c>
      <c r="D646" s="80" t="s">
        <v>3896</v>
      </c>
      <c r="E646" s="80" t="b">
        <v>0</v>
      </c>
      <c r="F646" s="80" t="b">
        <v>0</v>
      </c>
      <c r="G646" s="80" t="b">
        <v>0</v>
      </c>
    </row>
    <row r="647" spans="1:7" ht="15">
      <c r="A647" s="81" t="s">
        <v>3861</v>
      </c>
      <c r="B647" s="80">
        <v>2</v>
      </c>
      <c r="C647" s="105">
        <v>0.0009240081668555858</v>
      </c>
      <c r="D647" s="80" t="s">
        <v>3896</v>
      </c>
      <c r="E647" s="80" t="b">
        <v>0</v>
      </c>
      <c r="F647" s="80" t="b">
        <v>0</v>
      </c>
      <c r="G647" s="80" t="b">
        <v>0</v>
      </c>
    </row>
    <row r="648" spans="1:7" ht="15">
      <c r="A648" s="81" t="s">
        <v>3862</v>
      </c>
      <c r="B648" s="80">
        <v>2</v>
      </c>
      <c r="C648" s="105">
        <v>0.0009240081668555858</v>
      </c>
      <c r="D648" s="80" t="s">
        <v>3896</v>
      </c>
      <c r="E648" s="80" t="b">
        <v>0</v>
      </c>
      <c r="F648" s="80" t="b">
        <v>0</v>
      </c>
      <c r="G648" s="80" t="b">
        <v>0</v>
      </c>
    </row>
    <row r="649" spans="1:7" ht="15">
      <c r="A649" s="81" t="s">
        <v>3863</v>
      </c>
      <c r="B649" s="80">
        <v>2</v>
      </c>
      <c r="C649" s="105">
        <v>0.0009240081668555858</v>
      </c>
      <c r="D649" s="80" t="s">
        <v>3896</v>
      </c>
      <c r="E649" s="80" t="b">
        <v>0</v>
      </c>
      <c r="F649" s="80" t="b">
        <v>0</v>
      </c>
      <c r="G649" s="80" t="b">
        <v>0</v>
      </c>
    </row>
    <row r="650" spans="1:7" ht="15">
      <c r="A650" s="81" t="s">
        <v>3864</v>
      </c>
      <c r="B650" s="80">
        <v>2</v>
      </c>
      <c r="C650" s="105">
        <v>0.0009240081668555858</v>
      </c>
      <c r="D650" s="80" t="s">
        <v>3896</v>
      </c>
      <c r="E650" s="80" t="b">
        <v>0</v>
      </c>
      <c r="F650" s="80" t="b">
        <v>1</v>
      </c>
      <c r="G650" s="80" t="b">
        <v>0</v>
      </c>
    </row>
    <row r="651" spans="1:7" ht="15">
      <c r="A651" s="81" t="s">
        <v>3865</v>
      </c>
      <c r="B651" s="80">
        <v>2</v>
      </c>
      <c r="C651" s="105">
        <v>0.0009240081668555858</v>
      </c>
      <c r="D651" s="80" t="s">
        <v>3896</v>
      </c>
      <c r="E651" s="80" t="b">
        <v>0</v>
      </c>
      <c r="F651" s="80" t="b">
        <v>0</v>
      </c>
      <c r="G651" s="80" t="b">
        <v>0</v>
      </c>
    </row>
    <row r="652" spans="1:7" ht="15">
      <c r="A652" s="81" t="s">
        <v>454</v>
      </c>
      <c r="B652" s="80">
        <v>2</v>
      </c>
      <c r="C652" s="105">
        <v>0.0009240081668555858</v>
      </c>
      <c r="D652" s="80" t="s">
        <v>3896</v>
      </c>
      <c r="E652" s="80" t="b">
        <v>0</v>
      </c>
      <c r="F652" s="80" t="b">
        <v>0</v>
      </c>
      <c r="G652" s="80" t="b">
        <v>0</v>
      </c>
    </row>
    <row r="653" spans="1:7" ht="15">
      <c r="A653" s="81" t="s">
        <v>3866</v>
      </c>
      <c r="B653" s="80">
        <v>2</v>
      </c>
      <c r="C653" s="105">
        <v>0.0009240081668555858</v>
      </c>
      <c r="D653" s="80" t="s">
        <v>3896</v>
      </c>
      <c r="E653" s="80" t="b">
        <v>0</v>
      </c>
      <c r="F653" s="80" t="b">
        <v>0</v>
      </c>
      <c r="G653" s="80" t="b">
        <v>0</v>
      </c>
    </row>
    <row r="654" spans="1:7" ht="15">
      <c r="A654" s="81" t="s">
        <v>3867</v>
      </c>
      <c r="B654" s="80">
        <v>2</v>
      </c>
      <c r="C654" s="105">
        <v>0.0009240081668555858</v>
      </c>
      <c r="D654" s="80" t="s">
        <v>3896</v>
      </c>
      <c r="E654" s="80" t="b">
        <v>0</v>
      </c>
      <c r="F654" s="80" t="b">
        <v>0</v>
      </c>
      <c r="G654" s="80" t="b">
        <v>0</v>
      </c>
    </row>
    <row r="655" spans="1:7" ht="15">
      <c r="A655" s="81" t="s">
        <v>3868</v>
      </c>
      <c r="B655" s="80">
        <v>2</v>
      </c>
      <c r="C655" s="105">
        <v>0.0009240081668555858</v>
      </c>
      <c r="D655" s="80" t="s">
        <v>3896</v>
      </c>
      <c r="E655" s="80" t="b">
        <v>0</v>
      </c>
      <c r="F655" s="80" t="b">
        <v>0</v>
      </c>
      <c r="G655" s="80" t="b">
        <v>0</v>
      </c>
    </row>
    <row r="656" spans="1:7" ht="15">
      <c r="A656" s="81" t="s">
        <v>3869</v>
      </c>
      <c r="B656" s="80">
        <v>2</v>
      </c>
      <c r="C656" s="105">
        <v>0.0009240081668555858</v>
      </c>
      <c r="D656" s="80" t="s">
        <v>3896</v>
      </c>
      <c r="E656" s="80" t="b">
        <v>0</v>
      </c>
      <c r="F656" s="80" t="b">
        <v>0</v>
      </c>
      <c r="G656" s="80" t="b">
        <v>0</v>
      </c>
    </row>
    <row r="657" spans="1:7" ht="15">
      <c r="A657" s="81" t="s">
        <v>3870</v>
      </c>
      <c r="B657" s="80">
        <v>2</v>
      </c>
      <c r="C657" s="105">
        <v>0.0009240081668555858</v>
      </c>
      <c r="D657" s="80" t="s">
        <v>3896</v>
      </c>
      <c r="E657" s="80" t="b">
        <v>0</v>
      </c>
      <c r="F657" s="80" t="b">
        <v>0</v>
      </c>
      <c r="G657" s="80" t="b">
        <v>0</v>
      </c>
    </row>
    <row r="658" spans="1:7" ht="15">
      <c r="A658" s="81" t="s">
        <v>3871</v>
      </c>
      <c r="B658" s="80">
        <v>2</v>
      </c>
      <c r="C658" s="105">
        <v>0.0009240081668555858</v>
      </c>
      <c r="D658" s="80" t="s">
        <v>3896</v>
      </c>
      <c r="E658" s="80" t="b">
        <v>0</v>
      </c>
      <c r="F658" s="80" t="b">
        <v>0</v>
      </c>
      <c r="G658" s="80" t="b">
        <v>0</v>
      </c>
    </row>
    <row r="659" spans="1:7" ht="15">
      <c r="A659" s="81" t="s">
        <v>3872</v>
      </c>
      <c r="B659" s="80">
        <v>2</v>
      </c>
      <c r="C659" s="105">
        <v>0.0009240081668555858</v>
      </c>
      <c r="D659" s="80" t="s">
        <v>3896</v>
      </c>
      <c r="E659" s="80" t="b">
        <v>0</v>
      </c>
      <c r="F659" s="80" t="b">
        <v>0</v>
      </c>
      <c r="G659" s="80" t="b">
        <v>0</v>
      </c>
    </row>
    <row r="660" spans="1:7" ht="15">
      <c r="A660" s="81" t="s">
        <v>3873</v>
      </c>
      <c r="B660" s="80">
        <v>2</v>
      </c>
      <c r="C660" s="105">
        <v>0.0009240081668555858</v>
      </c>
      <c r="D660" s="80" t="s">
        <v>3896</v>
      </c>
      <c r="E660" s="80" t="b">
        <v>0</v>
      </c>
      <c r="F660" s="80" t="b">
        <v>0</v>
      </c>
      <c r="G660" s="80" t="b">
        <v>0</v>
      </c>
    </row>
    <row r="661" spans="1:7" ht="15">
      <c r="A661" s="81" t="s">
        <v>3874</v>
      </c>
      <c r="B661" s="80">
        <v>2</v>
      </c>
      <c r="C661" s="105">
        <v>0.0009240081668555858</v>
      </c>
      <c r="D661" s="80" t="s">
        <v>3896</v>
      </c>
      <c r="E661" s="80" t="b">
        <v>0</v>
      </c>
      <c r="F661" s="80" t="b">
        <v>0</v>
      </c>
      <c r="G661" s="80" t="b">
        <v>0</v>
      </c>
    </row>
    <row r="662" spans="1:7" ht="15">
      <c r="A662" s="81" t="s">
        <v>3875</v>
      </c>
      <c r="B662" s="80">
        <v>2</v>
      </c>
      <c r="C662" s="105">
        <v>0.0009240081668555858</v>
      </c>
      <c r="D662" s="80" t="s">
        <v>3896</v>
      </c>
      <c r="E662" s="80" t="b">
        <v>0</v>
      </c>
      <c r="F662" s="80" t="b">
        <v>0</v>
      </c>
      <c r="G662" s="80" t="b">
        <v>0</v>
      </c>
    </row>
    <row r="663" spans="1:7" ht="15">
      <c r="A663" s="81" t="s">
        <v>3876</v>
      </c>
      <c r="B663" s="80">
        <v>2</v>
      </c>
      <c r="C663" s="105">
        <v>0.0009240081668555858</v>
      </c>
      <c r="D663" s="80" t="s">
        <v>3896</v>
      </c>
      <c r="E663" s="80" t="b">
        <v>0</v>
      </c>
      <c r="F663" s="80" t="b">
        <v>0</v>
      </c>
      <c r="G663" s="80" t="b">
        <v>0</v>
      </c>
    </row>
    <row r="664" spans="1:7" ht="15">
      <c r="A664" s="81" t="s">
        <v>3877</v>
      </c>
      <c r="B664" s="80">
        <v>2</v>
      </c>
      <c r="C664" s="105">
        <v>0.0009240081668555858</v>
      </c>
      <c r="D664" s="80" t="s">
        <v>3896</v>
      </c>
      <c r="E664" s="80" t="b">
        <v>0</v>
      </c>
      <c r="F664" s="80" t="b">
        <v>0</v>
      </c>
      <c r="G664" s="80" t="b">
        <v>0</v>
      </c>
    </row>
    <row r="665" spans="1:7" ht="15">
      <c r="A665" s="81" t="s">
        <v>3878</v>
      </c>
      <c r="B665" s="80">
        <v>2</v>
      </c>
      <c r="C665" s="105">
        <v>0.0009240081668555858</v>
      </c>
      <c r="D665" s="80" t="s">
        <v>3896</v>
      </c>
      <c r="E665" s="80" t="b">
        <v>0</v>
      </c>
      <c r="F665" s="80" t="b">
        <v>0</v>
      </c>
      <c r="G665" s="80" t="b">
        <v>0</v>
      </c>
    </row>
    <row r="666" spans="1:7" ht="15">
      <c r="A666" s="81" t="s">
        <v>3879</v>
      </c>
      <c r="B666" s="80">
        <v>2</v>
      </c>
      <c r="C666" s="105">
        <v>0.0009240081668555858</v>
      </c>
      <c r="D666" s="80" t="s">
        <v>3896</v>
      </c>
      <c r="E666" s="80" t="b">
        <v>0</v>
      </c>
      <c r="F666" s="80" t="b">
        <v>1</v>
      </c>
      <c r="G666" s="80" t="b">
        <v>0</v>
      </c>
    </row>
    <row r="667" spans="1:7" ht="15">
      <c r="A667" s="81" t="s">
        <v>3880</v>
      </c>
      <c r="B667" s="80">
        <v>2</v>
      </c>
      <c r="C667" s="105">
        <v>0.0009240081668555858</v>
      </c>
      <c r="D667" s="80" t="s">
        <v>3896</v>
      </c>
      <c r="E667" s="80" t="b">
        <v>0</v>
      </c>
      <c r="F667" s="80" t="b">
        <v>0</v>
      </c>
      <c r="G667" s="80" t="b">
        <v>0</v>
      </c>
    </row>
    <row r="668" spans="1:7" ht="15">
      <c r="A668" s="81" t="s">
        <v>3881</v>
      </c>
      <c r="B668" s="80">
        <v>2</v>
      </c>
      <c r="C668" s="105">
        <v>0.0010487874396696714</v>
      </c>
      <c r="D668" s="80" t="s">
        <v>3896</v>
      </c>
      <c r="E668" s="80" t="b">
        <v>0</v>
      </c>
      <c r="F668" s="80" t="b">
        <v>0</v>
      </c>
      <c r="G668" s="80" t="b">
        <v>0</v>
      </c>
    </row>
    <row r="669" spans="1:7" ht="15">
      <c r="A669" s="81" t="s">
        <v>3882</v>
      </c>
      <c r="B669" s="80">
        <v>2</v>
      </c>
      <c r="C669" s="105">
        <v>0.0009240081668555858</v>
      </c>
      <c r="D669" s="80" t="s">
        <v>3896</v>
      </c>
      <c r="E669" s="80" t="b">
        <v>0</v>
      </c>
      <c r="F669" s="80" t="b">
        <v>0</v>
      </c>
      <c r="G669" s="80" t="b">
        <v>0</v>
      </c>
    </row>
    <row r="670" spans="1:7" ht="15">
      <c r="A670" s="81" t="s">
        <v>3883</v>
      </c>
      <c r="B670" s="80">
        <v>2</v>
      </c>
      <c r="C670" s="105">
        <v>0.0009240081668555858</v>
      </c>
      <c r="D670" s="80" t="s">
        <v>3896</v>
      </c>
      <c r="E670" s="80" t="b">
        <v>0</v>
      </c>
      <c r="F670" s="80" t="b">
        <v>1</v>
      </c>
      <c r="G670" s="80" t="b">
        <v>0</v>
      </c>
    </row>
    <row r="671" spans="1:7" ht="15">
      <c r="A671" s="81" t="s">
        <v>3884</v>
      </c>
      <c r="B671" s="80">
        <v>2</v>
      </c>
      <c r="C671" s="105">
        <v>0.0010487874396696714</v>
      </c>
      <c r="D671" s="80" t="s">
        <v>3896</v>
      </c>
      <c r="E671" s="80" t="b">
        <v>0</v>
      </c>
      <c r="F671" s="80" t="b">
        <v>1</v>
      </c>
      <c r="G671" s="80" t="b">
        <v>0</v>
      </c>
    </row>
    <row r="672" spans="1:7" ht="15">
      <c r="A672" s="81" t="s">
        <v>3885</v>
      </c>
      <c r="B672" s="80">
        <v>2</v>
      </c>
      <c r="C672" s="105">
        <v>0.0010487874396696714</v>
      </c>
      <c r="D672" s="80" t="s">
        <v>3896</v>
      </c>
      <c r="E672" s="80" t="b">
        <v>0</v>
      </c>
      <c r="F672" s="80" t="b">
        <v>0</v>
      </c>
      <c r="G672" s="80" t="b">
        <v>0</v>
      </c>
    </row>
    <row r="673" spans="1:7" ht="15">
      <c r="A673" s="81" t="s">
        <v>3886</v>
      </c>
      <c r="B673" s="80">
        <v>2</v>
      </c>
      <c r="C673" s="105">
        <v>0.0010487874396696714</v>
      </c>
      <c r="D673" s="80" t="s">
        <v>3896</v>
      </c>
      <c r="E673" s="80" t="b">
        <v>0</v>
      </c>
      <c r="F673" s="80" t="b">
        <v>1</v>
      </c>
      <c r="G673" s="80" t="b">
        <v>0</v>
      </c>
    </row>
    <row r="674" spans="1:7" ht="15">
      <c r="A674" s="81" t="s">
        <v>3887</v>
      </c>
      <c r="B674" s="80">
        <v>2</v>
      </c>
      <c r="C674" s="105">
        <v>0.0010487874396696714</v>
      </c>
      <c r="D674" s="80" t="s">
        <v>3896</v>
      </c>
      <c r="E674" s="80" t="b">
        <v>0</v>
      </c>
      <c r="F674" s="80" t="b">
        <v>1</v>
      </c>
      <c r="G674" s="80" t="b">
        <v>0</v>
      </c>
    </row>
    <row r="675" spans="1:7" ht="15">
      <c r="A675" s="81" t="s">
        <v>3888</v>
      </c>
      <c r="B675" s="80">
        <v>2</v>
      </c>
      <c r="C675" s="105">
        <v>0.0010487874396696714</v>
      </c>
      <c r="D675" s="80" t="s">
        <v>3896</v>
      </c>
      <c r="E675" s="80" t="b">
        <v>0</v>
      </c>
      <c r="F675" s="80" t="b">
        <v>1</v>
      </c>
      <c r="G675" s="80" t="b">
        <v>0</v>
      </c>
    </row>
    <row r="676" spans="1:7" ht="15">
      <c r="A676" s="81" t="s">
        <v>3889</v>
      </c>
      <c r="B676" s="80">
        <v>2</v>
      </c>
      <c r="C676" s="105">
        <v>0.0009240081668555858</v>
      </c>
      <c r="D676" s="80" t="s">
        <v>3896</v>
      </c>
      <c r="E676" s="80" t="b">
        <v>0</v>
      </c>
      <c r="F676" s="80" t="b">
        <v>0</v>
      </c>
      <c r="G676" s="80" t="b">
        <v>0</v>
      </c>
    </row>
    <row r="677" spans="1:7" ht="15">
      <c r="A677" s="81" t="s">
        <v>3890</v>
      </c>
      <c r="B677" s="80">
        <v>2</v>
      </c>
      <c r="C677" s="105">
        <v>0.0010487874396696714</v>
      </c>
      <c r="D677" s="80" t="s">
        <v>3896</v>
      </c>
      <c r="E677" s="80" t="b">
        <v>0</v>
      </c>
      <c r="F677" s="80" t="b">
        <v>0</v>
      </c>
      <c r="G677" s="80" t="b">
        <v>0</v>
      </c>
    </row>
    <row r="678" spans="1:7" ht="15">
      <c r="A678" s="81" t="s">
        <v>3260</v>
      </c>
      <c r="B678" s="80">
        <v>29</v>
      </c>
      <c r="C678" s="105">
        <v>0</v>
      </c>
      <c r="D678" s="80" t="s">
        <v>3176</v>
      </c>
      <c r="E678" s="80" t="b">
        <v>0</v>
      </c>
      <c r="F678" s="80" t="b">
        <v>0</v>
      </c>
      <c r="G678" s="80" t="b">
        <v>0</v>
      </c>
    </row>
    <row r="679" spans="1:7" ht="15">
      <c r="A679" s="81" t="s">
        <v>3288</v>
      </c>
      <c r="B679" s="80">
        <v>17</v>
      </c>
      <c r="C679" s="105">
        <v>0.0073156480535280085</v>
      </c>
      <c r="D679" s="80" t="s">
        <v>3176</v>
      </c>
      <c r="E679" s="80" t="b">
        <v>0</v>
      </c>
      <c r="F679" s="80" t="b">
        <v>0</v>
      </c>
      <c r="G679" s="80" t="b">
        <v>0</v>
      </c>
    </row>
    <row r="680" spans="1:7" ht="15">
      <c r="A680" s="81" t="s">
        <v>3266</v>
      </c>
      <c r="B680" s="80">
        <v>15</v>
      </c>
      <c r="C680" s="105">
        <v>0.007967720004914884</v>
      </c>
      <c r="D680" s="80" t="s">
        <v>3176</v>
      </c>
      <c r="E680" s="80" t="b">
        <v>0</v>
      </c>
      <c r="F680" s="80" t="b">
        <v>0</v>
      </c>
      <c r="G680" s="80" t="b">
        <v>0</v>
      </c>
    </row>
    <row r="681" spans="1:7" ht="15">
      <c r="A681" s="81" t="s">
        <v>3310</v>
      </c>
      <c r="B681" s="80">
        <v>11</v>
      </c>
      <c r="C681" s="105">
        <v>0.008591945157974103</v>
      </c>
      <c r="D681" s="80" t="s">
        <v>3176</v>
      </c>
      <c r="E681" s="80" t="b">
        <v>0</v>
      </c>
      <c r="F681" s="80" t="b">
        <v>0</v>
      </c>
      <c r="G681" s="80" t="b">
        <v>0</v>
      </c>
    </row>
    <row r="682" spans="1:7" ht="15">
      <c r="A682" s="81" t="s">
        <v>3311</v>
      </c>
      <c r="B682" s="80">
        <v>9</v>
      </c>
      <c r="C682" s="105">
        <v>0.008484971050346346</v>
      </c>
      <c r="D682" s="80" t="s">
        <v>3176</v>
      </c>
      <c r="E682" s="80" t="b">
        <v>0</v>
      </c>
      <c r="F682" s="80" t="b">
        <v>0</v>
      </c>
      <c r="G682" s="80" t="b">
        <v>0</v>
      </c>
    </row>
    <row r="683" spans="1:7" ht="15">
      <c r="A683" s="81" t="s">
        <v>447</v>
      </c>
      <c r="B683" s="80">
        <v>8</v>
      </c>
      <c r="C683" s="105">
        <v>0.008301417601588312</v>
      </c>
      <c r="D683" s="80" t="s">
        <v>3176</v>
      </c>
      <c r="E683" s="80" t="b">
        <v>0</v>
      </c>
      <c r="F683" s="80" t="b">
        <v>0</v>
      </c>
      <c r="G683" s="80" t="b">
        <v>0</v>
      </c>
    </row>
    <row r="684" spans="1:7" ht="15">
      <c r="A684" s="81" t="s">
        <v>3349</v>
      </c>
      <c r="B684" s="80">
        <v>8</v>
      </c>
      <c r="C684" s="105">
        <v>0.008301417601588312</v>
      </c>
      <c r="D684" s="80" t="s">
        <v>3176</v>
      </c>
      <c r="E684" s="80" t="b">
        <v>0</v>
      </c>
      <c r="F684" s="80" t="b">
        <v>0</v>
      </c>
      <c r="G684" s="80" t="b">
        <v>0</v>
      </c>
    </row>
    <row r="685" spans="1:7" ht="15">
      <c r="A685" s="81" t="s">
        <v>3289</v>
      </c>
      <c r="B685" s="80">
        <v>8</v>
      </c>
      <c r="C685" s="105">
        <v>0.014623773553681538</v>
      </c>
      <c r="D685" s="80" t="s">
        <v>3176</v>
      </c>
      <c r="E685" s="80" t="b">
        <v>0</v>
      </c>
      <c r="F685" s="80" t="b">
        <v>1</v>
      </c>
      <c r="G685" s="80" t="b">
        <v>0</v>
      </c>
    </row>
    <row r="686" spans="1:7" ht="15">
      <c r="A686" s="81" t="s">
        <v>532</v>
      </c>
      <c r="B686" s="80">
        <v>7</v>
      </c>
      <c r="C686" s="105">
        <v>0.008886321396302759</v>
      </c>
      <c r="D686" s="80" t="s">
        <v>3176</v>
      </c>
      <c r="E686" s="80" t="b">
        <v>0</v>
      </c>
      <c r="F686" s="80" t="b">
        <v>0</v>
      </c>
      <c r="G686" s="80" t="b">
        <v>0</v>
      </c>
    </row>
    <row r="687" spans="1:7" ht="15">
      <c r="A687" s="81" t="s">
        <v>2768</v>
      </c>
      <c r="B687" s="80">
        <v>6</v>
      </c>
      <c r="C687" s="105">
        <v>0.008498270800329543</v>
      </c>
      <c r="D687" s="80" t="s">
        <v>3176</v>
      </c>
      <c r="E687" s="80" t="b">
        <v>0</v>
      </c>
      <c r="F687" s="80" t="b">
        <v>0</v>
      </c>
      <c r="G687" s="80" t="b">
        <v>0</v>
      </c>
    </row>
    <row r="688" spans="1:7" ht="15">
      <c r="A688" s="81" t="s">
        <v>3278</v>
      </c>
      <c r="B688" s="80">
        <v>6</v>
      </c>
      <c r="C688" s="105">
        <v>0.00761684691111665</v>
      </c>
      <c r="D688" s="80" t="s">
        <v>3176</v>
      </c>
      <c r="E688" s="80" t="b">
        <v>0</v>
      </c>
      <c r="F688" s="80" t="b">
        <v>0</v>
      </c>
      <c r="G688" s="80" t="b">
        <v>0</v>
      </c>
    </row>
    <row r="689" spans="1:7" ht="15">
      <c r="A689" s="81" t="s">
        <v>3376</v>
      </c>
      <c r="B689" s="80">
        <v>6</v>
      </c>
      <c r="C689" s="105">
        <v>0.00761684691111665</v>
      </c>
      <c r="D689" s="80" t="s">
        <v>3176</v>
      </c>
      <c r="E689" s="80" t="b">
        <v>0</v>
      </c>
      <c r="F689" s="80" t="b">
        <v>0</v>
      </c>
      <c r="G689" s="80" t="b">
        <v>0</v>
      </c>
    </row>
    <row r="690" spans="1:7" ht="15">
      <c r="A690" s="81" t="s">
        <v>497</v>
      </c>
      <c r="B690" s="80">
        <v>5</v>
      </c>
      <c r="C690" s="105">
        <v>0.007081892333607952</v>
      </c>
      <c r="D690" s="80" t="s">
        <v>3176</v>
      </c>
      <c r="E690" s="80" t="b">
        <v>0</v>
      </c>
      <c r="F690" s="80" t="b">
        <v>0</v>
      </c>
      <c r="G690" s="80" t="b">
        <v>0</v>
      </c>
    </row>
    <row r="691" spans="1:7" ht="15">
      <c r="A691" s="81" t="s">
        <v>3392</v>
      </c>
      <c r="B691" s="80">
        <v>5</v>
      </c>
      <c r="C691" s="105">
        <v>0.007081892333607952</v>
      </c>
      <c r="D691" s="80" t="s">
        <v>3176</v>
      </c>
      <c r="E691" s="80" t="b">
        <v>0</v>
      </c>
      <c r="F691" s="80" t="b">
        <v>0</v>
      </c>
      <c r="G691" s="80" t="b">
        <v>0</v>
      </c>
    </row>
    <row r="692" spans="1:7" ht="15">
      <c r="A692" s="81" t="s">
        <v>542</v>
      </c>
      <c r="B692" s="80">
        <v>5</v>
      </c>
      <c r="C692" s="105">
        <v>0.007081892333607952</v>
      </c>
      <c r="D692" s="80" t="s">
        <v>3176</v>
      </c>
      <c r="E692" s="80" t="b">
        <v>0</v>
      </c>
      <c r="F692" s="80" t="b">
        <v>0</v>
      </c>
      <c r="G692" s="80" t="b">
        <v>0</v>
      </c>
    </row>
    <row r="693" spans="1:7" ht="15">
      <c r="A693" s="81" t="s">
        <v>3391</v>
      </c>
      <c r="B693" s="80">
        <v>5</v>
      </c>
      <c r="C693" s="105">
        <v>0.007081892333607952</v>
      </c>
      <c r="D693" s="80" t="s">
        <v>3176</v>
      </c>
      <c r="E693" s="80" t="b">
        <v>0</v>
      </c>
      <c r="F693" s="80" t="b">
        <v>0</v>
      </c>
      <c r="G693" s="80" t="b">
        <v>0</v>
      </c>
    </row>
    <row r="694" spans="1:7" ht="15">
      <c r="A694" s="81" t="s">
        <v>3393</v>
      </c>
      <c r="B694" s="80">
        <v>5</v>
      </c>
      <c r="C694" s="105">
        <v>0.007081892333607952</v>
      </c>
      <c r="D694" s="80" t="s">
        <v>3176</v>
      </c>
      <c r="E694" s="80" t="b">
        <v>0</v>
      </c>
      <c r="F694" s="80" t="b">
        <v>0</v>
      </c>
      <c r="G694" s="80" t="b">
        <v>0</v>
      </c>
    </row>
    <row r="695" spans="1:7" ht="15">
      <c r="A695" s="81" t="s">
        <v>501</v>
      </c>
      <c r="B695" s="80">
        <v>5</v>
      </c>
      <c r="C695" s="105">
        <v>0.007081892333607952</v>
      </c>
      <c r="D695" s="80" t="s">
        <v>3176</v>
      </c>
      <c r="E695" s="80" t="b">
        <v>0</v>
      </c>
      <c r="F695" s="80" t="b">
        <v>0</v>
      </c>
      <c r="G695" s="80" t="b">
        <v>0</v>
      </c>
    </row>
    <row r="696" spans="1:7" ht="15">
      <c r="A696" s="81" t="s">
        <v>3360</v>
      </c>
      <c r="B696" s="80">
        <v>5</v>
      </c>
      <c r="C696" s="105">
        <v>0.007980872046113115</v>
      </c>
      <c r="D696" s="80" t="s">
        <v>3176</v>
      </c>
      <c r="E696" s="80" t="b">
        <v>0</v>
      </c>
      <c r="F696" s="80" t="b">
        <v>0</v>
      </c>
      <c r="G696" s="80" t="b">
        <v>0</v>
      </c>
    </row>
    <row r="697" spans="1:7" ht="15">
      <c r="A697" s="81" t="s">
        <v>584</v>
      </c>
      <c r="B697" s="80">
        <v>4</v>
      </c>
      <c r="C697" s="105">
        <v>0.006384697636890492</v>
      </c>
      <c r="D697" s="80" t="s">
        <v>3176</v>
      </c>
      <c r="E697" s="80" t="b">
        <v>0</v>
      </c>
      <c r="F697" s="80" t="b">
        <v>0</v>
      </c>
      <c r="G697" s="80" t="b">
        <v>0</v>
      </c>
    </row>
    <row r="698" spans="1:7" ht="15">
      <c r="A698" s="81" t="s">
        <v>3430</v>
      </c>
      <c r="B698" s="80">
        <v>4</v>
      </c>
      <c r="C698" s="105">
        <v>0.006384697636890492</v>
      </c>
      <c r="D698" s="80" t="s">
        <v>3176</v>
      </c>
      <c r="E698" s="80" t="b">
        <v>0</v>
      </c>
      <c r="F698" s="80" t="b">
        <v>0</v>
      </c>
      <c r="G698" s="80" t="b">
        <v>0</v>
      </c>
    </row>
    <row r="699" spans="1:7" ht="15">
      <c r="A699" s="81" t="s">
        <v>3431</v>
      </c>
      <c r="B699" s="80">
        <v>4</v>
      </c>
      <c r="C699" s="105">
        <v>0.006384697636890492</v>
      </c>
      <c r="D699" s="80" t="s">
        <v>3176</v>
      </c>
      <c r="E699" s="80" t="b">
        <v>0</v>
      </c>
      <c r="F699" s="80" t="b">
        <v>0</v>
      </c>
      <c r="G699" s="80" t="b">
        <v>0</v>
      </c>
    </row>
    <row r="700" spans="1:7" ht="15">
      <c r="A700" s="81" t="s">
        <v>533</v>
      </c>
      <c r="B700" s="80">
        <v>4</v>
      </c>
      <c r="C700" s="105">
        <v>0.006384697636890492</v>
      </c>
      <c r="D700" s="80" t="s">
        <v>3176</v>
      </c>
      <c r="E700" s="80" t="b">
        <v>0</v>
      </c>
      <c r="F700" s="80" t="b">
        <v>0</v>
      </c>
      <c r="G700" s="80" t="b">
        <v>0</v>
      </c>
    </row>
    <row r="701" spans="1:7" ht="15">
      <c r="A701" s="81" t="s">
        <v>3432</v>
      </c>
      <c r="B701" s="80">
        <v>4</v>
      </c>
      <c r="C701" s="105">
        <v>0.006384697636890492</v>
      </c>
      <c r="D701" s="80" t="s">
        <v>3176</v>
      </c>
      <c r="E701" s="80" t="b">
        <v>0</v>
      </c>
      <c r="F701" s="80" t="b">
        <v>0</v>
      </c>
      <c r="G701" s="80" t="b">
        <v>0</v>
      </c>
    </row>
    <row r="702" spans="1:7" ht="15">
      <c r="A702" s="81" t="s">
        <v>3435</v>
      </c>
      <c r="B702" s="80">
        <v>4</v>
      </c>
      <c r="C702" s="105">
        <v>0.006384697636890492</v>
      </c>
      <c r="D702" s="80" t="s">
        <v>3176</v>
      </c>
      <c r="E702" s="80" t="b">
        <v>0</v>
      </c>
      <c r="F702" s="80" t="b">
        <v>0</v>
      </c>
      <c r="G702" s="80" t="b">
        <v>0</v>
      </c>
    </row>
    <row r="703" spans="1:7" ht="15">
      <c r="A703" s="81" t="s">
        <v>3436</v>
      </c>
      <c r="B703" s="80">
        <v>4</v>
      </c>
      <c r="C703" s="105">
        <v>0.006384697636890492</v>
      </c>
      <c r="D703" s="80" t="s">
        <v>3176</v>
      </c>
      <c r="E703" s="80" t="b">
        <v>0</v>
      </c>
      <c r="F703" s="80" t="b">
        <v>0</v>
      </c>
      <c r="G703" s="80" t="b">
        <v>0</v>
      </c>
    </row>
    <row r="704" spans="1:7" ht="15">
      <c r="A704" s="81" t="s">
        <v>3433</v>
      </c>
      <c r="B704" s="80">
        <v>4</v>
      </c>
      <c r="C704" s="105">
        <v>0.006384697636890492</v>
      </c>
      <c r="D704" s="80" t="s">
        <v>3176</v>
      </c>
      <c r="E704" s="80" t="b">
        <v>0</v>
      </c>
      <c r="F704" s="80" t="b">
        <v>0</v>
      </c>
      <c r="G704" s="80" t="b">
        <v>0</v>
      </c>
    </row>
    <row r="705" spans="1:7" ht="15">
      <c r="A705" s="81" t="s">
        <v>3319</v>
      </c>
      <c r="B705" s="80">
        <v>4</v>
      </c>
      <c r="C705" s="105">
        <v>0.007311886776840769</v>
      </c>
      <c r="D705" s="80" t="s">
        <v>3176</v>
      </c>
      <c r="E705" s="80" t="b">
        <v>0</v>
      </c>
      <c r="F705" s="80" t="b">
        <v>0</v>
      </c>
      <c r="G705" s="80" t="b">
        <v>0</v>
      </c>
    </row>
    <row r="706" spans="1:7" ht="15">
      <c r="A706" s="81" t="s">
        <v>3340</v>
      </c>
      <c r="B706" s="80">
        <v>4</v>
      </c>
      <c r="C706" s="105">
        <v>0.006384697636890492</v>
      </c>
      <c r="D706" s="80" t="s">
        <v>3176</v>
      </c>
      <c r="E706" s="80" t="b">
        <v>0</v>
      </c>
      <c r="F706" s="80" t="b">
        <v>0</v>
      </c>
      <c r="G706" s="80" t="b">
        <v>0</v>
      </c>
    </row>
    <row r="707" spans="1:7" ht="15">
      <c r="A707" s="81" t="s">
        <v>3536</v>
      </c>
      <c r="B707" s="80">
        <v>3</v>
      </c>
      <c r="C707" s="105">
        <v>0.005483915082630577</v>
      </c>
      <c r="D707" s="80" t="s">
        <v>3176</v>
      </c>
      <c r="E707" s="80" t="b">
        <v>0</v>
      </c>
      <c r="F707" s="80" t="b">
        <v>0</v>
      </c>
      <c r="G707" s="80" t="b">
        <v>0</v>
      </c>
    </row>
    <row r="708" spans="1:7" ht="15">
      <c r="A708" s="81" t="s">
        <v>3537</v>
      </c>
      <c r="B708" s="80">
        <v>3</v>
      </c>
      <c r="C708" s="105">
        <v>0.0064640148547401195</v>
      </c>
      <c r="D708" s="80" t="s">
        <v>3176</v>
      </c>
      <c r="E708" s="80" t="b">
        <v>0</v>
      </c>
      <c r="F708" s="80" t="b">
        <v>0</v>
      </c>
      <c r="G708" s="80" t="b">
        <v>0</v>
      </c>
    </row>
    <row r="709" spans="1:7" ht="15">
      <c r="A709" s="81" t="s">
        <v>3538</v>
      </c>
      <c r="B709" s="80">
        <v>3</v>
      </c>
      <c r="C709" s="105">
        <v>0.005483915082630577</v>
      </c>
      <c r="D709" s="80" t="s">
        <v>3176</v>
      </c>
      <c r="E709" s="80" t="b">
        <v>0</v>
      </c>
      <c r="F709" s="80" t="b">
        <v>0</v>
      </c>
      <c r="G709" s="80" t="b">
        <v>0</v>
      </c>
    </row>
    <row r="710" spans="1:7" ht="15">
      <c r="A710" s="81" t="s">
        <v>3539</v>
      </c>
      <c r="B710" s="80">
        <v>3</v>
      </c>
      <c r="C710" s="105">
        <v>0.005483915082630577</v>
      </c>
      <c r="D710" s="80" t="s">
        <v>3176</v>
      </c>
      <c r="E710" s="80" t="b">
        <v>0</v>
      </c>
      <c r="F710" s="80" t="b">
        <v>0</v>
      </c>
      <c r="G710" s="80" t="b">
        <v>0</v>
      </c>
    </row>
    <row r="711" spans="1:7" ht="15">
      <c r="A711" s="81" t="s">
        <v>3542</v>
      </c>
      <c r="B711" s="80">
        <v>3</v>
      </c>
      <c r="C711" s="105">
        <v>0.005483915082630577</v>
      </c>
      <c r="D711" s="80" t="s">
        <v>3176</v>
      </c>
      <c r="E711" s="80" t="b">
        <v>0</v>
      </c>
      <c r="F711" s="80" t="b">
        <v>1</v>
      </c>
      <c r="G711" s="80" t="b">
        <v>0</v>
      </c>
    </row>
    <row r="712" spans="1:7" ht="15">
      <c r="A712" s="81" t="s">
        <v>3543</v>
      </c>
      <c r="B712" s="80">
        <v>3</v>
      </c>
      <c r="C712" s="105">
        <v>0.005483915082630577</v>
      </c>
      <c r="D712" s="80" t="s">
        <v>3176</v>
      </c>
      <c r="E712" s="80" t="b">
        <v>0</v>
      </c>
      <c r="F712" s="80" t="b">
        <v>1</v>
      </c>
      <c r="G712" s="80" t="b">
        <v>0</v>
      </c>
    </row>
    <row r="713" spans="1:7" ht="15">
      <c r="A713" s="81" t="s">
        <v>3437</v>
      </c>
      <c r="B713" s="80">
        <v>3</v>
      </c>
      <c r="C713" s="105">
        <v>0.005483915082630577</v>
      </c>
      <c r="D713" s="80" t="s">
        <v>3176</v>
      </c>
      <c r="E713" s="80" t="b">
        <v>0</v>
      </c>
      <c r="F713" s="80" t="b">
        <v>0</v>
      </c>
      <c r="G713" s="80" t="b">
        <v>0</v>
      </c>
    </row>
    <row r="714" spans="1:7" ht="15">
      <c r="A714" s="81" t="s">
        <v>500</v>
      </c>
      <c r="B714" s="80">
        <v>3</v>
      </c>
      <c r="C714" s="105">
        <v>0.0064640148547401195</v>
      </c>
      <c r="D714" s="80" t="s">
        <v>3176</v>
      </c>
      <c r="E714" s="80" t="b">
        <v>0</v>
      </c>
      <c r="F714" s="80" t="b">
        <v>0</v>
      </c>
      <c r="G714" s="80" t="b">
        <v>0</v>
      </c>
    </row>
    <row r="715" spans="1:7" ht="15">
      <c r="A715" s="81" t="s">
        <v>3545</v>
      </c>
      <c r="B715" s="80">
        <v>3</v>
      </c>
      <c r="C715" s="105">
        <v>0.005483915082630577</v>
      </c>
      <c r="D715" s="80" t="s">
        <v>3176</v>
      </c>
      <c r="E715" s="80" t="b">
        <v>0</v>
      </c>
      <c r="F715" s="80" t="b">
        <v>0</v>
      </c>
      <c r="G715" s="80" t="b">
        <v>0</v>
      </c>
    </row>
    <row r="716" spans="1:7" ht="15">
      <c r="A716" s="81" t="s">
        <v>3541</v>
      </c>
      <c r="B716" s="80">
        <v>3</v>
      </c>
      <c r="C716" s="105">
        <v>0.005483915082630577</v>
      </c>
      <c r="D716" s="80" t="s">
        <v>3176</v>
      </c>
      <c r="E716" s="80" t="b">
        <v>0</v>
      </c>
      <c r="F716" s="80" t="b">
        <v>0</v>
      </c>
      <c r="G716" s="80" t="b">
        <v>0</v>
      </c>
    </row>
    <row r="717" spans="1:7" ht="15">
      <c r="A717" s="81" t="s">
        <v>3304</v>
      </c>
      <c r="B717" s="80">
        <v>3</v>
      </c>
      <c r="C717" s="105">
        <v>0.0064640148547401195</v>
      </c>
      <c r="D717" s="80" t="s">
        <v>3176</v>
      </c>
      <c r="E717" s="80" t="b">
        <v>0</v>
      </c>
      <c r="F717" s="80" t="b">
        <v>0</v>
      </c>
      <c r="G717" s="80" t="b">
        <v>0</v>
      </c>
    </row>
    <row r="718" spans="1:7" ht="15">
      <c r="A718" s="81" t="s">
        <v>3544</v>
      </c>
      <c r="B718" s="80">
        <v>3</v>
      </c>
      <c r="C718" s="105">
        <v>0.005483915082630577</v>
      </c>
      <c r="D718" s="80" t="s">
        <v>3176</v>
      </c>
      <c r="E718" s="80" t="b">
        <v>0</v>
      </c>
      <c r="F718" s="80" t="b">
        <v>0</v>
      </c>
      <c r="G718" s="80" t="b">
        <v>0</v>
      </c>
    </row>
    <row r="719" spans="1:7" ht="15">
      <c r="A719" s="81" t="s">
        <v>3540</v>
      </c>
      <c r="B719" s="80">
        <v>3</v>
      </c>
      <c r="C719" s="105">
        <v>0.005483915082630577</v>
      </c>
      <c r="D719" s="80" t="s">
        <v>3176</v>
      </c>
      <c r="E719" s="80" t="b">
        <v>0</v>
      </c>
      <c r="F719" s="80" t="b">
        <v>0</v>
      </c>
      <c r="G719" s="80" t="b">
        <v>0</v>
      </c>
    </row>
    <row r="720" spans="1:7" ht="15">
      <c r="A720" s="81" t="s">
        <v>494</v>
      </c>
      <c r="B720" s="80">
        <v>3</v>
      </c>
      <c r="C720" s="105">
        <v>0.005483915082630577</v>
      </c>
      <c r="D720" s="80" t="s">
        <v>3176</v>
      </c>
      <c r="E720" s="80" t="b">
        <v>0</v>
      </c>
      <c r="F720" s="80" t="b">
        <v>0</v>
      </c>
      <c r="G720" s="80" t="b">
        <v>0</v>
      </c>
    </row>
    <row r="721" spans="1:7" ht="15">
      <c r="A721" s="81" t="s">
        <v>496</v>
      </c>
      <c r="B721" s="80">
        <v>3</v>
      </c>
      <c r="C721" s="105">
        <v>0.005483915082630577</v>
      </c>
      <c r="D721" s="80" t="s">
        <v>3176</v>
      </c>
      <c r="E721" s="80" t="b">
        <v>0</v>
      </c>
      <c r="F721" s="80" t="b">
        <v>0</v>
      </c>
      <c r="G721" s="80" t="b">
        <v>0</v>
      </c>
    </row>
    <row r="722" spans="1:7" ht="15">
      <c r="A722" s="81" t="s">
        <v>3396</v>
      </c>
      <c r="B722" s="80">
        <v>3</v>
      </c>
      <c r="C722" s="105">
        <v>0.005483915082630577</v>
      </c>
      <c r="D722" s="80" t="s">
        <v>3176</v>
      </c>
      <c r="E722" s="80" t="b">
        <v>0</v>
      </c>
      <c r="F722" s="80" t="b">
        <v>1</v>
      </c>
      <c r="G722" s="80" t="b">
        <v>0</v>
      </c>
    </row>
    <row r="723" spans="1:7" ht="15">
      <c r="A723" s="81" t="s">
        <v>3673</v>
      </c>
      <c r="B723" s="80">
        <v>2</v>
      </c>
      <c r="C723" s="105">
        <v>0.004309343236493413</v>
      </c>
      <c r="D723" s="80" t="s">
        <v>3176</v>
      </c>
      <c r="E723" s="80" t="b">
        <v>0</v>
      </c>
      <c r="F723" s="80" t="b">
        <v>0</v>
      </c>
      <c r="G723" s="80" t="b">
        <v>0</v>
      </c>
    </row>
    <row r="724" spans="1:7" ht="15">
      <c r="A724" s="81" t="s">
        <v>3674</v>
      </c>
      <c r="B724" s="80">
        <v>2</v>
      </c>
      <c r="C724" s="105">
        <v>0.004309343236493413</v>
      </c>
      <c r="D724" s="80" t="s">
        <v>3176</v>
      </c>
      <c r="E724" s="80" t="b">
        <v>0</v>
      </c>
      <c r="F724" s="80" t="b">
        <v>0</v>
      </c>
      <c r="G724" s="80" t="b">
        <v>0</v>
      </c>
    </row>
    <row r="725" spans="1:7" ht="15">
      <c r="A725" s="81" t="s">
        <v>512</v>
      </c>
      <c r="B725" s="80">
        <v>2</v>
      </c>
      <c r="C725" s="105">
        <v>0.004309343236493413</v>
      </c>
      <c r="D725" s="80" t="s">
        <v>3176</v>
      </c>
      <c r="E725" s="80" t="b">
        <v>0</v>
      </c>
      <c r="F725" s="80" t="b">
        <v>0</v>
      </c>
      <c r="G725" s="80" t="b">
        <v>0</v>
      </c>
    </row>
    <row r="726" spans="1:7" ht="15">
      <c r="A726" s="81" t="s">
        <v>3737</v>
      </c>
      <c r="B726" s="80">
        <v>2</v>
      </c>
      <c r="C726" s="105">
        <v>0.005426337654541581</v>
      </c>
      <c r="D726" s="80" t="s">
        <v>3176</v>
      </c>
      <c r="E726" s="80" t="b">
        <v>0</v>
      </c>
      <c r="F726" s="80" t="b">
        <v>0</v>
      </c>
      <c r="G726" s="80" t="b">
        <v>0</v>
      </c>
    </row>
    <row r="727" spans="1:7" ht="15">
      <c r="A727" s="81" t="s">
        <v>3732</v>
      </c>
      <c r="B727" s="80">
        <v>2</v>
      </c>
      <c r="C727" s="105">
        <v>0.004309343236493413</v>
      </c>
      <c r="D727" s="80" t="s">
        <v>3176</v>
      </c>
      <c r="E727" s="80" t="b">
        <v>0</v>
      </c>
      <c r="F727" s="80" t="b">
        <v>0</v>
      </c>
      <c r="G727" s="80" t="b">
        <v>0</v>
      </c>
    </row>
    <row r="728" spans="1:7" ht="15">
      <c r="A728" s="81" t="s">
        <v>3733</v>
      </c>
      <c r="B728" s="80">
        <v>2</v>
      </c>
      <c r="C728" s="105">
        <v>0.004309343236493413</v>
      </c>
      <c r="D728" s="80" t="s">
        <v>3176</v>
      </c>
      <c r="E728" s="80" t="b">
        <v>0</v>
      </c>
      <c r="F728" s="80" t="b">
        <v>0</v>
      </c>
      <c r="G728" s="80" t="b">
        <v>0</v>
      </c>
    </row>
    <row r="729" spans="1:7" ht="15">
      <c r="A729" s="81" t="s">
        <v>3734</v>
      </c>
      <c r="B729" s="80">
        <v>2</v>
      </c>
      <c r="C729" s="105">
        <v>0.004309343236493413</v>
      </c>
      <c r="D729" s="80" t="s">
        <v>3176</v>
      </c>
      <c r="E729" s="80" t="b">
        <v>0</v>
      </c>
      <c r="F729" s="80" t="b">
        <v>0</v>
      </c>
      <c r="G729" s="80" t="b">
        <v>0</v>
      </c>
    </row>
    <row r="730" spans="1:7" ht="15">
      <c r="A730" s="81" t="s">
        <v>3735</v>
      </c>
      <c r="B730" s="80">
        <v>2</v>
      </c>
      <c r="C730" s="105">
        <v>0.004309343236493413</v>
      </c>
      <c r="D730" s="80" t="s">
        <v>3176</v>
      </c>
      <c r="E730" s="80" t="b">
        <v>0</v>
      </c>
      <c r="F730" s="80" t="b">
        <v>0</v>
      </c>
      <c r="G730" s="80" t="b">
        <v>0</v>
      </c>
    </row>
    <row r="731" spans="1:7" ht="15">
      <c r="A731" s="81" t="s">
        <v>3351</v>
      </c>
      <c r="B731" s="80">
        <v>2</v>
      </c>
      <c r="C731" s="105">
        <v>0.004309343236493413</v>
      </c>
      <c r="D731" s="80" t="s">
        <v>3176</v>
      </c>
      <c r="E731" s="80" t="b">
        <v>0</v>
      </c>
      <c r="F731" s="80" t="b">
        <v>0</v>
      </c>
      <c r="G731" s="80" t="b">
        <v>0</v>
      </c>
    </row>
    <row r="732" spans="1:7" ht="15">
      <c r="A732" s="81" t="s">
        <v>3402</v>
      </c>
      <c r="B732" s="80">
        <v>2</v>
      </c>
      <c r="C732" s="105">
        <v>0.004309343236493413</v>
      </c>
      <c r="D732" s="80" t="s">
        <v>3176</v>
      </c>
      <c r="E732" s="80" t="b">
        <v>0</v>
      </c>
      <c r="F732" s="80" t="b">
        <v>0</v>
      </c>
      <c r="G732" s="80" t="b">
        <v>0</v>
      </c>
    </row>
    <row r="733" spans="1:7" ht="15">
      <c r="A733" s="81" t="s">
        <v>3280</v>
      </c>
      <c r="B733" s="80">
        <v>2</v>
      </c>
      <c r="C733" s="105">
        <v>0.004309343236493413</v>
      </c>
      <c r="D733" s="80" t="s">
        <v>3176</v>
      </c>
      <c r="E733" s="80" t="b">
        <v>0</v>
      </c>
      <c r="F733" s="80" t="b">
        <v>0</v>
      </c>
      <c r="G733" s="80" t="b">
        <v>0</v>
      </c>
    </row>
    <row r="734" spans="1:7" ht="15">
      <c r="A734" s="81" t="s">
        <v>3736</v>
      </c>
      <c r="B734" s="80">
        <v>2</v>
      </c>
      <c r="C734" s="105">
        <v>0.004309343236493413</v>
      </c>
      <c r="D734" s="80" t="s">
        <v>3176</v>
      </c>
      <c r="E734" s="80" t="b">
        <v>0</v>
      </c>
      <c r="F734" s="80" t="b">
        <v>0</v>
      </c>
      <c r="G734" s="80" t="b">
        <v>0</v>
      </c>
    </row>
    <row r="735" spans="1:7" ht="15">
      <c r="A735" s="81" t="s">
        <v>545</v>
      </c>
      <c r="B735" s="80">
        <v>2</v>
      </c>
      <c r="C735" s="105">
        <v>0.004309343236493413</v>
      </c>
      <c r="D735" s="80" t="s">
        <v>3176</v>
      </c>
      <c r="E735" s="80" t="b">
        <v>0</v>
      </c>
      <c r="F735" s="80" t="b">
        <v>0</v>
      </c>
      <c r="G735" s="80" t="b">
        <v>0</v>
      </c>
    </row>
    <row r="736" spans="1:7" ht="15">
      <c r="A736" s="81" t="s">
        <v>3696</v>
      </c>
      <c r="B736" s="80">
        <v>2</v>
      </c>
      <c r="C736" s="105">
        <v>0.004309343236493413</v>
      </c>
      <c r="D736" s="80" t="s">
        <v>3176</v>
      </c>
      <c r="E736" s="80" t="b">
        <v>0</v>
      </c>
      <c r="F736" s="80" t="b">
        <v>0</v>
      </c>
      <c r="G736" s="80" t="b">
        <v>0</v>
      </c>
    </row>
    <row r="737" spans="1:7" ht="15">
      <c r="A737" s="81" t="s">
        <v>3697</v>
      </c>
      <c r="B737" s="80">
        <v>2</v>
      </c>
      <c r="C737" s="105">
        <v>0.004309343236493413</v>
      </c>
      <c r="D737" s="80" t="s">
        <v>3176</v>
      </c>
      <c r="E737" s="80" t="b">
        <v>0</v>
      </c>
      <c r="F737" s="80" t="b">
        <v>0</v>
      </c>
      <c r="G737" s="80" t="b">
        <v>0</v>
      </c>
    </row>
    <row r="738" spans="1:7" ht="15">
      <c r="A738" s="81" t="s">
        <v>3698</v>
      </c>
      <c r="B738" s="80">
        <v>2</v>
      </c>
      <c r="C738" s="105">
        <v>0.004309343236493413</v>
      </c>
      <c r="D738" s="80" t="s">
        <v>3176</v>
      </c>
      <c r="E738" s="80" t="b">
        <v>0</v>
      </c>
      <c r="F738" s="80" t="b">
        <v>0</v>
      </c>
      <c r="G738" s="80" t="b">
        <v>0</v>
      </c>
    </row>
    <row r="739" spans="1:7" ht="15">
      <c r="A739" s="81" t="s">
        <v>3699</v>
      </c>
      <c r="B739" s="80">
        <v>2</v>
      </c>
      <c r="C739" s="105">
        <v>0.004309343236493413</v>
      </c>
      <c r="D739" s="80" t="s">
        <v>3176</v>
      </c>
      <c r="E739" s="80" t="b">
        <v>0</v>
      </c>
      <c r="F739" s="80" t="b">
        <v>0</v>
      </c>
      <c r="G739" s="80" t="b">
        <v>0</v>
      </c>
    </row>
    <row r="740" spans="1:7" ht="15">
      <c r="A740" s="81" t="s">
        <v>3683</v>
      </c>
      <c r="B740" s="80">
        <v>2</v>
      </c>
      <c r="C740" s="105">
        <v>0.005426337654541581</v>
      </c>
      <c r="D740" s="80" t="s">
        <v>3176</v>
      </c>
      <c r="E740" s="80" t="b">
        <v>0</v>
      </c>
      <c r="F740" s="80" t="b">
        <v>0</v>
      </c>
      <c r="G740" s="80" t="b">
        <v>0</v>
      </c>
    </row>
    <row r="741" spans="1:7" ht="15">
      <c r="A741" s="81" t="s">
        <v>3681</v>
      </c>
      <c r="B741" s="80">
        <v>2</v>
      </c>
      <c r="C741" s="105">
        <v>0.004309343236493413</v>
      </c>
      <c r="D741" s="80" t="s">
        <v>3176</v>
      </c>
      <c r="E741" s="80" t="b">
        <v>0</v>
      </c>
      <c r="F741" s="80" t="b">
        <v>0</v>
      </c>
      <c r="G741" s="80" t="b">
        <v>0</v>
      </c>
    </row>
    <row r="742" spans="1:7" ht="15">
      <c r="A742" s="81" t="s">
        <v>3675</v>
      </c>
      <c r="B742" s="80">
        <v>2</v>
      </c>
      <c r="C742" s="105">
        <v>0.004309343236493413</v>
      </c>
      <c r="D742" s="80" t="s">
        <v>3176</v>
      </c>
      <c r="E742" s="80" t="b">
        <v>0</v>
      </c>
      <c r="F742" s="80" t="b">
        <v>0</v>
      </c>
      <c r="G742" s="80" t="b">
        <v>0</v>
      </c>
    </row>
    <row r="743" spans="1:7" ht="15">
      <c r="A743" s="81" t="s">
        <v>3677</v>
      </c>
      <c r="B743" s="80">
        <v>2</v>
      </c>
      <c r="C743" s="105">
        <v>0.004309343236493413</v>
      </c>
      <c r="D743" s="80" t="s">
        <v>3176</v>
      </c>
      <c r="E743" s="80" t="b">
        <v>0</v>
      </c>
      <c r="F743" s="80" t="b">
        <v>0</v>
      </c>
      <c r="G743" s="80" t="b">
        <v>0</v>
      </c>
    </row>
    <row r="744" spans="1:7" ht="15">
      <c r="A744" s="81" t="s">
        <v>3676</v>
      </c>
      <c r="B744" s="80">
        <v>2</v>
      </c>
      <c r="C744" s="105">
        <v>0.004309343236493413</v>
      </c>
      <c r="D744" s="80" t="s">
        <v>3176</v>
      </c>
      <c r="E744" s="80" t="b">
        <v>0</v>
      </c>
      <c r="F744" s="80" t="b">
        <v>0</v>
      </c>
      <c r="G744" s="80" t="b">
        <v>0</v>
      </c>
    </row>
    <row r="745" spans="1:7" ht="15">
      <c r="A745" s="81" t="s">
        <v>3678</v>
      </c>
      <c r="B745" s="80">
        <v>2</v>
      </c>
      <c r="C745" s="105">
        <v>0.004309343236493413</v>
      </c>
      <c r="D745" s="80" t="s">
        <v>3176</v>
      </c>
      <c r="E745" s="80" t="b">
        <v>0</v>
      </c>
      <c r="F745" s="80" t="b">
        <v>0</v>
      </c>
      <c r="G745" s="80" t="b">
        <v>0</v>
      </c>
    </row>
    <row r="746" spans="1:7" ht="15">
      <c r="A746" s="81" t="s">
        <v>3535</v>
      </c>
      <c r="B746" s="80">
        <v>2</v>
      </c>
      <c r="C746" s="105">
        <v>0.004309343236493413</v>
      </c>
      <c r="D746" s="80" t="s">
        <v>3176</v>
      </c>
      <c r="E746" s="80" t="b">
        <v>0</v>
      </c>
      <c r="F746" s="80" t="b">
        <v>0</v>
      </c>
      <c r="G746" s="80" t="b">
        <v>0</v>
      </c>
    </row>
    <row r="747" spans="1:7" ht="15">
      <c r="A747" s="81" t="s">
        <v>3679</v>
      </c>
      <c r="B747" s="80">
        <v>2</v>
      </c>
      <c r="C747" s="105">
        <v>0.004309343236493413</v>
      </c>
      <c r="D747" s="80" t="s">
        <v>3176</v>
      </c>
      <c r="E747" s="80" t="b">
        <v>0</v>
      </c>
      <c r="F747" s="80" t="b">
        <v>0</v>
      </c>
      <c r="G747" s="80" t="b">
        <v>0</v>
      </c>
    </row>
    <row r="748" spans="1:7" ht="15">
      <c r="A748" s="81" t="s">
        <v>3680</v>
      </c>
      <c r="B748" s="80">
        <v>2</v>
      </c>
      <c r="C748" s="105">
        <v>0.004309343236493413</v>
      </c>
      <c r="D748" s="80" t="s">
        <v>3176</v>
      </c>
      <c r="E748" s="80" t="b">
        <v>0</v>
      </c>
      <c r="F748" s="80" t="b">
        <v>0</v>
      </c>
      <c r="G748" s="80" t="b">
        <v>0</v>
      </c>
    </row>
    <row r="749" spans="1:7" ht="15">
      <c r="A749" s="81" t="s">
        <v>3434</v>
      </c>
      <c r="B749" s="80">
        <v>2</v>
      </c>
      <c r="C749" s="105">
        <v>0.004309343236493413</v>
      </c>
      <c r="D749" s="80" t="s">
        <v>3176</v>
      </c>
      <c r="E749" s="80" t="b">
        <v>0</v>
      </c>
      <c r="F749" s="80" t="b">
        <v>0</v>
      </c>
      <c r="G749" s="80" t="b">
        <v>0</v>
      </c>
    </row>
    <row r="750" spans="1:7" ht="15">
      <c r="A750" s="81" t="s">
        <v>3622</v>
      </c>
      <c r="B750" s="80">
        <v>2</v>
      </c>
      <c r="C750" s="105">
        <v>0.004309343236493413</v>
      </c>
      <c r="D750" s="80" t="s">
        <v>3176</v>
      </c>
      <c r="E750" s="80" t="b">
        <v>0</v>
      </c>
      <c r="F750" s="80" t="b">
        <v>0</v>
      </c>
      <c r="G750" s="80" t="b">
        <v>0</v>
      </c>
    </row>
    <row r="751" spans="1:7" ht="15">
      <c r="A751" s="81" t="s">
        <v>458</v>
      </c>
      <c r="B751" s="80">
        <v>2</v>
      </c>
      <c r="C751" s="105">
        <v>0.004309343236493413</v>
      </c>
      <c r="D751" s="80" t="s">
        <v>3176</v>
      </c>
      <c r="E751" s="80" t="b">
        <v>0</v>
      </c>
      <c r="F751" s="80" t="b">
        <v>0</v>
      </c>
      <c r="G751" s="80" t="b">
        <v>0</v>
      </c>
    </row>
    <row r="752" spans="1:7" ht="15">
      <c r="A752" s="81" t="s">
        <v>3357</v>
      </c>
      <c r="B752" s="80">
        <v>2</v>
      </c>
      <c r="C752" s="105">
        <v>0.004309343236493413</v>
      </c>
      <c r="D752" s="80" t="s">
        <v>3176</v>
      </c>
      <c r="E752" s="80" t="b">
        <v>0</v>
      </c>
      <c r="F752" s="80" t="b">
        <v>0</v>
      </c>
      <c r="G752" s="80" t="b">
        <v>0</v>
      </c>
    </row>
    <row r="753" spans="1:7" ht="15">
      <c r="A753" s="81" t="s">
        <v>3723</v>
      </c>
      <c r="B753" s="80">
        <v>2</v>
      </c>
      <c r="C753" s="105">
        <v>0.004309343236493413</v>
      </c>
      <c r="D753" s="80" t="s">
        <v>3176</v>
      </c>
      <c r="E753" s="80" t="b">
        <v>0</v>
      </c>
      <c r="F753" s="80" t="b">
        <v>0</v>
      </c>
      <c r="G753" s="80" t="b">
        <v>0</v>
      </c>
    </row>
    <row r="754" spans="1:7" ht="15">
      <c r="A754" s="81" t="s">
        <v>3728</v>
      </c>
      <c r="B754" s="80">
        <v>2</v>
      </c>
      <c r="C754" s="105">
        <v>0.004309343236493413</v>
      </c>
      <c r="D754" s="80" t="s">
        <v>3176</v>
      </c>
      <c r="E754" s="80" t="b">
        <v>0</v>
      </c>
      <c r="F754" s="80" t="b">
        <v>0</v>
      </c>
      <c r="G754" s="80" t="b">
        <v>0</v>
      </c>
    </row>
    <row r="755" spans="1:7" ht="15">
      <c r="A755" s="81" t="s">
        <v>3626</v>
      </c>
      <c r="B755" s="80">
        <v>2</v>
      </c>
      <c r="C755" s="105">
        <v>0.005426337654541581</v>
      </c>
      <c r="D755" s="80" t="s">
        <v>3176</v>
      </c>
      <c r="E755" s="80" t="b">
        <v>0</v>
      </c>
      <c r="F755" s="80" t="b">
        <v>0</v>
      </c>
      <c r="G755" s="80" t="b">
        <v>0</v>
      </c>
    </row>
    <row r="756" spans="1:7" ht="15">
      <c r="A756" s="81" t="s">
        <v>3727</v>
      </c>
      <c r="B756" s="80">
        <v>2</v>
      </c>
      <c r="C756" s="105">
        <v>0.005426337654541581</v>
      </c>
      <c r="D756" s="80" t="s">
        <v>3176</v>
      </c>
      <c r="E756" s="80" t="b">
        <v>0</v>
      </c>
      <c r="F756" s="80" t="b">
        <v>0</v>
      </c>
      <c r="G756" s="80" t="b">
        <v>0</v>
      </c>
    </row>
    <row r="757" spans="1:7" ht="15">
      <c r="A757" s="81" t="s">
        <v>3725</v>
      </c>
      <c r="B757" s="80">
        <v>2</v>
      </c>
      <c r="C757" s="105">
        <v>0.004309343236493413</v>
      </c>
      <c r="D757" s="80" t="s">
        <v>3176</v>
      </c>
      <c r="E757" s="80" t="b">
        <v>0</v>
      </c>
      <c r="F757" s="80" t="b">
        <v>0</v>
      </c>
      <c r="G757" s="80" t="b">
        <v>0</v>
      </c>
    </row>
    <row r="758" spans="1:7" ht="15">
      <c r="A758" s="81" t="s">
        <v>3726</v>
      </c>
      <c r="B758" s="80">
        <v>2</v>
      </c>
      <c r="C758" s="105">
        <v>0.005426337654541581</v>
      </c>
      <c r="D758" s="80" t="s">
        <v>3176</v>
      </c>
      <c r="E758" s="80" t="b">
        <v>0</v>
      </c>
      <c r="F758" s="80" t="b">
        <v>0</v>
      </c>
      <c r="G758" s="80" t="b">
        <v>0</v>
      </c>
    </row>
    <row r="759" spans="1:7" ht="15">
      <c r="A759" s="81" t="s">
        <v>3472</v>
      </c>
      <c r="B759" s="80">
        <v>2</v>
      </c>
      <c r="C759" s="105">
        <v>0.005426337654541581</v>
      </c>
      <c r="D759" s="80" t="s">
        <v>3176</v>
      </c>
      <c r="E759" s="80" t="b">
        <v>0</v>
      </c>
      <c r="F759" s="80" t="b">
        <v>0</v>
      </c>
      <c r="G759" s="80" t="b">
        <v>0</v>
      </c>
    </row>
    <row r="760" spans="1:7" ht="15">
      <c r="A760" s="81" t="s">
        <v>3260</v>
      </c>
      <c r="B760" s="80">
        <v>73</v>
      </c>
      <c r="C760" s="105">
        <v>0.0014542408288205993</v>
      </c>
      <c r="D760" s="80" t="s">
        <v>3177</v>
      </c>
      <c r="E760" s="80" t="b">
        <v>0</v>
      </c>
      <c r="F760" s="80" t="b">
        <v>0</v>
      </c>
      <c r="G760" s="80" t="b">
        <v>0</v>
      </c>
    </row>
    <row r="761" spans="1:7" ht="15">
      <c r="A761" s="81" t="s">
        <v>3263</v>
      </c>
      <c r="B761" s="80">
        <v>43</v>
      </c>
      <c r="C761" s="105">
        <v>0.012113713984227571</v>
      </c>
      <c r="D761" s="80" t="s">
        <v>3177</v>
      </c>
      <c r="E761" s="80" t="b">
        <v>0</v>
      </c>
      <c r="F761" s="80" t="b">
        <v>0</v>
      </c>
      <c r="G761" s="80" t="b">
        <v>0</v>
      </c>
    </row>
    <row r="762" spans="1:7" ht="15">
      <c r="A762" s="81" t="s">
        <v>3264</v>
      </c>
      <c r="B762" s="80">
        <v>43</v>
      </c>
      <c r="C762" s="105">
        <v>0.012113713984227571</v>
      </c>
      <c r="D762" s="80" t="s">
        <v>3177</v>
      </c>
      <c r="E762" s="80" t="b">
        <v>0</v>
      </c>
      <c r="F762" s="80" t="b">
        <v>0</v>
      </c>
      <c r="G762" s="80" t="b">
        <v>0</v>
      </c>
    </row>
    <row r="763" spans="1:7" ht="15">
      <c r="A763" s="81" t="s">
        <v>3265</v>
      </c>
      <c r="B763" s="80">
        <v>43</v>
      </c>
      <c r="C763" s="105">
        <v>0.012113713984227571</v>
      </c>
      <c r="D763" s="80" t="s">
        <v>3177</v>
      </c>
      <c r="E763" s="80" t="b">
        <v>0</v>
      </c>
      <c r="F763" s="80" t="b">
        <v>0</v>
      </c>
      <c r="G763" s="80" t="b">
        <v>0</v>
      </c>
    </row>
    <row r="764" spans="1:7" ht="15">
      <c r="A764" s="81" t="s">
        <v>3261</v>
      </c>
      <c r="B764" s="80">
        <v>31</v>
      </c>
      <c r="C764" s="105">
        <v>0.013750579557906695</v>
      </c>
      <c r="D764" s="80" t="s">
        <v>3177</v>
      </c>
      <c r="E764" s="80" t="b">
        <v>0</v>
      </c>
      <c r="F764" s="80" t="b">
        <v>0</v>
      </c>
      <c r="G764" s="80" t="b">
        <v>0</v>
      </c>
    </row>
    <row r="765" spans="1:7" ht="15">
      <c r="A765" s="81" t="s">
        <v>3270</v>
      </c>
      <c r="B765" s="80">
        <v>25</v>
      </c>
      <c r="C765" s="105">
        <v>0.01374924782485062</v>
      </c>
      <c r="D765" s="80" t="s">
        <v>3177</v>
      </c>
      <c r="E765" s="80" t="b">
        <v>0</v>
      </c>
      <c r="F765" s="80" t="b">
        <v>0</v>
      </c>
      <c r="G765" s="80" t="b">
        <v>0</v>
      </c>
    </row>
    <row r="766" spans="1:7" ht="15">
      <c r="A766" s="81" t="s">
        <v>3271</v>
      </c>
      <c r="B766" s="80">
        <v>25</v>
      </c>
      <c r="C766" s="105">
        <v>0.01374924782485062</v>
      </c>
      <c r="D766" s="80" t="s">
        <v>3177</v>
      </c>
      <c r="E766" s="80" t="b">
        <v>0</v>
      </c>
      <c r="F766" s="80" t="b">
        <v>0</v>
      </c>
      <c r="G766" s="80" t="b">
        <v>0</v>
      </c>
    </row>
    <row r="767" spans="1:7" ht="15">
      <c r="A767" s="81" t="s">
        <v>3272</v>
      </c>
      <c r="B767" s="80">
        <v>25</v>
      </c>
      <c r="C767" s="105">
        <v>0.01374924782485062</v>
      </c>
      <c r="D767" s="80" t="s">
        <v>3177</v>
      </c>
      <c r="E767" s="80" t="b">
        <v>0</v>
      </c>
      <c r="F767" s="80" t="b">
        <v>0</v>
      </c>
      <c r="G767" s="80" t="b">
        <v>0</v>
      </c>
    </row>
    <row r="768" spans="1:7" ht="15">
      <c r="A768" s="81" t="s">
        <v>3273</v>
      </c>
      <c r="B768" s="80">
        <v>25</v>
      </c>
      <c r="C768" s="105">
        <v>0.01374924782485062</v>
      </c>
      <c r="D768" s="80" t="s">
        <v>3177</v>
      </c>
      <c r="E768" s="80" t="b">
        <v>0</v>
      </c>
      <c r="F768" s="80" t="b">
        <v>0</v>
      </c>
      <c r="G768" s="80" t="b">
        <v>0</v>
      </c>
    </row>
    <row r="769" spans="1:7" ht="15">
      <c r="A769" s="81" t="s">
        <v>3274</v>
      </c>
      <c r="B769" s="80">
        <v>25</v>
      </c>
      <c r="C769" s="105">
        <v>0.01374924782485062</v>
      </c>
      <c r="D769" s="80" t="s">
        <v>3177</v>
      </c>
      <c r="E769" s="80" t="b">
        <v>0</v>
      </c>
      <c r="F769" s="80" t="b">
        <v>0</v>
      </c>
      <c r="G769" s="80" t="b">
        <v>0</v>
      </c>
    </row>
    <row r="770" spans="1:7" ht="15">
      <c r="A770" s="81" t="s">
        <v>3275</v>
      </c>
      <c r="B770" s="80">
        <v>25</v>
      </c>
      <c r="C770" s="105">
        <v>0.01374924782485062</v>
      </c>
      <c r="D770" s="80" t="s">
        <v>3177</v>
      </c>
      <c r="E770" s="80" t="b">
        <v>0</v>
      </c>
      <c r="F770" s="80" t="b">
        <v>0</v>
      </c>
      <c r="G770" s="80" t="b">
        <v>0</v>
      </c>
    </row>
    <row r="771" spans="1:7" ht="15">
      <c r="A771" s="81" t="s">
        <v>3276</v>
      </c>
      <c r="B771" s="80">
        <v>25</v>
      </c>
      <c r="C771" s="105">
        <v>0.01374924782485062</v>
      </c>
      <c r="D771" s="80" t="s">
        <v>3177</v>
      </c>
      <c r="E771" s="80" t="b">
        <v>0</v>
      </c>
      <c r="F771" s="80" t="b">
        <v>0</v>
      </c>
      <c r="G771" s="80" t="b">
        <v>0</v>
      </c>
    </row>
    <row r="772" spans="1:7" ht="15">
      <c r="A772" s="81" t="s">
        <v>3277</v>
      </c>
      <c r="B772" s="80">
        <v>25</v>
      </c>
      <c r="C772" s="105">
        <v>0.01374924782485062</v>
      </c>
      <c r="D772" s="80" t="s">
        <v>3177</v>
      </c>
      <c r="E772" s="80" t="b">
        <v>0</v>
      </c>
      <c r="F772" s="80" t="b">
        <v>0</v>
      </c>
      <c r="G772" s="80" t="b">
        <v>0</v>
      </c>
    </row>
    <row r="773" spans="1:7" ht="15">
      <c r="A773" s="81" t="s">
        <v>3282</v>
      </c>
      <c r="B773" s="80">
        <v>18</v>
      </c>
      <c r="C773" s="105">
        <v>0.012824304748513366</v>
      </c>
      <c r="D773" s="80" t="s">
        <v>3177</v>
      </c>
      <c r="E773" s="80" t="b">
        <v>0</v>
      </c>
      <c r="F773" s="80" t="b">
        <v>0</v>
      </c>
      <c r="G773" s="80" t="b">
        <v>0</v>
      </c>
    </row>
    <row r="774" spans="1:7" ht="15">
      <c r="A774" s="81" t="s">
        <v>3283</v>
      </c>
      <c r="B774" s="80">
        <v>18</v>
      </c>
      <c r="C774" s="105">
        <v>0.012824304748513366</v>
      </c>
      <c r="D774" s="80" t="s">
        <v>3177</v>
      </c>
      <c r="E774" s="80" t="b">
        <v>0</v>
      </c>
      <c r="F774" s="80" t="b">
        <v>0</v>
      </c>
      <c r="G774" s="80" t="b">
        <v>0</v>
      </c>
    </row>
    <row r="775" spans="1:7" ht="15">
      <c r="A775" s="81" t="s">
        <v>3284</v>
      </c>
      <c r="B775" s="80">
        <v>18</v>
      </c>
      <c r="C775" s="105">
        <v>0.012824304748513366</v>
      </c>
      <c r="D775" s="80" t="s">
        <v>3177</v>
      </c>
      <c r="E775" s="80" t="b">
        <v>0</v>
      </c>
      <c r="F775" s="80" t="b">
        <v>0</v>
      </c>
      <c r="G775" s="80" t="b">
        <v>0</v>
      </c>
    </row>
    <row r="776" spans="1:7" ht="15">
      <c r="A776" s="81" t="s">
        <v>500</v>
      </c>
      <c r="B776" s="80">
        <v>12</v>
      </c>
      <c r="C776" s="105">
        <v>0.010956250745783597</v>
      </c>
      <c r="D776" s="80" t="s">
        <v>3177</v>
      </c>
      <c r="E776" s="80" t="b">
        <v>0</v>
      </c>
      <c r="F776" s="80" t="b">
        <v>0</v>
      </c>
      <c r="G776" s="80" t="b">
        <v>0</v>
      </c>
    </row>
    <row r="777" spans="1:7" ht="15">
      <c r="A777" s="81" t="s">
        <v>3345</v>
      </c>
      <c r="B777" s="80">
        <v>9</v>
      </c>
      <c r="C777" s="105">
        <v>0.009497881259194986</v>
      </c>
      <c r="D777" s="80" t="s">
        <v>3177</v>
      </c>
      <c r="E777" s="80" t="b">
        <v>0</v>
      </c>
      <c r="F777" s="80" t="b">
        <v>0</v>
      </c>
      <c r="G777" s="80" t="b">
        <v>0</v>
      </c>
    </row>
    <row r="778" spans="1:7" ht="15">
      <c r="A778" s="81" t="s">
        <v>3346</v>
      </c>
      <c r="B778" s="80">
        <v>9</v>
      </c>
      <c r="C778" s="105">
        <v>0.009497881259194986</v>
      </c>
      <c r="D778" s="80" t="s">
        <v>3177</v>
      </c>
      <c r="E778" s="80" t="b">
        <v>0</v>
      </c>
      <c r="F778" s="80" t="b">
        <v>0</v>
      </c>
      <c r="G778" s="80" t="b">
        <v>0</v>
      </c>
    </row>
    <row r="779" spans="1:7" ht="15">
      <c r="A779" s="81" t="s">
        <v>3347</v>
      </c>
      <c r="B779" s="80">
        <v>9</v>
      </c>
      <c r="C779" s="105">
        <v>0.009497881259194986</v>
      </c>
      <c r="D779" s="80" t="s">
        <v>3177</v>
      </c>
      <c r="E779" s="80" t="b">
        <v>0</v>
      </c>
      <c r="F779" s="80" t="b">
        <v>0</v>
      </c>
      <c r="G779" s="80" t="b">
        <v>0</v>
      </c>
    </row>
    <row r="780" spans="1:7" ht="15">
      <c r="A780" s="81" t="s">
        <v>3337</v>
      </c>
      <c r="B780" s="80">
        <v>9</v>
      </c>
      <c r="C780" s="105">
        <v>0.009497881259194986</v>
      </c>
      <c r="D780" s="80" t="s">
        <v>3177</v>
      </c>
      <c r="E780" s="80" t="b">
        <v>0</v>
      </c>
      <c r="F780" s="80" t="b">
        <v>0</v>
      </c>
      <c r="G780" s="80" t="b">
        <v>0</v>
      </c>
    </row>
    <row r="781" spans="1:7" ht="15">
      <c r="A781" s="81" t="s">
        <v>3342</v>
      </c>
      <c r="B781" s="80">
        <v>9</v>
      </c>
      <c r="C781" s="105">
        <v>0.009497881259194986</v>
      </c>
      <c r="D781" s="80" t="s">
        <v>3177</v>
      </c>
      <c r="E781" s="80" t="b">
        <v>0</v>
      </c>
      <c r="F781" s="80" t="b">
        <v>0</v>
      </c>
      <c r="G781" s="80" t="b">
        <v>0</v>
      </c>
    </row>
    <row r="782" spans="1:7" ht="15">
      <c r="A782" s="81" t="s">
        <v>3312</v>
      </c>
      <c r="B782" s="80">
        <v>9</v>
      </c>
      <c r="C782" s="105">
        <v>0.009497881259194986</v>
      </c>
      <c r="D782" s="80" t="s">
        <v>3177</v>
      </c>
      <c r="E782" s="80" t="b">
        <v>0</v>
      </c>
      <c r="F782" s="80" t="b">
        <v>0</v>
      </c>
      <c r="G782" s="80" t="b">
        <v>0</v>
      </c>
    </row>
    <row r="783" spans="1:7" ht="15">
      <c r="A783" s="81" t="s">
        <v>3338</v>
      </c>
      <c r="B783" s="80">
        <v>9</v>
      </c>
      <c r="C783" s="105">
        <v>0.009497881259194986</v>
      </c>
      <c r="D783" s="80" t="s">
        <v>3177</v>
      </c>
      <c r="E783" s="80" t="b">
        <v>0</v>
      </c>
      <c r="F783" s="80" t="b">
        <v>0</v>
      </c>
      <c r="G783" s="80" t="b">
        <v>0</v>
      </c>
    </row>
    <row r="784" spans="1:7" ht="15">
      <c r="A784" s="81" t="s">
        <v>3306</v>
      </c>
      <c r="B784" s="80">
        <v>9</v>
      </c>
      <c r="C784" s="105">
        <v>0.009497881259194986</v>
      </c>
      <c r="D784" s="80" t="s">
        <v>3177</v>
      </c>
      <c r="E784" s="80" t="b">
        <v>1</v>
      </c>
      <c r="F784" s="80" t="b">
        <v>0</v>
      </c>
      <c r="G784" s="80" t="b">
        <v>0</v>
      </c>
    </row>
    <row r="785" spans="1:7" ht="15">
      <c r="A785" s="81" t="s">
        <v>3343</v>
      </c>
      <c r="B785" s="80">
        <v>8</v>
      </c>
      <c r="C785" s="105">
        <v>0.008908643328372188</v>
      </c>
      <c r="D785" s="80" t="s">
        <v>3177</v>
      </c>
      <c r="E785" s="80" t="b">
        <v>0</v>
      </c>
      <c r="F785" s="80" t="b">
        <v>0</v>
      </c>
      <c r="G785" s="80" t="b">
        <v>0</v>
      </c>
    </row>
    <row r="786" spans="1:7" ht="15">
      <c r="A786" s="81" t="s">
        <v>3350</v>
      </c>
      <c r="B786" s="80">
        <v>8</v>
      </c>
      <c r="C786" s="105">
        <v>0.008908643328372188</v>
      </c>
      <c r="D786" s="80" t="s">
        <v>3177</v>
      </c>
      <c r="E786" s="80" t="b">
        <v>0</v>
      </c>
      <c r="F786" s="80" t="b">
        <v>0</v>
      </c>
      <c r="G786" s="80" t="b">
        <v>0</v>
      </c>
    </row>
    <row r="787" spans="1:7" ht="15">
      <c r="A787" s="81" t="s">
        <v>3344</v>
      </c>
      <c r="B787" s="80">
        <v>8</v>
      </c>
      <c r="C787" s="105">
        <v>0.008908643328372188</v>
      </c>
      <c r="D787" s="80" t="s">
        <v>3177</v>
      </c>
      <c r="E787" s="80" t="b">
        <v>0</v>
      </c>
      <c r="F787" s="80" t="b">
        <v>0</v>
      </c>
      <c r="G787" s="80" t="b">
        <v>0</v>
      </c>
    </row>
    <row r="788" spans="1:7" ht="15">
      <c r="A788" s="81" t="s">
        <v>3262</v>
      </c>
      <c r="B788" s="80">
        <v>6</v>
      </c>
      <c r="C788" s="105">
        <v>0.01285294026615575</v>
      </c>
      <c r="D788" s="80" t="s">
        <v>3177</v>
      </c>
      <c r="E788" s="80" t="b">
        <v>0</v>
      </c>
      <c r="F788" s="80" t="b">
        <v>0</v>
      </c>
      <c r="G788" s="80" t="b">
        <v>0</v>
      </c>
    </row>
    <row r="789" spans="1:7" ht="15">
      <c r="A789" s="81" t="s">
        <v>3401</v>
      </c>
      <c r="B789" s="80">
        <v>3</v>
      </c>
      <c r="C789" s="105">
        <v>0.004796215276404769</v>
      </c>
      <c r="D789" s="80" t="s">
        <v>3177</v>
      </c>
      <c r="E789" s="80" t="b">
        <v>1</v>
      </c>
      <c r="F789" s="80" t="b">
        <v>0</v>
      </c>
      <c r="G789" s="80" t="b">
        <v>0</v>
      </c>
    </row>
    <row r="790" spans="1:7" ht="15">
      <c r="A790" s="81" t="s">
        <v>1782</v>
      </c>
      <c r="B790" s="80">
        <v>3</v>
      </c>
      <c r="C790" s="105">
        <v>0.006426470133077875</v>
      </c>
      <c r="D790" s="80" t="s">
        <v>3177</v>
      </c>
      <c r="E790" s="80" t="b">
        <v>0</v>
      </c>
      <c r="F790" s="80" t="b">
        <v>0</v>
      </c>
      <c r="G790" s="80" t="b">
        <v>0</v>
      </c>
    </row>
    <row r="791" spans="1:7" ht="15">
      <c r="A791" s="81" t="s">
        <v>795</v>
      </c>
      <c r="B791" s="80">
        <v>3</v>
      </c>
      <c r="C791" s="105">
        <v>0.004796215276404769</v>
      </c>
      <c r="D791" s="80" t="s">
        <v>3177</v>
      </c>
      <c r="E791" s="80" t="b">
        <v>0</v>
      </c>
      <c r="F791" s="80" t="b">
        <v>0</v>
      </c>
      <c r="G791" s="80" t="b">
        <v>0</v>
      </c>
    </row>
    <row r="792" spans="1:7" ht="15">
      <c r="A792" s="81" t="s">
        <v>3323</v>
      </c>
      <c r="B792" s="80">
        <v>3</v>
      </c>
      <c r="C792" s="105">
        <v>0.004796215276404769</v>
      </c>
      <c r="D792" s="80" t="s">
        <v>3177</v>
      </c>
      <c r="E792" s="80" t="b">
        <v>0</v>
      </c>
      <c r="F792" s="80" t="b">
        <v>0</v>
      </c>
      <c r="G792" s="80" t="b">
        <v>0</v>
      </c>
    </row>
    <row r="793" spans="1:7" ht="15">
      <c r="A793" s="81" t="s">
        <v>3308</v>
      </c>
      <c r="B793" s="80">
        <v>3</v>
      </c>
      <c r="C793" s="105">
        <v>0.004796215276404769</v>
      </c>
      <c r="D793" s="80" t="s">
        <v>3177</v>
      </c>
      <c r="E793" s="80" t="b">
        <v>0</v>
      </c>
      <c r="F793" s="80" t="b">
        <v>0</v>
      </c>
      <c r="G793" s="80" t="b">
        <v>0</v>
      </c>
    </row>
    <row r="794" spans="1:7" ht="15">
      <c r="A794" s="81" t="s">
        <v>3634</v>
      </c>
      <c r="B794" s="80">
        <v>3</v>
      </c>
      <c r="C794" s="105">
        <v>0.006426470133077875</v>
      </c>
      <c r="D794" s="80" t="s">
        <v>3177</v>
      </c>
      <c r="E794" s="80" t="b">
        <v>0</v>
      </c>
      <c r="F794" s="80" t="b">
        <v>0</v>
      </c>
      <c r="G794" s="80" t="b">
        <v>0</v>
      </c>
    </row>
    <row r="795" spans="1:7" ht="15">
      <c r="A795" s="81" t="s">
        <v>3632</v>
      </c>
      <c r="B795" s="80">
        <v>3</v>
      </c>
      <c r="C795" s="105">
        <v>0.004796215276404769</v>
      </c>
      <c r="D795" s="80" t="s">
        <v>3177</v>
      </c>
      <c r="E795" s="80" t="b">
        <v>0</v>
      </c>
      <c r="F795" s="80" t="b">
        <v>0</v>
      </c>
      <c r="G795" s="80" t="b">
        <v>0</v>
      </c>
    </row>
    <row r="796" spans="1:7" ht="15">
      <c r="A796" s="81" t="s">
        <v>3837</v>
      </c>
      <c r="B796" s="80">
        <v>2</v>
      </c>
      <c r="C796" s="105">
        <v>0.0035985958920656267</v>
      </c>
      <c r="D796" s="80" t="s">
        <v>3177</v>
      </c>
      <c r="E796" s="80" t="b">
        <v>0</v>
      </c>
      <c r="F796" s="80" t="b">
        <v>0</v>
      </c>
      <c r="G796" s="80" t="b">
        <v>0</v>
      </c>
    </row>
    <row r="797" spans="1:7" ht="15">
      <c r="A797" s="81" t="s">
        <v>3322</v>
      </c>
      <c r="B797" s="80">
        <v>2</v>
      </c>
      <c r="C797" s="105">
        <v>0.0035985958920656267</v>
      </c>
      <c r="D797" s="80" t="s">
        <v>3177</v>
      </c>
      <c r="E797" s="80" t="b">
        <v>0</v>
      </c>
      <c r="F797" s="80" t="b">
        <v>0</v>
      </c>
      <c r="G797" s="80" t="b">
        <v>0</v>
      </c>
    </row>
    <row r="798" spans="1:7" ht="15">
      <c r="A798" s="81" t="s">
        <v>3320</v>
      </c>
      <c r="B798" s="80">
        <v>2</v>
      </c>
      <c r="C798" s="105">
        <v>0.0035985958920656267</v>
      </c>
      <c r="D798" s="80" t="s">
        <v>3177</v>
      </c>
      <c r="E798" s="80" t="b">
        <v>0</v>
      </c>
      <c r="F798" s="80" t="b">
        <v>0</v>
      </c>
      <c r="G798" s="80" t="b">
        <v>0</v>
      </c>
    </row>
    <row r="799" spans="1:7" ht="15">
      <c r="A799" s="81" t="s">
        <v>3840</v>
      </c>
      <c r="B799" s="80">
        <v>2</v>
      </c>
      <c r="C799" s="105">
        <v>0.0035985958920656267</v>
      </c>
      <c r="D799" s="80" t="s">
        <v>3177</v>
      </c>
      <c r="E799" s="80" t="b">
        <v>0</v>
      </c>
      <c r="F799" s="80" t="b">
        <v>0</v>
      </c>
      <c r="G799" s="80" t="b">
        <v>0</v>
      </c>
    </row>
    <row r="800" spans="1:7" ht="15">
      <c r="A800" s="81" t="s">
        <v>3304</v>
      </c>
      <c r="B800" s="80">
        <v>2</v>
      </c>
      <c r="C800" s="105">
        <v>0.0035985958920656267</v>
      </c>
      <c r="D800" s="80" t="s">
        <v>3177</v>
      </c>
      <c r="E800" s="80" t="b">
        <v>0</v>
      </c>
      <c r="F800" s="80" t="b">
        <v>0</v>
      </c>
      <c r="G800" s="80" t="b">
        <v>0</v>
      </c>
    </row>
    <row r="801" spans="1:7" ht="15">
      <c r="A801" s="81" t="s">
        <v>3819</v>
      </c>
      <c r="B801" s="80">
        <v>2</v>
      </c>
      <c r="C801" s="105">
        <v>0.0042843134220519165</v>
      </c>
      <c r="D801" s="80" t="s">
        <v>3177</v>
      </c>
      <c r="E801" s="80" t="b">
        <v>0</v>
      </c>
      <c r="F801" s="80" t="b">
        <v>0</v>
      </c>
      <c r="G801" s="80" t="b">
        <v>0</v>
      </c>
    </row>
    <row r="802" spans="1:7" ht="15">
      <c r="A802" s="81" t="s">
        <v>3303</v>
      </c>
      <c r="B802" s="80">
        <v>2</v>
      </c>
      <c r="C802" s="105">
        <v>0.0035985958920656267</v>
      </c>
      <c r="D802" s="80" t="s">
        <v>3177</v>
      </c>
      <c r="E802" s="80" t="b">
        <v>0</v>
      </c>
      <c r="F802" s="80" t="b">
        <v>0</v>
      </c>
      <c r="G802" s="80" t="b">
        <v>0</v>
      </c>
    </row>
    <row r="803" spans="1:7" ht="15">
      <c r="A803" s="81" t="s">
        <v>3812</v>
      </c>
      <c r="B803" s="80">
        <v>2</v>
      </c>
      <c r="C803" s="105">
        <v>0.0042843134220519165</v>
      </c>
      <c r="D803" s="80" t="s">
        <v>3177</v>
      </c>
      <c r="E803" s="80" t="b">
        <v>0</v>
      </c>
      <c r="F803" s="80" t="b">
        <v>0</v>
      </c>
      <c r="G803" s="80" t="b">
        <v>0</v>
      </c>
    </row>
    <row r="804" spans="1:7" ht="15">
      <c r="A804" s="81" t="s">
        <v>3313</v>
      </c>
      <c r="B804" s="80">
        <v>2</v>
      </c>
      <c r="C804" s="105">
        <v>0.0035985958920656267</v>
      </c>
      <c r="D804" s="80" t="s">
        <v>3177</v>
      </c>
      <c r="E804" s="80" t="b">
        <v>0</v>
      </c>
      <c r="F804" s="80" t="b">
        <v>0</v>
      </c>
      <c r="G804" s="80" t="b">
        <v>0</v>
      </c>
    </row>
    <row r="805" spans="1:7" ht="15">
      <c r="A805" s="81" t="s">
        <v>3775</v>
      </c>
      <c r="B805" s="80">
        <v>2</v>
      </c>
      <c r="C805" s="105">
        <v>0.0035985958920656267</v>
      </c>
      <c r="D805" s="80" t="s">
        <v>3177</v>
      </c>
      <c r="E805" s="80" t="b">
        <v>0</v>
      </c>
      <c r="F805" s="80" t="b">
        <v>0</v>
      </c>
      <c r="G805" s="80" t="b">
        <v>0</v>
      </c>
    </row>
    <row r="806" spans="1:7" ht="15">
      <c r="A806" s="81" t="s">
        <v>3776</v>
      </c>
      <c r="B806" s="80">
        <v>2</v>
      </c>
      <c r="C806" s="105">
        <v>0.0035985958920656267</v>
      </c>
      <c r="D806" s="80" t="s">
        <v>3177</v>
      </c>
      <c r="E806" s="80" t="b">
        <v>0</v>
      </c>
      <c r="F806" s="80" t="b">
        <v>0</v>
      </c>
      <c r="G806" s="80" t="b">
        <v>0</v>
      </c>
    </row>
    <row r="807" spans="1:7" ht="15">
      <c r="A807" s="81" t="s">
        <v>3777</v>
      </c>
      <c r="B807" s="80">
        <v>2</v>
      </c>
      <c r="C807" s="105">
        <v>0.0035985958920656267</v>
      </c>
      <c r="D807" s="80" t="s">
        <v>3177</v>
      </c>
      <c r="E807" s="80" t="b">
        <v>0</v>
      </c>
      <c r="F807" s="80" t="b">
        <v>0</v>
      </c>
      <c r="G807" s="80" t="b">
        <v>0</v>
      </c>
    </row>
    <row r="808" spans="1:7" ht="15">
      <c r="A808" s="81" t="s">
        <v>3631</v>
      </c>
      <c r="B808" s="80">
        <v>2</v>
      </c>
      <c r="C808" s="105">
        <v>0.0035985958920656267</v>
      </c>
      <c r="D808" s="80" t="s">
        <v>3177</v>
      </c>
      <c r="E808" s="80" t="b">
        <v>0</v>
      </c>
      <c r="F808" s="80" t="b">
        <v>0</v>
      </c>
      <c r="G808" s="80" t="b">
        <v>0</v>
      </c>
    </row>
    <row r="809" spans="1:7" ht="15">
      <c r="A809" s="81" t="s">
        <v>3778</v>
      </c>
      <c r="B809" s="80">
        <v>2</v>
      </c>
      <c r="C809" s="105">
        <v>0.0035985958920656267</v>
      </c>
      <c r="D809" s="80" t="s">
        <v>3177</v>
      </c>
      <c r="E809" s="80" t="b">
        <v>0</v>
      </c>
      <c r="F809" s="80" t="b">
        <v>0</v>
      </c>
      <c r="G809" s="80" t="b">
        <v>0</v>
      </c>
    </row>
    <row r="810" spans="1:7" ht="15">
      <c r="A810" s="81" t="s">
        <v>3779</v>
      </c>
      <c r="B810" s="80">
        <v>2</v>
      </c>
      <c r="C810" s="105">
        <v>0.0035985958920656267</v>
      </c>
      <c r="D810" s="80" t="s">
        <v>3177</v>
      </c>
      <c r="E810" s="80" t="b">
        <v>0</v>
      </c>
      <c r="F810" s="80" t="b">
        <v>0</v>
      </c>
      <c r="G810" s="80" t="b">
        <v>0</v>
      </c>
    </row>
    <row r="811" spans="1:7" ht="15">
      <c r="A811" s="81" t="s">
        <v>3780</v>
      </c>
      <c r="B811" s="80">
        <v>2</v>
      </c>
      <c r="C811" s="105">
        <v>0.0035985958920656267</v>
      </c>
      <c r="D811" s="80" t="s">
        <v>3177</v>
      </c>
      <c r="E811" s="80" t="b">
        <v>0</v>
      </c>
      <c r="F811" s="80" t="b">
        <v>0</v>
      </c>
      <c r="G811" s="80" t="b">
        <v>0</v>
      </c>
    </row>
    <row r="812" spans="1:7" ht="15">
      <c r="A812" s="81" t="s">
        <v>3781</v>
      </c>
      <c r="B812" s="80">
        <v>2</v>
      </c>
      <c r="C812" s="105">
        <v>0.0035985958920656267</v>
      </c>
      <c r="D812" s="80" t="s">
        <v>3177</v>
      </c>
      <c r="E812" s="80" t="b">
        <v>0</v>
      </c>
      <c r="F812" s="80" t="b">
        <v>1</v>
      </c>
      <c r="G812" s="80" t="b">
        <v>0</v>
      </c>
    </row>
    <row r="813" spans="1:7" ht="15">
      <c r="A813" s="81" t="s">
        <v>3782</v>
      </c>
      <c r="B813" s="80">
        <v>2</v>
      </c>
      <c r="C813" s="105">
        <v>0.0035985958920656267</v>
      </c>
      <c r="D813" s="80" t="s">
        <v>3177</v>
      </c>
      <c r="E813" s="80" t="b">
        <v>0</v>
      </c>
      <c r="F813" s="80" t="b">
        <v>0</v>
      </c>
      <c r="G813" s="80" t="b">
        <v>0</v>
      </c>
    </row>
    <row r="814" spans="1:7" ht="15">
      <c r="A814" s="81" t="s">
        <v>3783</v>
      </c>
      <c r="B814" s="80">
        <v>2</v>
      </c>
      <c r="C814" s="105">
        <v>0.0035985958920656267</v>
      </c>
      <c r="D814" s="80" t="s">
        <v>3177</v>
      </c>
      <c r="E814" s="80" t="b">
        <v>0</v>
      </c>
      <c r="F814" s="80" t="b">
        <v>1</v>
      </c>
      <c r="G814" s="80" t="b">
        <v>0</v>
      </c>
    </row>
    <row r="815" spans="1:7" ht="15">
      <c r="A815" s="81" t="s">
        <v>3784</v>
      </c>
      <c r="B815" s="80">
        <v>2</v>
      </c>
      <c r="C815" s="105">
        <v>0.0035985958920656267</v>
      </c>
      <c r="D815" s="80" t="s">
        <v>3177</v>
      </c>
      <c r="E815" s="80" t="b">
        <v>0</v>
      </c>
      <c r="F815" s="80" t="b">
        <v>1</v>
      </c>
      <c r="G815" s="80" t="b">
        <v>0</v>
      </c>
    </row>
    <row r="816" spans="1:7" ht="15">
      <c r="A816" s="81" t="s">
        <v>3360</v>
      </c>
      <c r="B816" s="80">
        <v>2</v>
      </c>
      <c r="C816" s="105">
        <v>0.0035985958920656267</v>
      </c>
      <c r="D816" s="80" t="s">
        <v>3177</v>
      </c>
      <c r="E816" s="80" t="b">
        <v>0</v>
      </c>
      <c r="F816" s="80" t="b">
        <v>0</v>
      </c>
      <c r="G816" s="80" t="b">
        <v>0</v>
      </c>
    </row>
    <row r="817" spans="1:7" ht="15">
      <c r="A817" s="81" t="s">
        <v>3785</v>
      </c>
      <c r="B817" s="80">
        <v>2</v>
      </c>
      <c r="C817" s="105">
        <v>0.0035985958920656267</v>
      </c>
      <c r="D817" s="80" t="s">
        <v>3177</v>
      </c>
      <c r="E817" s="80" t="b">
        <v>0</v>
      </c>
      <c r="F817" s="80" t="b">
        <v>0</v>
      </c>
      <c r="G817" s="80" t="b">
        <v>0</v>
      </c>
    </row>
    <row r="818" spans="1:7" ht="15">
      <c r="A818" s="81" t="s">
        <v>3402</v>
      </c>
      <c r="B818" s="80">
        <v>2</v>
      </c>
      <c r="C818" s="105">
        <v>0.0035985958920656267</v>
      </c>
      <c r="D818" s="80" t="s">
        <v>3177</v>
      </c>
      <c r="E818" s="80" t="b">
        <v>0</v>
      </c>
      <c r="F818" s="80" t="b">
        <v>0</v>
      </c>
      <c r="G818" s="80" t="b">
        <v>0</v>
      </c>
    </row>
    <row r="819" spans="1:7" ht="15">
      <c r="A819" s="81" t="s">
        <v>3786</v>
      </c>
      <c r="B819" s="80">
        <v>2</v>
      </c>
      <c r="C819" s="105">
        <v>0.0035985958920656267</v>
      </c>
      <c r="D819" s="80" t="s">
        <v>3177</v>
      </c>
      <c r="E819" s="80" t="b">
        <v>0</v>
      </c>
      <c r="F819" s="80" t="b">
        <v>0</v>
      </c>
      <c r="G819" s="80" t="b">
        <v>0</v>
      </c>
    </row>
    <row r="820" spans="1:7" ht="15">
      <c r="A820" s="81" t="s">
        <v>3787</v>
      </c>
      <c r="B820" s="80">
        <v>2</v>
      </c>
      <c r="C820" s="105">
        <v>0.0035985958920656267</v>
      </c>
      <c r="D820" s="80" t="s">
        <v>3177</v>
      </c>
      <c r="E820" s="80" t="b">
        <v>0</v>
      </c>
      <c r="F820" s="80" t="b">
        <v>0</v>
      </c>
      <c r="G820" s="80" t="b">
        <v>0</v>
      </c>
    </row>
    <row r="821" spans="1:7" ht="15">
      <c r="A821" s="81" t="s">
        <v>3788</v>
      </c>
      <c r="B821" s="80">
        <v>2</v>
      </c>
      <c r="C821" s="105">
        <v>0.0035985958920656267</v>
      </c>
      <c r="D821" s="80" t="s">
        <v>3177</v>
      </c>
      <c r="E821" s="80" t="b">
        <v>0</v>
      </c>
      <c r="F821" s="80" t="b">
        <v>0</v>
      </c>
      <c r="G821" s="80" t="b">
        <v>0</v>
      </c>
    </row>
    <row r="822" spans="1:7" ht="15">
      <c r="A822" s="81" t="s">
        <v>3789</v>
      </c>
      <c r="B822" s="80">
        <v>2</v>
      </c>
      <c r="C822" s="105">
        <v>0.0035985958920656267</v>
      </c>
      <c r="D822" s="80" t="s">
        <v>3177</v>
      </c>
      <c r="E822" s="80" t="b">
        <v>0</v>
      </c>
      <c r="F822" s="80" t="b">
        <v>0</v>
      </c>
      <c r="G822" s="80" t="b">
        <v>0</v>
      </c>
    </row>
    <row r="823" spans="1:7" ht="15">
      <c r="A823" s="81" t="s">
        <v>3790</v>
      </c>
      <c r="B823" s="80">
        <v>2</v>
      </c>
      <c r="C823" s="105">
        <v>0.0035985958920656267</v>
      </c>
      <c r="D823" s="80" t="s">
        <v>3177</v>
      </c>
      <c r="E823" s="80" t="b">
        <v>0</v>
      </c>
      <c r="F823" s="80" t="b">
        <v>0</v>
      </c>
      <c r="G823" s="80" t="b">
        <v>0</v>
      </c>
    </row>
    <row r="824" spans="1:7" ht="15">
      <c r="A824" s="81" t="s">
        <v>3791</v>
      </c>
      <c r="B824" s="80">
        <v>2</v>
      </c>
      <c r="C824" s="105">
        <v>0.0035985958920656267</v>
      </c>
      <c r="D824" s="80" t="s">
        <v>3177</v>
      </c>
      <c r="E824" s="80" t="b">
        <v>0</v>
      </c>
      <c r="F824" s="80" t="b">
        <v>0</v>
      </c>
      <c r="G824" s="80" t="b">
        <v>0</v>
      </c>
    </row>
    <row r="825" spans="1:7" ht="15">
      <c r="A825" s="81" t="s">
        <v>3792</v>
      </c>
      <c r="B825" s="80">
        <v>2</v>
      </c>
      <c r="C825" s="105">
        <v>0.0035985958920656267</v>
      </c>
      <c r="D825" s="80" t="s">
        <v>3177</v>
      </c>
      <c r="E825" s="80" t="b">
        <v>0</v>
      </c>
      <c r="F825" s="80" t="b">
        <v>0</v>
      </c>
      <c r="G825" s="80" t="b">
        <v>0</v>
      </c>
    </row>
    <row r="826" spans="1:7" ht="15">
      <c r="A826" s="81" t="s">
        <v>3629</v>
      </c>
      <c r="B826" s="80">
        <v>2</v>
      </c>
      <c r="C826" s="105">
        <v>0.0035985958920656267</v>
      </c>
      <c r="D826" s="80" t="s">
        <v>3177</v>
      </c>
      <c r="E826" s="80" t="b">
        <v>0</v>
      </c>
      <c r="F826" s="80" t="b">
        <v>0</v>
      </c>
      <c r="G826" s="80" t="b">
        <v>0</v>
      </c>
    </row>
    <row r="827" spans="1:7" ht="15">
      <c r="A827" s="81" t="s">
        <v>3374</v>
      </c>
      <c r="B827" s="80">
        <v>2</v>
      </c>
      <c r="C827" s="105">
        <v>0.0042843134220519165</v>
      </c>
      <c r="D827" s="80" t="s">
        <v>3177</v>
      </c>
      <c r="E827" s="80" t="b">
        <v>0</v>
      </c>
      <c r="F827" s="80" t="b">
        <v>0</v>
      </c>
      <c r="G827" s="80" t="b">
        <v>0</v>
      </c>
    </row>
    <row r="828" spans="1:7" ht="15">
      <c r="A828" s="81" t="s">
        <v>3260</v>
      </c>
      <c r="B828" s="80">
        <v>47</v>
      </c>
      <c r="C828" s="105">
        <v>0</v>
      </c>
      <c r="D828" s="80" t="s">
        <v>3178</v>
      </c>
      <c r="E828" s="80" t="b">
        <v>0</v>
      </c>
      <c r="F828" s="80" t="b">
        <v>0</v>
      </c>
      <c r="G828" s="80" t="b">
        <v>0</v>
      </c>
    </row>
    <row r="829" spans="1:7" ht="15">
      <c r="A829" s="81" t="s">
        <v>3261</v>
      </c>
      <c r="B829" s="80">
        <v>41</v>
      </c>
      <c r="C829" s="105">
        <v>0.00422934617366132</v>
      </c>
      <c r="D829" s="80" t="s">
        <v>3178</v>
      </c>
      <c r="E829" s="80" t="b">
        <v>0</v>
      </c>
      <c r="F829" s="80" t="b">
        <v>0</v>
      </c>
      <c r="G829" s="80" t="b">
        <v>0</v>
      </c>
    </row>
    <row r="830" spans="1:7" ht="15">
      <c r="A830" s="81" t="s">
        <v>3269</v>
      </c>
      <c r="B830" s="80">
        <v>26</v>
      </c>
      <c r="C830" s="105">
        <v>0.011626499581021542</v>
      </c>
      <c r="D830" s="80" t="s">
        <v>3178</v>
      </c>
      <c r="E830" s="80" t="b">
        <v>0</v>
      </c>
      <c r="F830" s="80" t="b">
        <v>0</v>
      </c>
      <c r="G830" s="80" t="b">
        <v>0</v>
      </c>
    </row>
    <row r="831" spans="1:7" ht="15">
      <c r="A831" s="81" t="s">
        <v>3285</v>
      </c>
      <c r="B831" s="80">
        <v>17</v>
      </c>
      <c r="C831" s="105">
        <v>0.015550412136308088</v>
      </c>
      <c r="D831" s="80" t="s">
        <v>3178</v>
      </c>
      <c r="E831" s="80" t="b">
        <v>0</v>
      </c>
      <c r="F831" s="80" t="b">
        <v>0</v>
      </c>
      <c r="G831" s="80" t="b">
        <v>0</v>
      </c>
    </row>
    <row r="832" spans="1:7" ht="15">
      <c r="A832" s="81" t="s">
        <v>3307</v>
      </c>
      <c r="B832" s="80">
        <v>14</v>
      </c>
      <c r="C832" s="105">
        <v>0.012806221759312543</v>
      </c>
      <c r="D832" s="80" t="s">
        <v>3178</v>
      </c>
      <c r="E832" s="80" t="b">
        <v>0</v>
      </c>
      <c r="F832" s="80" t="b">
        <v>0</v>
      </c>
      <c r="G832" s="80" t="b">
        <v>0</v>
      </c>
    </row>
    <row r="833" spans="1:7" ht="15">
      <c r="A833" s="81" t="s">
        <v>3315</v>
      </c>
      <c r="B833" s="80">
        <v>13</v>
      </c>
      <c r="C833" s="105">
        <v>0.012619145344652955</v>
      </c>
      <c r="D833" s="80" t="s">
        <v>3178</v>
      </c>
      <c r="E833" s="80" t="b">
        <v>0</v>
      </c>
      <c r="F833" s="80" t="b">
        <v>0</v>
      </c>
      <c r="G833" s="80" t="b">
        <v>0</v>
      </c>
    </row>
    <row r="834" spans="1:7" ht="15">
      <c r="A834" s="81" t="s">
        <v>3348</v>
      </c>
      <c r="B834" s="80">
        <v>9</v>
      </c>
      <c r="C834" s="105">
        <v>0.015231566404169198</v>
      </c>
      <c r="D834" s="80" t="s">
        <v>3178</v>
      </c>
      <c r="E834" s="80" t="b">
        <v>0</v>
      </c>
      <c r="F834" s="80" t="b">
        <v>0</v>
      </c>
      <c r="G834" s="80" t="b">
        <v>0</v>
      </c>
    </row>
    <row r="835" spans="1:7" ht="15">
      <c r="A835" s="81" t="s">
        <v>3352</v>
      </c>
      <c r="B835" s="80">
        <v>8</v>
      </c>
      <c r="C835" s="105">
        <v>0.01069923994356555</v>
      </c>
      <c r="D835" s="80" t="s">
        <v>3178</v>
      </c>
      <c r="E835" s="80" t="b">
        <v>0</v>
      </c>
      <c r="F835" s="80" t="b">
        <v>0</v>
      </c>
      <c r="G835" s="80" t="b">
        <v>0</v>
      </c>
    </row>
    <row r="836" spans="1:7" ht="15">
      <c r="A836" s="81" t="s">
        <v>3353</v>
      </c>
      <c r="B836" s="80">
        <v>8</v>
      </c>
      <c r="C836" s="105">
        <v>0.01069923994356555</v>
      </c>
      <c r="D836" s="80" t="s">
        <v>3178</v>
      </c>
      <c r="E836" s="80" t="b">
        <v>0</v>
      </c>
      <c r="F836" s="80" t="b">
        <v>0</v>
      </c>
      <c r="G836" s="80" t="b">
        <v>0</v>
      </c>
    </row>
    <row r="837" spans="1:7" ht="15">
      <c r="A837" s="81" t="s">
        <v>3354</v>
      </c>
      <c r="B837" s="80">
        <v>8</v>
      </c>
      <c r="C837" s="105">
        <v>0.01069923994356555</v>
      </c>
      <c r="D837" s="80" t="s">
        <v>3178</v>
      </c>
      <c r="E837" s="80" t="b">
        <v>0</v>
      </c>
      <c r="F837" s="80" t="b">
        <v>0</v>
      </c>
      <c r="G837" s="80" t="b">
        <v>0</v>
      </c>
    </row>
    <row r="838" spans="1:7" ht="15">
      <c r="A838" s="81" t="s">
        <v>3355</v>
      </c>
      <c r="B838" s="80">
        <v>8</v>
      </c>
      <c r="C838" s="105">
        <v>0.01069923994356555</v>
      </c>
      <c r="D838" s="80" t="s">
        <v>3178</v>
      </c>
      <c r="E838" s="80" t="b">
        <v>0</v>
      </c>
      <c r="F838" s="80" t="b">
        <v>0</v>
      </c>
      <c r="G838" s="80" t="b">
        <v>0</v>
      </c>
    </row>
    <row r="839" spans="1:7" ht="15">
      <c r="A839" s="81" t="s">
        <v>3356</v>
      </c>
      <c r="B839" s="80">
        <v>8</v>
      </c>
      <c r="C839" s="105">
        <v>0.012437518018115809</v>
      </c>
      <c r="D839" s="80" t="s">
        <v>3178</v>
      </c>
      <c r="E839" s="80" t="b">
        <v>0</v>
      </c>
      <c r="F839" s="80" t="b">
        <v>0</v>
      </c>
      <c r="G839" s="80" t="b">
        <v>0</v>
      </c>
    </row>
    <row r="840" spans="1:7" ht="15">
      <c r="A840" s="81" t="s">
        <v>3382</v>
      </c>
      <c r="B840" s="80">
        <v>6</v>
      </c>
      <c r="C840" s="105">
        <v>0.009328138513586857</v>
      </c>
      <c r="D840" s="80" t="s">
        <v>3178</v>
      </c>
      <c r="E840" s="80" t="b">
        <v>0</v>
      </c>
      <c r="F840" s="80" t="b">
        <v>0</v>
      </c>
      <c r="G840" s="80" t="b">
        <v>0</v>
      </c>
    </row>
    <row r="841" spans="1:7" ht="15">
      <c r="A841" s="81" t="s">
        <v>3308</v>
      </c>
      <c r="B841" s="80">
        <v>6</v>
      </c>
      <c r="C841" s="105">
        <v>0.009328138513586857</v>
      </c>
      <c r="D841" s="80" t="s">
        <v>3178</v>
      </c>
      <c r="E841" s="80" t="b">
        <v>0</v>
      </c>
      <c r="F841" s="80" t="b">
        <v>0</v>
      </c>
      <c r="G841" s="80" t="b">
        <v>0</v>
      </c>
    </row>
    <row r="842" spans="1:7" ht="15">
      <c r="A842" s="81" t="s">
        <v>3381</v>
      </c>
      <c r="B842" s="80">
        <v>6</v>
      </c>
      <c r="C842" s="105">
        <v>0.009328138513586857</v>
      </c>
      <c r="D842" s="80" t="s">
        <v>3178</v>
      </c>
      <c r="E842" s="80" t="b">
        <v>0</v>
      </c>
      <c r="F842" s="80" t="b">
        <v>0</v>
      </c>
      <c r="G842" s="80" t="b">
        <v>0</v>
      </c>
    </row>
    <row r="843" spans="1:7" ht="15">
      <c r="A843" s="81" t="s">
        <v>3357</v>
      </c>
      <c r="B843" s="80">
        <v>6</v>
      </c>
      <c r="C843" s="105">
        <v>0.009328138513586857</v>
      </c>
      <c r="D843" s="80" t="s">
        <v>3178</v>
      </c>
      <c r="E843" s="80" t="b">
        <v>0</v>
      </c>
      <c r="F843" s="80" t="b">
        <v>0</v>
      </c>
      <c r="G843" s="80" t="b">
        <v>0</v>
      </c>
    </row>
    <row r="844" spans="1:7" ht="15">
      <c r="A844" s="81" t="s">
        <v>3379</v>
      </c>
      <c r="B844" s="80">
        <v>6</v>
      </c>
      <c r="C844" s="105">
        <v>0.009328138513586857</v>
      </c>
      <c r="D844" s="80" t="s">
        <v>3178</v>
      </c>
      <c r="E844" s="80" t="b">
        <v>0</v>
      </c>
      <c r="F844" s="80" t="b">
        <v>0</v>
      </c>
      <c r="G844" s="80" t="b">
        <v>0</v>
      </c>
    </row>
    <row r="845" spans="1:7" ht="15">
      <c r="A845" s="81" t="s">
        <v>3380</v>
      </c>
      <c r="B845" s="80">
        <v>6</v>
      </c>
      <c r="C845" s="105">
        <v>0.012469321077037096</v>
      </c>
      <c r="D845" s="80" t="s">
        <v>3178</v>
      </c>
      <c r="E845" s="80" t="b">
        <v>0</v>
      </c>
      <c r="F845" s="80" t="b">
        <v>0</v>
      </c>
      <c r="G845" s="80" t="b">
        <v>0</v>
      </c>
    </row>
    <row r="846" spans="1:7" ht="15">
      <c r="A846" s="81" t="s">
        <v>3374</v>
      </c>
      <c r="B846" s="80">
        <v>5</v>
      </c>
      <c r="C846" s="105">
        <v>0.008461981335649554</v>
      </c>
      <c r="D846" s="80" t="s">
        <v>3178</v>
      </c>
      <c r="E846" s="80" t="b">
        <v>0</v>
      </c>
      <c r="F846" s="80" t="b">
        <v>0</v>
      </c>
      <c r="G846" s="80" t="b">
        <v>0</v>
      </c>
    </row>
    <row r="847" spans="1:7" ht="15">
      <c r="A847" s="81" t="s">
        <v>3398</v>
      </c>
      <c r="B847" s="80">
        <v>5</v>
      </c>
      <c r="C847" s="105">
        <v>0.008461981335649554</v>
      </c>
      <c r="D847" s="80" t="s">
        <v>3178</v>
      </c>
      <c r="E847" s="80" t="b">
        <v>0</v>
      </c>
      <c r="F847" s="80" t="b">
        <v>0</v>
      </c>
      <c r="G847" s="80" t="b">
        <v>0</v>
      </c>
    </row>
    <row r="848" spans="1:7" ht="15">
      <c r="A848" s="81" t="s">
        <v>3399</v>
      </c>
      <c r="B848" s="80">
        <v>5</v>
      </c>
      <c r="C848" s="105">
        <v>0.008461981335649554</v>
      </c>
      <c r="D848" s="80" t="s">
        <v>3178</v>
      </c>
      <c r="E848" s="80" t="b">
        <v>0</v>
      </c>
      <c r="F848" s="80" t="b">
        <v>0</v>
      </c>
      <c r="G848" s="80" t="b">
        <v>0</v>
      </c>
    </row>
    <row r="849" spans="1:7" ht="15">
      <c r="A849" s="81" t="s">
        <v>3397</v>
      </c>
      <c r="B849" s="80">
        <v>5</v>
      </c>
      <c r="C849" s="105">
        <v>0.008461981335649554</v>
      </c>
      <c r="D849" s="80" t="s">
        <v>3178</v>
      </c>
      <c r="E849" s="80" t="b">
        <v>0</v>
      </c>
      <c r="F849" s="80" t="b">
        <v>0</v>
      </c>
      <c r="G849" s="80" t="b">
        <v>0</v>
      </c>
    </row>
    <row r="850" spans="1:7" ht="15">
      <c r="A850" s="81" t="s">
        <v>3464</v>
      </c>
      <c r="B850" s="80">
        <v>4</v>
      </c>
      <c r="C850" s="105">
        <v>0.0074437416807496</v>
      </c>
      <c r="D850" s="80" t="s">
        <v>3178</v>
      </c>
      <c r="E850" s="80" t="b">
        <v>0</v>
      </c>
      <c r="F850" s="80" t="b">
        <v>0</v>
      </c>
      <c r="G850" s="80" t="b">
        <v>0</v>
      </c>
    </row>
    <row r="851" spans="1:7" ht="15">
      <c r="A851" s="81" t="s">
        <v>3465</v>
      </c>
      <c r="B851" s="80">
        <v>4</v>
      </c>
      <c r="C851" s="105">
        <v>0.0074437416807496</v>
      </c>
      <c r="D851" s="80" t="s">
        <v>3178</v>
      </c>
      <c r="E851" s="80" t="b">
        <v>0</v>
      </c>
      <c r="F851" s="80" t="b">
        <v>0</v>
      </c>
      <c r="G851" s="80" t="b">
        <v>0</v>
      </c>
    </row>
    <row r="852" spans="1:7" ht="15">
      <c r="A852" s="81" t="s">
        <v>3466</v>
      </c>
      <c r="B852" s="80">
        <v>4</v>
      </c>
      <c r="C852" s="105">
        <v>0.0074437416807496</v>
      </c>
      <c r="D852" s="80" t="s">
        <v>3178</v>
      </c>
      <c r="E852" s="80" t="b">
        <v>0</v>
      </c>
      <c r="F852" s="80" t="b">
        <v>0</v>
      </c>
      <c r="G852" s="80" t="b">
        <v>0</v>
      </c>
    </row>
    <row r="853" spans="1:7" ht="15">
      <c r="A853" s="81" t="s">
        <v>3467</v>
      </c>
      <c r="B853" s="80">
        <v>4</v>
      </c>
      <c r="C853" s="105">
        <v>0.0074437416807496</v>
      </c>
      <c r="D853" s="80" t="s">
        <v>3178</v>
      </c>
      <c r="E853" s="80" t="b">
        <v>0</v>
      </c>
      <c r="F853" s="80" t="b">
        <v>0</v>
      </c>
      <c r="G853" s="80" t="b">
        <v>0</v>
      </c>
    </row>
    <row r="854" spans="1:7" ht="15">
      <c r="A854" s="81" t="s">
        <v>3468</v>
      </c>
      <c r="B854" s="80">
        <v>4</v>
      </c>
      <c r="C854" s="105">
        <v>0.0074437416807496</v>
      </c>
      <c r="D854" s="80" t="s">
        <v>3178</v>
      </c>
      <c r="E854" s="80" t="b">
        <v>0</v>
      </c>
      <c r="F854" s="80" t="b">
        <v>0</v>
      </c>
      <c r="G854" s="80" t="b">
        <v>0</v>
      </c>
    </row>
    <row r="855" spans="1:7" ht="15">
      <c r="A855" s="81" t="s">
        <v>3469</v>
      </c>
      <c r="B855" s="80">
        <v>4</v>
      </c>
      <c r="C855" s="105">
        <v>0.0074437416807496</v>
      </c>
      <c r="D855" s="80" t="s">
        <v>3178</v>
      </c>
      <c r="E855" s="80" t="b">
        <v>0</v>
      </c>
      <c r="F855" s="80" t="b">
        <v>0</v>
      </c>
      <c r="G855" s="80" t="b">
        <v>0</v>
      </c>
    </row>
    <row r="856" spans="1:7" ht="15">
      <c r="A856" s="81" t="s">
        <v>3470</v>
      </c>
      <c r="B856" s="80">
        <v>4</v>
      </c>
      <c r="C856" s="105">
        <v>0.0074437416807496</v>
      </c>
      <c r="D856" s="80" t="s">
        <v>3178</v>
      </c>
      <c r="E856" s="80" t="b">
        <v>0</v>
      </c>
      <c r="F856" s="80" t="b">
        <v>0</v>
      </c>
      <c r="G856" s="80" t="b">
        <v>0</v>
      </c>
    </row>
    <row r="857" spans="1:7" ht="15">
      <c r="A857" s="81" t="s">
        <v>3471</v>
      </c>
      <c r="B857" s="80">
        <v>4</v>
      </c>
      <c r="C857" s="105">
        <v>0.0074437416807496</v>
      </c>
      <c r="D857" s="80" t="s">
        <v>3178</v>
      </c>
      <c r="E857" s="80" t="b">
        <v>0</v>
      </c>
      <c r="F857" s="80" t="b">
        <v>0</v>
      </c>
      <c r="G857" s="80" t="b">
        <v>0</v>
      </c>
    </row>
    <row r="858" spans="1:7" ht="15">
      <c r="A858" s="81" t="s">
        <v>3463</v>
      </c>
      <c r="B858" s="80">
        <v>4</v>
      </c>
      <c r="C858" s="105">
        <v>0.009537863389716426</v>
      </c>
      <c r="D858" s="80" t="s">
        <v>3178</v>
      </c>
      <c r="E858" s="80" t="b">
        <v>0</v>
      </c>
      <c r="F858" s="80" t="b">
        <v>0</v>
      </c>
      <c r="G858" s="80" t="b">
        <v>0</v>
      </c>
    </row>
    <row r="859" spans="1:7" ht="15">
      <c r="A859" s="81" t="s">
        <v>3461</v>
      </c>
      <c r="B859" s="80">
        <v>4</v>
      </c>
      <c r="C859" s="105">
        <v>0.0074437416807496</v>
      </c>
      <c r="D859" s="80" t="s">
        <v>3178</v>
      </c>
      <c r="E859" s="80" t="b">
        <v>0</v>
      </c>
      <c r="F859" s="80" t="b">
        <v>0</v>
      </c>
      <c r="G859" s="80" t="b">
        <v>0</v>
      </c>
    </row>
    <row r="860" spans="1:7" ht="15">
      <c r="A860" s="81" t="s">
        <v>3462</v>
      </c>
      <c r="B860" s="80">
        <v>4</v>
      </c>
      <c r="C860" s="105">
        <v>0.0074437416807496</v>
      </c>
      <c r="D860" s="80" t="s">
        <v>3178</v>
      </c>
      <c r="E860" s="80" t="b">
        <v>0</v>
      </c>
      <c r="F860" s="80" t="b">
        <v>0</v>
      </c>
      <c r="G860" s="80" t="b">
        <v>0</v>
      </c>
    </row>
    <row r="861" spans="1:7" ht="15">
      <c r="A861" s="81" t="s">
        <v>3455</v>
      </c>
      <c r="B861" s="80">
        <v>4</v>
      </c>
      <c r="C861" s="105">
        <v>0.0074437416807496</v>
      </c>
      <c r="D861" s="80" t="s">
        <v>3178</v>
      </c>
      <c r="E861" s="80" t="b">
        <v>0</v>
      </c>
      <c r="F861" s="80" t="b">
        <v>0</v>
      </c>
      <c r="G861" s="80" t="b">
        <v>0</v>
      </c>
    </row>
    <row r="862" spans="1:7" ht="15">
      <c r="A862" s="81" t="s">
        <v>3456</v>
      </c>
      <c r="B862" s="80">
        <v>4</v>
      </c>
      <c r="C862" s="105">
        <v>0.0074437416807496</v>
      </c>
      <c r="D862" s="80" t="s">
        <v>3178</v>
      </c>
      <c r="E862" s="80" t="b">
        <v>0</v>
      </c>
      <c r="F862" s="80" t="b">
        <v>0</v>
      </c>
      <c r="G862" s="80" t="b">
        <v>0</v>
      </c>
    </row>
    <row r="863" spans="1:7" ht="15">
      <c r="A863" s="81" t="s">
        <v>3457</v>
      </c>
      <c r="B863" s="80">
        <v>4</v>
      </c>
      <c r="C863" s="105">
        <v>0.0074437416807496</v>
      </c>
      <c r="D863" s="80" t="s">
        <v>3178</v>
      </c>
      <c r="E863" s="80" t="b">
        <v>0</v>
      </c>
      <c r="F863" s="80" t="b">
        <v>0</v>
      </c>
      <c r="G863" s="80" t="b">
        <v>0</v>
      </c>
    </row>
    <row r="864" spans="1:7" ht="15">
      <c r="A864" s="81" t="s">
        <v>3458</v>
      </c>
      <c r="B864" s="80">
        <v>4</v>
      </c>
      <c r="C864" s="105">
        <v>0.0074437416807496</v>
      </c>
      <c r="D864" s="80" t="s">
        <v>3178</v>
      </c>
      <c r="E864" s="80" t="b">
        <v>0</v>
      </c>
      <c r="F864" s="80" t="b">
        <v>0</v>
      </c>
      <c r="G864" s="80" t="b">
        <v>0</v>
      </c>
    </row>
    <row r="865" spans="1:7" ht="15">
      <c r="A865" s="81" t="s">
        <v>3601</v>
      </c>
      <c r="B865" s="80">
        <v>3</v>
      </c>
      <c r="C865" s="105">
        <v>0.006234660538518548</v>
      </c>
      <c r="D865" s="80" t="s">
        <v>3178</v>
      </c>
      <c r="E865" s="80" t="b">
        <v>0</v>
      </c>
      <c r="F865" s="80" t="b">
        <v>0</v>
      </c>
      <c r="G865" s="80" t="b">
        <v>0</v>
      </c>
    </row>
    <row r="866" spans="1:7" ht="15">
      <c r="A866" s="81" t="s">
        <v>3602</v>
      </c>
      <c r="B866" s="80">
        <v>3</v>
      </c>
      <c r="C866" s="105">
        <v>0.006234660538518548</v>
      </c>
      <c r="D866" s="80" t="s">
        <v>3178</v>
      </c>
      <c r="E866" s="80" t="b">
        <v>0</v>
      </c>
      <c r="F866" s="80" t="b">
        <v>0</v>
      </c>
      <c r="G866" s="80" t="b">
        <v>0</v>
      </c>
    </row>
    <row r="867" spans="1:7" ht="15">
      <c r="A867" s="81" t="s">
        <v>3603</v>
      </c>
      <c r="B867" s="80">
        <v>3</v>
      </c>
      <c r="C867" s="105">
        <v>0.006234660538518548</v>
      </c>
      <c r="D867" s="80" t="s">
        <v>3178</v>
      </c>
      <c r="E867" s="80" t="b">
        <v>0</v>
      </c>
      <c r="F867" s="80" t="b">
        <v>0</v>
      </c>
      <c r="G867" s="80" t="b">
        <v>0</v>
      </c>
    </row>
    <row r="868" spans="1:7" ht="15">
      <c r="A868" s="81" t="s">
        <v>497</v>
      </c>
      <c r="B868" s="80">
        <v>3</v>
      </c>
      <c r="C868" s="105">
        <v>0.006234660538518548</v>
      </c>
      <c r="D868" s="80" t="s">
        <v>3178</v>
      </c>
      <c r="E868" s="80" t="b">
        <v>0</v>
      </c>
      <c r="F868" s="80" t="b">
        <v>0</v>
      </c>
      <c r="G868" s="80" t="b">
        <v>0</v>
      </c>
    </row>
    <row r="869" spans="1:7" ht="15">
      <c r="A869" s="81" t="s">
        <v>3610</v>
      </c>
      <c r="B869" s="80">
        <v>3</v>
      </c>
      <c r="C869" s="105">
        <v>0.006234660538518548</v>
      </c>
      <c r="D869" s="80" t="s">
        <v>3178</v>
      </c>
      <c r="E869" s="80" t="b">
        <v>0</v>
      </c>
      <c r="F869" s="80" t="b">
        <v>0</v>
      </c>
      <c r="G869" s="80" t="b">
        <v>0</v>
      </c>
    </row>
    <row r="870" spans="1:7" ht="15">
      <c r="A870" s="81" t="s">
        <v>3611</v>
      </c>
      <c r="B870" s="80">
        <v>3</v>
      </c>
      <c r="C870" s="105">
        <v>0.006234660538518548</v>
      </c>
      <c r="D870" s="80" t="s">
        <v>3178</v>
      </c>
      <c r="E870" s="80" t="b">
        <v>0</v>
      </c>
      <c r="F870" s="80" t="b">
        <v>0</v>
      </c>
      <c r="G870" s="80" t="b">
        <v>0</v>
      </c>
    </row>
    <row r="871" spans="1:7" ht="15">
      <c r="A871" s="81" t="s">
        <v>3612</v>
      </c>
      <c r="B871" s="80">
        <v>3</v>
      </c>
      <c r="C871" s="105">
        <v>0.006234660538518548</v>
      </c>
      <c r="D871" s="80" t="s">
        <v>3178</v>
      </c>
      <c r="E871" s="80" t="b">
        <v>0</v>
      </c>
      <c r="F871" s="80" t="b">
        <v>0</v>
      </c>
      <c r="G871" s="80" t="b">
        <v>0</v>
      </c>
    </row>
    <row r="872" spans="1:7" ht="15">
      <c r="A872" s="81" t="s">
        <v>3613</v>
      </c>
      <c r="B872" s="80">
        <v>3</v>
      </c>
      <c r="C872" s="105">
        <v>0.006234660538518548</v>
      </c>
      <c r="D872" s="80" t="s">
        <v>3178</v>
      </c>
      <c r="E872" s="80" t="b">
        <v>0</v>
      </c>
      <c r="F872" s="80" t="b">
        <v>0</v>
      </c>
      <c r="G872" s="80" t="b">
        <v>0</v>
      </c>
    </row>
    <row r="873" spans="1:7" ht="15">
      <c r="A873" s="81" t="s">
        <v>3614</v>
      </c>
      <c r="B873" s="80">
        <v>3</v>
      </c>
      <c r="C873" s="105">
        <v>0.006234660538518548</v>
      </c>
      <c r="D873" s="80" t="s">
        <v>3178</v>
      </c>
      <c r="E873" s="80" t="b">
        <v>0</v>
      </c>
      <c r="F873" s="80" t="b">
        <v>0</v>
      </c>
      <c r="G873" s="80" t="b">
        <v>0</v>
      </c>
    </row>
    <row r="874" spans="1:7" ht="15">
      <c r="A874" s="81" t="s">
        <v>3615</v>
      </c>
      <c r="B874" s="80">
        <v>3</v>
      </c>
      <c r="C874" s="105">
        <v>0.006234660538518548</v>
      </c>
      <c r="D874" s="80" t="s">
        <v>3178</v>
      </c>
      <c r="E874" s="80" t="b">
        <v>0</v>
      </c>
      <c r="F874" s="80" t="b">
        <v>0</v>
      </c>
      <c r="G874" s="80" t="b">
        <v>0</v>
      </c>
    </row>
    <row r="875" spans="1:7" ht="15">
      <c r="A875" s="81" t="s">
        <v>3616</v>
      </c>
      <c r="B875" s="80">
        <v>3</v>
      </c>
      <c r="C875" s="105">
        <v>0.006234660538518548</v>
      </c>
      <c r="D875" s="80" t="s">
        <v>3178</v>
      </c>
      <c r="E875" s="80" t="b">
        <v>0</v>
      </c>
      <c r="F875" s="80" t="b">
        <v>0</v>
      </c>
      <c r="G875" s="80" t="b">
        <v>0</v>
      </c>
    </row>
    <row r="876" spans="1:7" ht="15">
      <c r="A876" s="81" t="s">
        <v>3617</v>
      </c>
      <c r="B876" s="80">
        <v>3</v>
      </c>
      <c r="C876" s="105">
        <v>0.006234660538518548</v>
      </c>
      <c r="D876" s="80" t="s">
        <v>3178</v>
      </c>
      <c r="E876" s="80" t="b">
        <v>0</v>
      </c>
      <c r="F876" s="80" t="b">
        <v>0</v>
      </c>
      <c r="G876" s="80" t="b">
        <v>0</v>
      </c>
    </row>
    <row r="877" spans="1:7" ht="15">
      <c r="A877" s="81" t="s">
        <v>3618</v>
      </c>
      <c r="B877" s="80">
        <v>3</v>
      </c>
      <c r="C877" s="105">
        <v>0.006234660538518548</v>
      </c>
      <c r="D877" s="80" t="s">
        <v>3178</v>
      </c>
      <c r="E877" s="80" t="b">
        <v>0</v>
      </c>
      <c r="F877" s="80" t="b">
        <v>0</v>
      </c>
      <c r="G877" s="80" t="b">
        <v>0</v>
      </c>
    </row>
    <row r="878" spans="1:7" ht="15">
      <c r="A878" s="81" t="s">
        <v>3619</v>
      </c>
      <c r="B878" s="80">
        <v>3</v>
      </c>
      <c r="C878" s="105">
        <v>0.006234660538518548</v>
      </c>
      <c r="D878" s="80" t="s">
        <v>3178</v>
      </c>
      <c r="E878" s="80" t="b">
        <v>0</v>
      </c>
      <c r="F878" s="80" t="b">
        <v>0</v>
      </c>
      <c r="G878" s="80" t="b">
        <v>0</v>
      </c>
    </row>
    <row r="879" spans="1:7" ht="15">
      <c r="A879" s="81" t="s">
        <v>3620</v>
      </c>
      <c r="B879" s="80">
        <v>3</v>
      </c>
      <c r="C879" s="105">
        <v>0.006234660538518548</v>
      </c>
      <c r="D879" s="80" t="s">
        <v>3178</v>
      </c>
      <c r="E879" s="80" t="b">
        <v>0</v>
      </c>
      <c r="F879" s="80" t="b">
        <v>0</v>
      </c>
      <c r="G879" s="80" t="b">
        <v>0</v>
      </c>
    </row>
    <row r="880" spans="1:7" ht="15">
      <c r="A880" s="81" t="s">
        <v>3621</v>
      </c>
      <c r="B880" s="80">
        <v>3</v>
      </c>
      <c r="C880" s="105">
        <v>0.006234660538518548</v>
      </c>
      <c r="D880" s="80" t="s">
        <v>3178</v>
      </c>
      <c r="E880" s="80" t="b">
        <v>0</v>
      </c>
      <c r="F880" s="80" t="b">
        <v>0</v>
      </c>
      <c r="G880" s="80" t="b">
        <v>0</v>
      </c>
    </row>
    <row r="881" spans="1:7" ht="15">
      <c r="A881" s="81" t="s">
        <v>3604</v>
      </c>
      <c r="B881" s="80">
        <v>3</v>
      </c>
      <c r="C881" s="105">
        <v>0.006234660538518548</v>
      </c>
      <c r="D881" s="80" t="s">
        <v>3178</v>
      </c>
      <c r="E881" s="80" t="b">
        <v>0</v>
      </c>
      <c r="F881" s="80" t="b">
        <v>0</v>
      </c>
      <c r="G881" s="80" t="b">
        <v>0</v>
      </c>
    </row>
    <row r="882" spans="1:7" ht="15">
      <c r="A882" s="81" t="s">
        <v>3605</v>
      </c>
      <c r="B882" s="80">
        <v>3</v>
      </c>
      <c r="C882" s="105">
        <v>0.006234660538518548</v>
      </c>
      <c r="D882" s="80" t="s">
        <v>3178</v>
      </c>
      <c r="E882" s="80" t="b">
        <v>0</v>
      </c>
      <c r="F882" s="80" t="b">
        <v>0</v>
      </c>
      <c r="G882" s="80" t="b">
        <v>0</v>
      </c>
    </row>
    <row r="883" spans="1:7" ht="15">
      <c r="A883" s="81" t="s">
        <v>3606</v>
      </c>
      <c r="B883" s="80">
        <v>3</v>
      </c>
      <c r="C883" s="105">
        <v>0.006234660538518548</v>
      </c>
      <c r="D883" s="80" t="s">
        <v>3178</v>
      </c>
      <c r="E883" s="80" t="b">
        <v>0</v>
      </c>
      <c r="F883" s="80" t="b">
        <v>0</v>
      </c>
      <c r="G883" s="80" t="b">
        <v>0</v>
      </c>
    </row>
    <row r="884" spans="1:7" ht="15">
      <c r="A884" s="81" t="s">
        <v>3607</v>
      </c>
      <c r="B884" s="80">
        <v>3</v>
      </c>
      <c r="C884" s="105">
        <v>0.006234660538518548</v>
      </c>
      <c r="D884" s="80" t="s">
        <v>3178</v>
      </c>
      <c r="E884" s="80" t="b">
        <v>0</v>
      </c>
      <c r="F884" s="80" t="b">
        <v>0</v>
      </c>
      <c r="G884" s="80" t="b">
        <v>0</v>
      </c>
    </row>
    <row r="885" spans="1:7" ht="15">
      <c r="A885" s="81" t="s">
        <v>3608</v>
      </c>
      <c r="B885" s="80">
        <v>3</v>
      </c>
      <c r="C885" s="105">
        <v>0.006234660538518548</v>
      </c>
      <c r="D885" s="80" t="s">
        <v>3178</v>
      </c>
      <c r="E885" s="80" t="b">
        <v>0</v>
      </c>
      <c r="F885" s="80" t="b">
        <v>0</v>
      </c>
      <c r="G885" s="80" t="b">
        <v>0</v>
      </c>
    </row>
    <row r="886" spans="1:7" ht="15">
      <c r="A886" s="81" t="s">
        <v>3609</v>
      </c>
      <c r="B886" s="80">
        <v>3</v>
      </c>
      <c r="C886" s="105">
        <v>0.006234660538518548</v>
      </c>
      <c r="D886" s="80" t="s">
        <v>3178</v>
      </c>
      <c r="E886" s="80" t="b">
        <v>0</v>
      </c>
      <c r="F886" s="80" t="b">
        <v>0</v>
      </c>
      <c r="G886" s="80" t="b">
        <v>0</v>
      </c>
    </row>
    <row r="887" spans="1:7" ht="15">
      <c r="A887" s="81" t="s">
        <v>3594</v>
      </c>
      <c r="B887" s="80">
        <v>3</v>
      </c>
      <c r="C887" s="105">
        <v>0.006234660538518548</v>
      </c>
      <c r="D887" s="80" t="s">
        <v>3178</v>
      </c>
      <c r="E887" s="80" t="b">
        <v>0</v>
      </c>
      <c r="F887" s="80" t="b">
        <v>0</v>
      </c>
      <c r="G887" s="80" t="b">
        <v>0</v>
      </c>
    </row>
    <row r="888" spans="1:7" ht="15">
      <c r="A888" s="81" t="s">
        <v>3595</v>
      </c>
      <c r="B888" s="80">
        <v>3</v>
      </c>
      <c r="C888" s="105">
        <v>0.006234660538518548</v>
      </c>
      <c r="D888" s="80" t="s">
        <v>3178</v>
      </c>
      <c r="E888" s="80" t="b">
        <v>0</v>
      </c>
      <c r="F888" s="80" t="b">
        <v>0</v>
      </c>
      <c r="G888" s="80" t="b">
        <v>0</v>
      </c>
    </row>
    <row r="889" spans="1:7" ht="15">
      <c r="A889" s="81" t="s">
        <v>3596</v>
      </c>
      <c r="B889" s="80">
        <v>3</v>
      </c>
      <c r="C889" s="105">
        <v>0.006234660538518548</v>
      </c>
      <c r="D889" s="80" t="s">
        <v>3178</v>
      </c>
      <c r="E889" s="80" t="b">
        <v>0</v>
      </c>
      <c r="F889" s="80" t="b">
        <v>0</v>
      </c>
      <c r="G889" s="80" t="b">
        <v>0</v>
      </c>
    </row>
    <row r="890" spans="1:7" ht="15">
      <c r="A890" s="81" t="s">
        <v>3597</v>
      </c>
      <c r="B890" s="80">
        <v>3</v>
      </c>
      <c r="C890" s="105">
        <v>0.006234660538518548</v>
      </c>
      <c r="D890" s="80" t="s">
        <v>3178</v>
      </c>
      <c r="E890" s="80" t="b">
        <v>0</v>
      </c>
      <c r="F890" s="80" t="b">
        <v>0</v>
      </c>
      <c r="G890" s="80" t="b">
        <v>0</v>
      </c>
    </row>
    <row r="891" spans="1:7" ht="15">
      <c r="A891" s="81" t="s">
        <v>3598</v>
      </c>
      <c r="B891" s="80">
        <v>3</v>
      </c>
      <c r="C891" s="105">
        <v>0.006234660538518548</v>
      </c>
      <c r="D891" s="80" t="s">
        <v>3178</v>
      </c>
      <c r="E891" s="80" t="b">
        <v>0</v>
      </c>
      <c r="F891" s="80" t="b">
        <v>0</v>
      </c>
      <c r="G891" s="80" t="b">
        <v>0</v>
      </c>
    </row>
    <row r="892" spans="1:7" ht="15">
      <c r="A892" s="81" t="s">
        <v>3599</v>
      </c>
      <c r="B892" s="80">
        <v>3</v>
      </c>
      <c r="C892" s="105">
        <v>0.006234660538518548</v>
      </c>
      <c r="D892" s="80" t="s">
        <v>3178</v>
      </c>
      <c r="E892" s="80" t="b">
        <v>0</v>
      </c>
      <c r="F892" s="80" t="b">
        <v>0</v>
      </c>
      <c r="G892" s="80" t="b">
        <v>0</v>
      </c>
    </row>
    <row r="893" spans="1:7" ht="15">
      <c r="A893" s="81" t="s">
        <v>3600</v>
      </c>
      <c r="B893" s="80">
        <v>3</v>
      </c>
      <c r="C893" s="105">
        <v>0.006234660538518548</v>
      </c>
      <c r="D893" s="80" t="s">
        <v>3178</v>
      </c>
      <c r="E893" s="80" t="b">
        <v>0</v>
      </c>
      <c r="F893" s="80" t="b">
        <v>0</v>
      </c>
      <c r="G893" s="80" t="b">
        <v>0</v>
      </c>
    </row>
    <row r="894" spans="1:7" ht="15">
      <c r="A894" s="81" t="s">
        <v>3557</v>
      </c>
      <c r="B894" s="80">
        <v>3</v>
      </c>
      <c r="C894" s="105">
        <v>0.006234660538518548</v>
      </c>
      <c r="D894" s="80" t="s">
        <v>3178</v>
      </c>
      <c r="E894" s="80" t="b">
        <v>0</v>
      </c>
      <c r="F894" s="80" t="b">
        <v>0</v>
      </c>
      <c r="G894" s="80" t="b">
        <v>0</v>
      </c>
    </row>
    <row r="895" spans="1:7" ht="15">
      <c r="A895" s="81" t="s">
        <v>3373</v>
      </c>
      <c r="B895" s="80">
        <v>3</v>
      </c>
      <c r="C895" s="105">
        <v>0.006234660538518548</v>
      </c>
      <c r="D895" s="80" t="s">
        <v>3178</v>
      </c>
      <c r="E895" s="80" t="b">
        <v>0</v>
      </c>
      <c r="F895" s="80" t="b">
        <v>0</v>
      </c>
      <c r="G895" s="80" t="b">
        <v>0</v>
      </c>
    </row>
    <row r="896" spans="1:7" ht="15">
      <c r="A896" s="81" t="s">
        <v>3558</v>
      </c>
      <c r="B896" s="80">
        <v>3</v>
      </c>
      <c r="C896" s="105">
        <v>0.006234660538518548</v>
      </c>
      <c r="D896" s="80" t="s">
        <v>3178</v>
      </c>
      <c r="E896" s="80" t="b">
        <v>0</v>
      </c>
      <c r="F896" s="80" t="b">
        <v>0</v>
      </c>
      <c r="G896" s="80" t="b">
        <v>0</v>
      </c>
    </row>
    <row r="897" spans="1:7" ht="15">
      <c r="A897" s="81" t="s">
        <v>3559</v>
      </c>
      <c r="B897" s="80">
        <v>3</v>
      </c>
      <c r="C897" s="105">
        <v>0.006234660538518548</v>
      </c>
      <c r="D897" s="80" t="s">
        <v>3178</v>
      </c>
      <c r="E897" s="80" t="b">
        <v>0</v>
      </c>
      <c r="F897" s="80" t="b">
        <v>0</v>
      </c>
      <c r="G897" s="80" t="b">
        <v>0</v>
      </c>
    </row>
    <row r="898" spans="1:7" ht="15">
      <c r="A898" s="81" t="s">
        <v>3560</v>
      </c>
      <c r="B898" s="80">
        <v>3</v>
      </c>
      <c r="C898" s="105">
        <v>0.006234660538518548</v>
      </c>
      <c r="D898" s="80" t="s">
        <v>3178</v>
      </c>
      <c r="E898" s="80" t="b">
        <v>0</v>
      </c>
      <c r="F898" s="80" t="b">
        <v>0</v>
      </c>
      <c r="G898" s="80" t="b">
        <v>0</v>
      </c>
    </row>
    <row r="899" spans="1:7" ht="15">
      <c r="A899" s="81" t="s">
        <v>3561</v>
      </c>
      <c r="B899" s="80">
        <v>3</v>
      </c>
      <c r="C899" s="105">
        <v>0.006234660538518548</v>
      </c>
      <c r="D899" s="80" t="s">
        <v>3178</v>
      </c>
      <c r="E899" s="80" t="b">
        <v>0</v>
      </c>
      <c r="F899" s="80" t="b">
        <v>0</v>
      </c>
      <c r="G899" s="80" t="b">
        <v>0</v>
      </c>
    </row>
    <row r="900" spans="1:7" ht="15">
      <c r="A900" s="81" t="s">
        <v>3562</v>
      </c>
      <c r="B900" s="80">
        <v>3</v>
      </c>
      <c r="C900" s="105">
        <v>0.006234660538518548</v>
      </c>
      <c r="D900" s="80" t="s">
        <v>3178</v>
      </c>
      <c r="E900" s="80" t="b">
        <v>0</v>
      </c>
      <c r="F900" s="80" t="b">
        <v>0</v>
      </c>
      <c r="G900" s="80" t="b">
        <v>0</v>
      </c>
    </row>
    <row r="901" spans="1:7" ht="15">
      <c r="A901" s="81" t="s">
        <v>3563</v>
      </c>
      <c r="B901" s="80">
        <v>3</v>
      </c>
      <c r="C901" s="105">
        <v>0.006234660538518548</v>
      </c>
      <c r="D901" s="80" t="s">
        <v>3178</v>
      </c>
      <c r="E901" s="80" t="b">
        <v>0</v>
      </c>
      <c r="F901" s="80" t="b">
        <v>0</v>
      </c>
      <c r="G901" s="80" t="b">
        <v>0</v>
      </c>
    </row>
    <row r="902" spans="1:7" ht="15">
      <c r="A902" s="81" t="s">
        <v>3564</v>
      </c>
      <c r="B902" s="80">
        <v>3</v>
      </c>
      <c r="C902" s="105">
        <v>0.006234660538518548</v>
      </c>
      <c r="D902" s="80" t="s">
        <v>3178</v>
      </c>
      <c r="E902" s="80" t="b">
        <v>0</v>
      </c>
      <c r="F902" s="80" t="b">
        <v>0</v>
      </c>
      <c r="G902" s="80" t="b">
        <v>0</v>
      </c>
    </row>
    <row r="903" spans="1:7" ht="15">
      <c r="A903" s="81" t="s">
        <v>3565</v>
      </c>
      <c r="B903" s="80">
        <v>3</v>
      </c>
      <c r="C903" s="105">
        <v>0.006234660538518548</v>
      </c>
      <c r="D903" s="80" t="s">
        <v>3178</v>
      </c>
      <c r="E903" s="80" t="b">
        <v>0</v>
      </c>
      <c r="F903" s="80" t="b">
        <v>0</v>
      </c>
      <c r="G903" s="80" t="b">
        <v>0</v>
      </c>
    </row>
    <row r="904" spans="1:7" ht="15">
      <c r="A904" s="81" t="s">
        <v>3459</v>
      </c>
      <c r="B904" s="80">
        <v>3</v>
      </c>
      <c r="C904" s="105">
        <v>0.006234660538518548</v>
      </c>
      <c r="D904" s="80" t="s">
        <v>3178</v>
      </c>
      <c r="E904" s="80" t="b">
        <v>0</v>
      </c>
      <c r="F904" s="80" t="b">
        <v>0</v>
      </c>
      <c r="G904" s="80" t="b">
        <v>0</v>
      </c>
    </row>
    <row r="905" spans="1:7" ht="15">
      <c r="A905" s="81" t="s">
        <v>3566</v>
      </c>
      <c r="B905" s="80">
        <v>3</v>
      </c>
      <c r="C905" s="105">
        <v>0.006234660538518548</v>
      </c>
      <c r="D905" s="80" t="s">
        <v>3178</v>
      </c>
      <c r="E905" s="80" t="b">
        <v>0</v>
      </c>
      <c r="F905" s="80" t="b">
        <v>0</v>
      </c>
      <c r="G905" s="80" t="b">
        <v>0</v>
      </c>
    </row>
    <row r="906" spans="1:7" ht="15">
      <c r="A906" s="81" t="s">
        <v>3567</v>
      </c>
      <c r="B906" s="80">
        <v>3</v>
      </c>
      <c r="C906" s="105">
        <v>0.006234660538518548</v>
      </c>
      <c r="D906" s="80" t="s">
        <v>3178</v>
      </c>
      <c r="E906" s="80" t="b">
        <v>0</v>
      </c>
      <c r="F906" s="80" t="b">
        <v>0</v>
      </c>
      <c r="G906" s="80" t="b">
        <v>0</v>
      </c>
    </row>
    <row r="907" spans="1:7" ht="15">
      <c r="A907" s="81" t="s">
        <v>3568</v>
      </c>
      <c r="B907" s="80">
        <v>3</v>
      </c>
      <c r="C907" s="105">
        <v>0.006234660538518548</v>
      </c>
      <c r="D907" s="80" t="s">
        <v>3178</v>
      </c>
      <c r="E907" s="80" t="b">
        <v>0</v>
      </c>
      <c r="F907" s="80" t="b">
        <v>0</v>
      </c>
      <c r="G907" s="80" t="b">
        <v>0</v>
      </c>
    </row>
    <row r="908" spans="1:7" ht="15">
      <c r="A908" s="81" t="s">
        <v>3569</v>
      </c>
      <c r="B908" s="80">
        <v>3</v>
      </c>
      <c r="C908" s="105">
        <v>0.006234660538518548</v>
      </c>
      <c r="D908" s="80" t="s">
        <v>3178</v>
      </c>
      <c r="E908" s="80" t="b">
        <v>0</v>
      </c>
      <c r="F908" s="80" t="b">
        <v>0</v>
      </c>
      <c r="G908" s="80" t="b">
        <v>0</v>
      </c>
    </row>
    <row r="909" spans="1:7" ht="15">
      <c r="A909" s="81" t="s">
        <v>3570</v>
      </c>
      <c r="B909" s="80">
        <v>3</v>
      </c>
      <c r="C909" s="105">
        <v>0.006234660538518548</v>
      </c>
      <c r="D909" s="80" t="s">
        <v>3178</v>
      </c>
      <c r="E909" s="80" t="b">
        <v>0</v>
      </c>
      <c r="F909" s="80" t="b">
        <v>0</v>
      </c>
      <c r="G909" s="80" t="b">
        <v>0</v>
      </c>
    </row>
    <row r="910" spans="1:7" ht="15">
      <c r="A910" s="81" t="s">
        <v>3571</v>
      </c>
      <c r="B910" s="80">
        <v>3</v>
      </c>
      <c r="C910" s="105">
        <v>0.006234660538518548</v>
      </c>
      <c r="D910" s="80" t="s">
        <v>3178</v>
      </c>
      <c r="E910" s="80" t="b">
        <v>0</v>
      </c>
      <c r="F910" s="80" t="b">
        <v>0</v>
      </c>
      <c r="G910" s="80" t="b">
        <v>0</v>
      </c>
    </row>
    <row r="911" spans="1:7" ht="15">
      <c r="A911" s="81" t="s">
        <v>3572</v>
      </c>
      <c r="B911" s="80">
        <v>3</v>
      </c>
      <c r="C911" s="105">
        <v>0.006234660538518548</v>
      </c>
      <c r="D911" s="80" t="s">
        <v>3178</v>
      </c>
      <c r="E911" s="80" t="b">
        <v>0</v>
      </c>
      <c r="F911" s="80" t="b">
        <v>0</v>
      </c>
      <c r="G911" s="80" t="b">
        <v>0</v>
      </c>
    </row>
    <row r="912" spans="1:7" ht="15">
      <c r="A912" s="81" t="s">
        <v>3573</v>
      </c>
      <c r="B912" s="80">
        <v>3</v>
      </c>
      <c r="C912" s="105">
        <v>0.006234660538518548</v>
      </c>
      <c r="D912" s="80" t="s">
        <v>3178</v>
      </c>
      <c r="E912" s="80" t="b">
        <v>0</v>
      </c>
      <c r="F912" s="80" t="b">
        <v>0</v>
      </c>
      <c r="G912" s="80" t="b">
        <v>0</v>
      </c>
    </row>
    <row r="913" spans="1:7" ht="15">
      <c r="A913" s="81" t="s">
        <v>3574</v>
      </c>
      <c r="B913" s="80">
        <v>3</v>
      </c>
      <c r="C913" s="105">
        <v>0.006234660538518548</v>
      </c>
      <c r="D913" s="80" t="s">
        <v>3178</v>
      </c>
      <c r="E913" s="80" t="b">
        <v>0</v>
      </c>
      <c r="F913" s="80" t="b">
        <v>0</v>
      </c>
      <c r="G913" s="80" t="b">
        <v>0</v>
      </c>
    </row>
    <row r="914" spans="1:7" ht="15">
      <c r="A914" s="81" t="s">
        <v>3575</v>
      </c>
      <c r="B914" s="80">
        <v>3</v>
      </c>
      <c r="C914" s="105">
        <v>0.006234660538518548</v>
      </c>
      <c r="D914" s="80" t="s">
        <v>3178</v>
      </c>
      <c r="E914" s="80" t="b">
        <v>0</v>
      </c>
      <c r="F914" s="80" t="b">
        <v>0</v>
      </c>
      <c r="G914" s="80" t="b">
        <v>0</v>
      </c>
    </row>
    <row r="915" spans="1:7" ht="15">
      <c r="A915" s="81" t="s">
        <v>3576</v>
      </c>
      <c r="B915" s="80">
        <v>3</v>
      </c>
      <c r="C915" s="105">
        <v>0.006234660538518548</v>
      </c>
      <c r="D915" s="80" t="s">
        <v>3178</v>
      </c>
      <c r="E915" s="80" t="b">
        <v>0</v>
      </c>
      <c r="F915" s="80" t="b">
        <v>0</v>
      </c>
      <c r="G915" s="80" t="b">
        <v>0</v>
      </c>
    </row>
    <row r="916" spans="1:7" ht="15">
      <c r="A916" s="81" t="s">
        <v>3577</v>
      </c>
      <c r="B916" s="80">
        <v>3</v>
      </c>
      <c r="C916" s="105">
        <v>0.006234660538518548</v>
      </c>
      <c r="D916" s="80" t="s">
        <v>3178</v>
      </c>
      <c r="E916" s="80" t="b">
        <v>0</v>
      </c>
      <c r="F916" s="80" t="b">
        <v>0</v>
      </c>
      <c r="G916" s="80" t="b">
        <v>0</v>
      </c>
    </row>
    <row r="917" spans="1:7" ht="15">
      <c r="A917" s="81" t="s">
        <v>3578</v>
      </c>
      <c r="B917" s="80">
        <v>3</v>
      </c>
      <c r="C917" s="105">
        <v>0.006234660538518548</v>
      </c>
      <c r="D917" s="80" t="s">
        <v>3178</v>
      </c>
      <c r="E917" s="80" t="b">
        <v>0</v>
      </c>
      <c r="F917" s="80" t="b">
        <v>0</v>
      </c>
      <c r="G917" s="80" t="b">
        <v>0</v>
      </c>
    </row>
    <row r="918" spans="1:7" ht="15">
      <c r="A918" s="81" t="s">
        <v>3579</v>
      </c>
      <c r="B918" s="80">
        <v>3</v>
      </c>
      <c r="C918" s="105">
        <v>0.006234660538518548</v>
      </c>
      <c r="D918" s="80" t="s">
        <v>3178</v>
      </c>
      <c r="E918" s="80" t="b">
        <v>0</v>
      </c>
      <c r="F918" s="80" t="b">
        <v>0</v>
      </c>
      <c r="G918" s="80" t="b">
        <v>0</v>
      </c>
    </row>
    <row r="919" spans="1:7" ht="15">
      <c r="A919" s="81" t="s">
        <v>3580</v>
      </c>
      <c r="B919" s="80">
        <v>3</v>
      </c>
      <c r="C919" s="105">
        <v>0.006234660538518548</v>
      </c>
      <c r="D919" s="80" t="s">
        <v>3178</v>
      </c>
      <c r="E919" s="80" t="b">
        <v>0</v>
      </c>
      <c r="F919" s="80" t="b">
        <v>0</v>
      </c>
      <c r="G919" s="80" t="b">
        <v>0</v>
      </c>
    </row>
    <row r="920" spans="1:7" ht="15">
      <c r="A920" s="81" t="s">
        <v>3581</v>
      </c>
      <c r="B920" s="80">
        <v>3</v>
      </c>
      <c r="C920" s="105">
        <v>0.006234660538518548</v>
      </c>
      <c r="D920" s="80" t="s">
        <v>3178</v>
      </c>
      <c r="E920" s="80" t="b">
        <v>0</v>
      </c>
      <c r="F920" s="80" t="b">
        <v>0</v>
      </c>
      <c r="G920" s="80" t="b">
        <v>0</v>
      </c>
    </row>
    <row r="921" spans="1:7" ht="15">
      <c r="A921" s="81" t="s">
        <v>3582</v>
      </c>
      <c r="B921" s="80">
        <v>3</v>
      </c>
      <c r="C921" s="105">
        <v>0.006234660538518548</v>
      </c>
      <c r="D921" s="80" t="s">
        <v>3178</v>
      </c>
      <c r="E921" s="80" t="b">
        <v>0</v>
      </c>
      <c r="F921" s="80" t="b">
        <v>0</v>
      </c>
      <c r="G921" s="80" t="b">
        <v>0</v>
      </c>
    </row>
    <row r="922" spans="1:7" ht="15">
      <c r="A922" s="81" t="s">
        <v>3583</v>
      </c>
      <c r="B922" s="80">
        <v>3</v>
      </c>
      <c r="C922" s="105">
        <v>0.006234660538518548</v>
      </c>
      <c r="D922" s="80" t="s">
        <v>3178</v>
      </c>
      <c r="E922" s="80" t="b">
        <v>0</v>
      </c>
      <c r="F922" s="80" t="b">
        <v>0</v>
      </c>
      <c r="G922" s="80" t="b">
        <v>0</v>
      </c>
    </row>
    <row r="923" spans="1:7" ht="15">
      <c r="A923" s="81" t="s">
        <v>3584</v>
      </c>
      <c r="B923" s="80">
        <v>3</v>
      </c>
      <c r="C923" s="105">
        <v>0.006234660538518548</v>
      </c>
      <c r="D923" s="80" t="s">
        <v>3178</v>
      </c>
      <c r="E923" s="80" t="b">
        <v>0</v>
      </c>
      <c r="F923" s="80" t="b">
        <v>0</v>
      </c>
      <c r="G923" s="80" t="b">
        <v>0</v>
      </c>
    </row>
    <row r="924" spans="1:7" ht="15">
      <c r="A924" s="81" t="s">
        <v>3585</v>
      </c>
      <c r="B924" s="80">
        <v>3</v>
      </c>
      <c r="C924" s="105">
        <v>0.006234660538518548</v>
      </c>
      <c r="D924" s="80" t="s">
        <v>3178</v>
      </c>
      <c r="E924" s="80" t="b">
        <v>0</v>
      </c>
      <c r="F924" s="80" t="b">
        <v>0</v>
      </c>
      <c r="G924" s="80" t="b">
        <v>0</v>
      </c>
    </row>
    <row r="925" spans="1:7" ht="15">
      <c r="A925" s="81" t="s">
        <v>3586</v>
      </c>
      <c r="B925" s="80">
        <v>3</v>
      </c>
      <c r="C925" s="105">
        <v>0.006234660538518548</v>
      </c>
      <c r="D925" s="80" t="s">
        <v>3178</v>
      </c>
      <c r="E925" s="80" t="b">
        <v>0</v>
      </c>
      <c r="F925" s="80" t="b">
        <v>0</v>
      </c>
      <c r="G925" s="80" t="b">
        <v>0</v>
      </c>
    </row>
    <row r="926" spans="1:7" ht="15">
      <c r="A926" s="81" t="s">
        <v>3587</v>
      </c>
      <c r="B926" s="80">
        <v>3</v>
      </c>
      <c r="C926" s="105">
        <v>0.006234660538518548</v>
      </c>
      <c r="D926" s="80" t="s">
        <v>3178</v>
      </c>
      <c r="E926" s="80" t="b">
        <v>0</v>
      </c>
      <c r="F926" s="80" t="b">
        <v>0</v>
      </c>
      <c r="G926" s="80" t="b">
        <v>0</v>
      </c>
    </row>
    <row r="927" spans="1:7" ht="15">
      <c r="A927" s="81" t="s">
        <v>3588</v>
      </c>
      <c r="B927" s="80">
        <v>3</v>
      </c>
      <c r="C927" s="105">
        <v>0.006234660538518548</v>
      </c>
      <c r="D927" s="80" t="s">
        <v>3178</v>
      </c>
      <c r="E927" s="80" t="b">
        <v>0</v>
      </c>
      <c r="F927" s="80" t="b">
        <v>0</v>
      </c>
      <c r="G927" s="80" t="b">
        <v>0</v>
      </c>
    </row>
    <row r="928" spans="1:7" ht="15">
      <c r="A928" s="81" t="s">
        <v>3589</v>
      </c>
      <c r="B928" s="80">
        <v>3</v>
      </c>
      <c r="C928" s="105">
        <v>0.006234660538518548</v>
      </c>
      <c r="D928" s="80" t="s">
        <v>3178</v>
      </c>
      <c r="E928" s="80" t="b">
        <v>0</v>
      </c>
      <c r="F928" s="80" t="b">
        <v>0</v>
      </c>
      <c r="G928" s="80" t="b">
        <v>0</v>
      </c>
    </row>
    <row r="929" spans="1:7" ht="15">
      <c r="A929" s="81" t="s">
        <v>3590</v>
      </c>
      <c r="B929" s="80">
        <v>3</v>
      </c>
      <c r="C929" s="105">
        <v>0.006234660538518548</v>
      </c>
      <c r="D929" s="80" t="s">
        <v>3178</v>
      </c>
      <c r="E929" s="80" t="b">
        <v>0</v>
      </c>
      <c r="F929" s="80" t="b">
        <v>0</v>
      </c>
      <c r="G929" s="80" t="b">
        <v>0</v>
      </c>
    </row>
    <row r="930" spans="1:7" ht="15">
      <c r="A930" s="81" t="s">
        <v>3460</v>
      </c>
      <c r="B930" s="80">
        <v>3</v>
      </c>
      <c r="C930" s="105">
        <v>0.006234660538518548</v>
      </c>
      <c r="D930" s="80" t="s">
        <v>3178</v>
      </c>
      <c r="E930" s="80" t="b">
        <v>0</v>
      </c>
      <c r="F930" s="80" t="b">
        <v>0</v>
      </c>
      <c r="G930" s="80" t="b">
        <v>0</v>
      </c>
    </row>
    <row r="931" spans="1:7" ht="15">
      <c r="A931" s="81" t="s">
        <v>3591</v>
      </c>
      <c r="B931" s="80">
        <v>3</v>
      </c>
      <c r="C931" s="105">
        <v>0.006234660538518548</v>
      </c>
      <c r="D931" s="80" t="s">
        <v>3178</v>
      </c>
      <c r="E931" s="80" t="b">
        <v>0</v>
      </c>
      <c r="F931" s="80" t="b">
        <v>0</v>
      </c>
      <c r="G931" s="80" t="b">
        <v>0</v>
      </c>
    </row>
    <row r="932" spans="1:7" ht="15">
      <c r="A932" s="81" t="s">
        <v>3592</v>
      </c>
      <c r="B932" s="80">
        <v>3</v>
      </c>
      <c r="C932" s="105">
        <v>0.006234660538518548</v>
      </c>
      <c r="D932" s="80" t="s">
        <v>3178</v>
      </c>
      <c r="E932" s="80" t="b">
        <v>0</v>
      </c>
      <c r="F932" s="80" t="b">
        <v>0</v>
      </c>
      <c r="G932" s="80" t="b">
        <v>0</v>
      </c>
    </row>
    <row r="933" spans="1:7" ht="15">
      <c r="A933" s="81" t="s">
        <v>3593</v>
      </c>
      <c r="B933" s="80">
        <v>3</v>
      </c>
      <c r="C933" s="105">
        <v>0.006234660538518548</v>
      </c>
      <c r="D933" s="80" t="s">
        <v>3178</v>
      </c>
      <c r="E933" s="80" t="b">
        <v>0</v>
      </c>
      <c r="F933" s="80" t="b">
        <v>0</v>
      </c>
      <c r="G933" s="80" t="b">
        <v>0</v>
      </c>
    </row>
    <row r="934" spans="1:7" ht="15">
      <c r="A934" s="81" t="s">
        <v>3700</v>
      </c>
      <c r="B934" s="80">
        <v>2</v>
      </c>
      <c r="C934" s="105">
        <v>0.004768931694858213</v>
      </c>
      <c r="D934" s="80" t="s">
        <v>3178</v>
      </c>
      <c r="E934" s="80" t="b">
        <v>0</v>
      </c>
      <c r="F934" s="80" t="b">
        <v>0</v>
      </c>
      <c r="G934" s="80" t="b">
        <v>0</v>
      </c>
    </row>
    <row r="935" spans="1:7" ht="15">
      <c r="A935" s="81" t="s">
        <v>3701</v>
      </c>
      <c r="B935" s="80">
        <v>2</v>
      </c>
      <c r="C935" s="105">
        <v>0.004768931694858213</v>
      </c>
      <c r="D935" s="80" t="s">
        <v>3178</v>
      </c>
      <c r="E935" s="80" t="b">
        <v>0</v>
      </c>
      <c r="F935" s="80" t="b">
        <v>0</v>
      </c>
      <c r="G935" s="80" t="b">
        <v>0</v>
      </c>
    </row>
    <row r="936" spans="1:7" ht="15">
      <c r="A936" s="81" t="s">
        <v>3702</v>
      </c>
      <c r="B936" s="80">
        <v>2</v>
      </c>
      <c r="C936" s="105">
        <v>0.004768931694858213</v>
      </c>
      <c r="D936" s="80" t="s">
        <v>3178</v>
      </c>
      <c r="E936" s="80" t="b">
        <v>0</v>
      </c>
      <c r="F936" s="80" t="b">
        <v>0</v>
      </c>
      <c r="G936" s="80" t="b">
        <v>0</v>
      </c>
    </row>
    <row r="937" spans="1:7" ht="15">
      <c r="A937" s="81" t="s">
        <v>3703</v>
      </c>
      <c r="B937" s="80">
        <v>2</v>
      </c>
      <c r="C937" s="105">
        <v>0.004768931694858213</v>
      </c>
      <c r="D937" s="80" t="s">
        <v>3178</v>
      </c>
      <c r="E937" s="80" t="b">
        <v>0</v>
      </c>
      <c r="F937" s="80" t="b">
        <v>0</v>
      </c>
      <c r="G937" s="80" t="b">
        <v>0</v>
      </c>
    </row>
    <row r="938" spans="1:7" ht="15">
      <c r="A938" s="81" t="s">
        <v>3704</v>
      </c>
      <c r="B938" s="80">
        <v>2</v>
      </c>
      <c r="C938" s="105">
        <v>0.004768931694858213</v>
      </c>
      <c r="D938" s="80" t="s">
        <v>3178</v>
      </c>
      <c r="E938" s="80" t="b">
        <v>0</v>
      </c>
      <c r="F938" s="80" t="b">
        <v>0</v>
      </c>
      <c r="G938" s="80" t="b">
        <v>0</v>
      </c>
    </row>
    <row r="939" spans="1:7" ht="15">
      <c r="A939" s="81" t="s">
        <v>3705</v>
      </c>
      <c r="B939" s="80">
        <v>2</v>
      </c>
      <c r="C939" s="105">
        <v>0.004768931694858213</v>
      </c>
      <c r="D939" s="80" t="s">
        <v>3178</v>
      </c>
      <c r="E939" s="80" t="b">
        <v>0</v>
      </c>
      <c r="F939" s="80" t="b">
        <v>0</v>
      </c>
      <c r="G939" s="80" t="b">
        <v>0</v>
      </c>
    </row>
    <row r="940" spans="1:7" ht="15">
      <c r="A940" s="81" t="s">
        <v>3706</v>
      </c>
      <c r="B940" s="80">
        <v>2</v>
      </c>
      <c r="C940" s="105">
        <v>0.004768931694858213</v>
      </c>
      <c r="D940" s="80" t="s">
        <v>3178</v>
      </c>
      <c r="E940" s="80" t="b">
        <v>0</v>
      </c>
      <c r="F940" s="80" t="b">
        <v>0</v>
      </c>
      <c r="G940" s="80" t="b">
        <v>0</v>
      </c>
    </row>
    <row r="941" spans="1:7" ht="15">
      <c r="A941" s="81" t="s">
        <v>3707</v>
      </c>
      <c r="B941" s="80">
        <v>2</v>
      </c>
      <c r="C941" s="105">
        <v>0.004768931694858213</v>
      </c>
      <c r="D941" s="80" t="s">
        <v>3178</v>
      </c>
      <c r="E941" s="80" t="b">
        <v>0</v>
      </c>
      <c r="F941" s="80" t="b">
        <v>0</v>
      </c>
      <c r="G941" s="80" t="b">
        <v>0</v>
      </c>
    </row>
    <row r="942" spans="1:7" ht="15">
      <c r="A942" s="81" t="s">
        <v>3708</v>
      </c>
      <c r="B942" s="80">
        <v>2</v>
      </c>
      <c r="C942" s="105">
        <v>0.004768931694858213</v>
      </c>
      <c r="D942" s="80" t="s">
        <v>3178</v>
      </c>
      <c r="E942" s="80" t="b">
        <v>0</v>
      </c>
      <c r="F942" s="80" t="b">
        <v>0</v>
      </c>
      <c r="G942" s="80" t="b">
        <v>0</v>
      </c>
    </row>
    <row r="943" spans="1:7" ht="15">
      <c r="A943" s="81" t="s">
        <v>3709</v>
      </c>
      <c r="B943" s="80">
        <v>2</v>
      </c>
      <c r="C943" s="105">
        <v>0.004768931694858213</v>
      </c>
      <c r="D943" s="80" t="s">
        <v>3178</v>
      </c>
      <c r="E943" s="80" t="b">
        <v>0</v>
      </c>
      <c r="F943" s="80" t="b">
        <v>0</v>
      </c>
      <c r="G943" s="80" t="b">
        <v>0</v>
      </c>
    </row>
    <row r="944" spans="1:7" ht="15">
      <c r="A944" s="81" t="s">
        <v>3710</v>
      </c>
      <c r="B944" s="80">
        <v>2</v>
      </c>
      <c r="C944" s="105">
        <v>0.004768931694858213</v>
      </c>
      <c r="D944" s="80" t="s">
        <v>3178</v>
      </c>
      <c r="E944" s="80" t="b">
        <v>0</v>
      </c>
      <c r="F944" s="80" t="b">
        <v>0</v>
      </c>
      <c r="G944" s="80" t="b">
        <v>0</v>
      </c>
    </row>
    <row r="945" spans="1:7" ht="15">
      <c r="A945" s="81" t="s">
        <v>3711</v>
      </c>
      <c r="B945" s="80">
        <v>2</v>
      </c>
      <c r="C945" s="105">
        <v>0.004768931694858213</v>
      </c>
      <c r="D945" s="80" t="s">
        <v>3178</v>
      </c>
      <c r="E945" s="80" t="b">
        <v>0</v>
      </c>
      <c r="F945" s="80" t="b">
        <v>0</v>
      </c>
      <c r="G945" s="80" t="b">
        <v>0</v>
      </c>
    </row>
    <row r="946" spans="1:7" ht="15">
      <c r="A946" s="81" t="s">
        <v>3712</v>
      </c>
      <c r="B946" s="80">
        <v>2</v>
      </c>
      <c r="C946" s="105">
        <v>0.004768931694858213</v>
      </c>
      <c r="D946" s="80" t="s">
        <v>3178</v>
      </c>
      <c r="E946" s="80" t="b">
        <v>0</v>
      </c>
      <c r="F946" s="80" t="b">
        <v>0</v>
      </c>
      <c r="G946" s="80" t="b">
        <v>0</v>
      </c>
    </row>
    <row r="947" spans="1:7" ht="15">
      <c r="A947" s="81" t="s">
        <v>3713</v>
      </c>
      <c r="B947" s="80">
        <v>2</v>
      </c>
      <c r="C947" s="105">
        <v>0.004768931694858213</v>
      </c>
      <c r="D947" s="80" t="s">
        <v>3178</v>
      </c>
      <c r="E947" s="80" t="b">
        <v>0</v>
      </c>
      <c r="F947" s="80" t="b">
        <v>0</v>
      </c>
      <c r="G947" s="80" t="b">
        <v>0</v>
      </c>
    </row>
    <row r="948" spans="1:7" ht="15">
      <c r="A948" s="81" t="s">
        <v>3714</v>
      </c>
      <c r="B948" s="80">
        <v>2</v>
      </c>
      <c r="C948" s="105">
        <v>0.004768931694858213</v>
      </c>
      <c r="D948" s="80" t="s">
        <v>3178</v>
      </c>
      <c r="E948" s="80" t="b">
        <v>0</v>
      </c>
      <c r="F948" s="80" t="b">
        <v>0</v>
      </c>
      <c r="G948" s="80" t="b">
        <v>0</v>
      </c>
    </row>
    <row r="949" spans="1:7" ht="15">
      <c r="A949" s="81" t="s">
        <v>3715</v>
      </c>
      <c r="B949" s="80">
        <v>2</v>
      </c>
      <c r="C949" s="105">
        <v>0.004768931694858213</v>
      </c>
      <c r="D949" s="80" t="s">
        <v>3178</v>
      </c>
      <c r="E949" s="80" t="b">
        <v>0</v>
      </c>
      <c r="F949" s="80" t="b">
        <v>0</v>
      </c>
      <c r="G949" s="80" t="b">
        <v>0</v>
      </c>
    </row>
    <row r="950" spans="1:7" ht="15">
      <c r="A950" s="81" t="s">
        <v>3716</v>
      </c>
      <c r="B950" s="80">
        <v>2</v>
      </c>
      <c r="C950" s="105">
        <v>0.004768931694858213</v>
      </c>
      <c r="D950" s="80" t="s">
        <v>3178</v>
      </c>
      <c r="E950" s="80" t="b">
        <v>0</v>
      </c>
      <c r="F950" s="80" t="b">
        <v>0</v>
      </c>
      <c r="G950" s="80" t="b">
        <v>0</v>
      </c>
    </row>
    <row r="951" spans="1:7" ht="15">
      <c r="A951" s="81" t="s">
        <v>3717</v>
      </c>
      <c r="B951" s="80">
        <v>2</v>
      </c>
      <c r="C951" s="105">
        <v>0.004768931694858213</v>
      </c>
      <c r="D951" s="80" t="s">
        <v>3178</v>
      </c>
      <c r="E951" s="80" t="b">
        <v>0</v>
      </c>
      <c r="F951" s="80" t="b">
        <v>0</v>
      </c>
      <c r="G951" s="80" t="b">
        <v>0</v>
      </c>
    </row>
    <row r="952" spans="1:7" ht="15">
      <c r="A952" s="81" t="s">
        <v>3260</v>
      </c>
      <c r="B952" s="80">
        <v>26</v>
      </c>
      <c r="C952" s="105">
        <v>0</v>
      </c>
      <c r="D952" s="80" t="s">
        <v>3179</v>
      </c>
      <c r="E952" s="80" t="b">
        <v>0</v>
      </c>
      <c r="F952" s="80" t="b">
        <v>0</v>
      </c>
      <c r="G952" s="80" t="b">
        <v>0</v>
      </c>
    </row>
    <row r="953" spans="1:7" ht="15">
      <c r="A953" s="81" t="s">
        <v>3266</v>
      </c>
      <c r="B953" s="80">
        <v>16</v>
      </c>
      <c r="C953" s="105">
        <v>0.00807516663781159</v>
      </c>
      <c r="D953" s="80" t="s">
        <v>3179</v>
      </c>
      <c r="E953" s="80" t="b">
        <v>0</v>
      </c>
      <c r="F953" s="80" t="b">
        <v>0</v>
      </c>
      <c r="G953" s="80" t="b">
        <v>0</v>
      </c>
    </row>
    <row r="954" spans="1:7" ht="15">
      <c r="A954" s="81" t="s">
        <v>3314</v>
      </c>
      <c r="B954" s="80">
        <v>12</v>
      </c>
      <c r="C954" s="105">
        <v>0.012463489676220227</v>
      </c>
      <c r="D954" s="80" t="s">
        <v>3179</v>
      </c>
      <c r="E954" s="80" t="b">
        <v>0</v>
      </c>
      <c r="F954" s="80" t="b">
        <v>0</v>
      </c>
      <c r="G954" s="80" t="b">
        <v>0</v>
      </c>
    </row>
    <row r="955" spans="1:7" ht="15">
      <c r="A955" s="81" t="s">
        <v>3318</v>
      </c>
      <c r="B955" s="80">
        <v>10</v>
      </c>
      <c r="C955" s="105">
        <v>0.013770055330509371</v>
      </c>
      <c r="D955" s="80" t="s">
        <v>3179</v>
      </c>
      <c r="E955" s="80" t="b">
        <v>0</v>
      </c>
      <c r="F955" s="80" t="b">
        <v>0</v>
      </c>
      <c r="G955" s="80" t="b">
        <v>0</v>
      </c>
    </row>
    <row r="956" spans="1:7" ht="15">
      <c r="A956" s="81" t="s">
        <v>3339</v>
      </c>
      <c r="B956" s="80">
        <v>10</v>
      </c>
      <c r="C956" s="105">
        <v>0.013770055330509371</v>
      </c>
      <c r="D956" s="80" t="s">
        <v>3179</v>
      </c>
      <c r="E956" s="80" t="b">
        <v>0</v>
      </c>
      <c r="F956" s="80" t="b">
        <v>0</v>
      </c>
      <c r="G956" s="80" t="b">
        <v>0</v>
      </c>
    </row>
    <row r="957" spans="1:7" ht="15">
      <c r="A957" s="81" t="s">
        <v>3367</v>
      </c>
      <c r="B957" s="80">
        <v>7</v>
      </c>
      <c r="C957" s="105">
        <v>0.021543227024964525</v>
      </c>
      <c r="D957" s="80" t="s">
        <v>3179</v>
      </c>
      <c r="E957" s="80" t="b">
        <v>0</v>
      </c>
      <c r="F957" s="80" t="b">
        <v>0</v>
      </c>
      <c r="G957" s="80" t="b">
        <v>0</v>
      </c>
    </row>
    <row r="958" spans="1:7" ht="15">
      <c r="A958" s="81" t="s">
        <v>3368</v>
      </c>
      <c r="B958" s="80">
        <v>7</v>
      </c>
      <c r="C958" s="105">
        <v>0.021543227024964525</v>
      </c>
      <c r="D958" s="80" t="s">
        <v>3179</v>
      </c>
      <c r="E958" s="80" t="b">
        <v>0</v>
      </c>
      <c r="F958" s="80" t="b">
        <v>0</v>
      </c>
      <c r="G958" s="80" t="b">
        <v>0</v>
      </c>
    </row>
    <row r="959" spans="1:7" ht="15">
      <c r="A959" s="81" t="s">
        <v>3369</v>
      </c>
      <c r="B959" s="80">
        <v>7</v>
      </c>
      <c r="C959" s="105">
        <v>0.021543227024964525</v>
      </c>
      <c r="D959" s="80" t="s">
        <v>3179</v>
      </c>
      <c r="E959" s="80" t="b">
        <v>0</v>
      </c>
      <c r="F959" s="80" t="b">
        <v>0</v>
      </c>
      <c r="G959" s="80" t="b">
        <v>0</v>
      </c>
    </row>
    <row r="960" spans="1:7" ht="15">
      <c r="A960" s="81" t="s">
        <v>542</v>
      </c>
      <c r="B960" s="80">
        <v>7</v>
      </c>
      <c r="C960" s="105">
        <v>0.01427285804716939</v>
      </c>
      <c r="D960" s="80" t="s">
        <v>3179</v>
      </c>
      <c r="E960" s="80" t="b">
        <v>0</v>
      </c>
      <c r="F960" s="80" t="b">
        <v>0</v>
      </c>
      <c r="G960" s="80" t="b">
        <v>0</v>
      </c>
    </row>
    <row r="961" spans="1:7" ht="15">
      <c r="A961" s="81" t="s">
        <v>3370</v>
      </c>
      <c r="B961" s="80">
        <v>7</v>
      </c>
      <c r="C961" s="105">
        <v>0.01427285804716939</v>
      </c>
      <c r="D961" s="80" t="s">
        <v>3179</v>
      </c>
      <c r="E961" s="80" t="b">
        <v>0</v>
      </c>
      <c r="F961" s="80" t="b">
        <v>0</v>
      </c>
      <c r="G961" s="80" t="b">
        <v>0</v>
      </c>
    </row>
    <row r="962" spans="1:7" ht="15">
      <c r="A962" s="81" t="s">
        <v>3371</v>
      </c>
      <c r="B962" s="80">
        <v>7</v>
      </c>
      <c r="C962" s="105">
        <v>0.01427285804716939</v>
      </c>
      <c r="D962" s="80" t="s">
        <v>3179</v>
      </c>
      <c r="E962" s="80" t="b">
        <v>0</v>
      </c>
      <c r="F962" s="80" t="b">
        <v>0</v>
      </c>
      <c r="G962" s="80" t="b">
        <v>0</v>
      </c>
    </row>
    <row r="963" spans="1:7" ht="15">
      <c r="A963" s="81" t="s">
        <v>3372</v>
      </c>
      <c r="B963" s="80">
        <v>6</v>
      </c>
      <c r="C963" s="105">
        <v>0.02166918051318607</v>
      </c>
      <c r="D963" s="80" t="s">
        <v>3179</v>
      </c>
      <c r="E963" s="80" t="b">
        <v>1</v>
      </c>
      <c r="F963" s="80" t="b">
        <v>0</v>
      </c>
      <c r="G963" s="80" t="b">
        <v>0</v>
      </c>
    </row>
    <row r="964" spans="1:7" ht="15">
      <c r="A964" s="81" t="s">
        <v>3394</v>
      </c>
      <c r="B964" s="80">
        <v>5</v>
      </c>
      <c r="C964" s="105">
        <v>0.013317292529869669</v>
      </c>
      <c r="D964" s="80" t="s">
        <v>3179</v>
      </c>
      <c r="E964" s="80" t="b">
        <v>0</v>
      </c>
      <c r="F964" s="80" t="b">
        <v>0</v>
      </c>
      <c r="G964" s="80" t="b">
        <v>0</v>
      </c>
    </row>
    <row r="965" spans="1:7" ht="15">
      <c r="A965" s="81" t="s">
        <v>3395</v>
      </c>
      <c r="B965" s="80">
        <v>5</v>
      </c>
      <c r="C965" s="105">
        <v>0.015388019303546089</v>
      </c>
      <c r="D965" s="80" t="s">
        <v>3179</v>
      </c>
      <c r="E965" s="80" t="b">
        <v>1</v>
      </c>
      <c r="F965" s="80" t="b">
        <v>0</v>
      </c>
      <c r="G965" s="80" t="b">
        <v>0</v>
      </c>
    </row>
    <row r="966" spans="1:7" ht="15">
      <c r="A966" s="81" t="s">
        <v>3452</v>
      </c>
      <c r="B966" s="80">
        <v>4</v>
      </c>
      <c r="C966" s="105">
        <v>0.012310415442836871</v>
      </c>
      <c r="D966" s="80" t="s">
        <v>3179</v>
      </c>
      <c r="E966" s="80" t="b">
        <v>0</v>
      </c>
      <c r="F966" s="80" t="b">
        <v>0</v>
      </c>
      <c r="G966" s="80" t="b">
        <v>0</v>
      </c>
    </row>
    <row r="967" spans="1:7" ht="15">
      <c r="A967" s="81" t="s">
        <v>3311</v>
      </c>
      <c r="B967" s="80">
        <v>4</v>
      </c>
      <c r="C967" s="105">
        <v>0.01444612034212405</v>
      </c>
      <c r="D967" s="80" t="s">
        <v>3179</v>
      </c>
      <c r="E967" s="80" t="b">
        <v>0</v>
      </c>
      <c r="F967" s="80" t="b">
        <v>0</v>
      </c>
      <c r="G967" s="80" t="b">
        <v>0</v>
      </c>
    </row>
    <row r="968" spans="1:7" ht="15">
      <c r="A968" s="81" t="s">
        <v>3319</v>
      </c>
      <c r="B968" s="80">
        <v>4</v>
      </c>
      <c r="C968" s="105">
        <v>0.01444612034212405</v>
      </c>
      <c r="D968" s="80" t="s">
        <v>3179</v>
      </c>
      <c r="E968" s="80" t="b">
        <v>0</v>
      </c>
      <c r="F968" s="80" t="b">
        <v>0</v>
      </c>
      <c r="G968" s="80" t="b">
        <v>0</v>
      </c>
    </row>
    <row r="969" spans="1:7" ht="15">
      <c r="A969" s="81" t="s">
        <v>3549</v>
      </c>
      <c r="B969" s="80">
        <v>3</v>
      </c>
      <c r="C969" s="105">
        <v>0.010834590256593035</v>
      </c>
      <c r="D969" s="80" t="s">
        <v>3179</v>
      </c>
      <c r="E969" s="80" t="b">
        <v>0</v>
      </c>
      <c r="F969" s="80" t="b">
        <v>0</v>
      </c>
      <c r="G969" s="80" t="b">
        <v>0</v>
      </c>
    </row>
    <row r="970" spans="1:7" ht="15">
      <c r="A970" s="81" t="s">
        <v>3550</v>
      </c>
      <c r="B970" s="80">
        <v>3</v>
      </c>
      <c r="C970" s="105">
        <v>0.010834590256593035</v>
      </c>
      <c r="D970" s="80" t="s">
        <v>3179</v>
      </c>
      <c r="E970" s="80" t="b">
        <v>0</v>
      </c>
      <c r="F970" s="80" t="b">
        <v>0</v>
      </c>
      <c r="G970" s="80" t="b">
        <v>0</v>
      </c>
    </row>
    <row r="971" spans="1:7" ht="15">
      <c r="A971" s="81" t="s">
        <v>3551</v>
      </c>
      <c r="B971" s="80">
        <v>3</v>
      </c>
      <c r="C971" s="105">
        <v>0.010834590256593035</v>
      </c>
      <c r="D971" s="80" t="s">
        <v>3179</v>
      </c>
      <c r="E971" s="80" t="b">
        <v>0</v>
      </c>
      <c r="F971" s="80" t="b">
        <v>0</v>
      </c>
      <c r="G971" s="80" t="b">
        <v>0</v>
      </c>
    </row>
    <row r="972" spans="1:7" ht="15">
      <c r="A972" s="81" t="s">
        <v>3453</v>
      </c>
      <c r="B972" s="80">
        <v>3</v>
      </c>
      <c r="C972" s="105">
        <v>0.010834590256593035</v>
      </c>
      <c r="D972" s="80" t="s">
        <v>3179</v>
      </c>
      <c r="E972" s="80" t="b">
        <v>0</v>
      </c>
      <c r="F972" s="80" t="b">
        <v>0</v>
      </c>
      <c r="G972" s="80" t="b">
        <v>0</v>
      </c>
    </row>
    <row r="973" spans="1:7" ht="15">
      <c r="A973" s="81" t="s">
        <v>3552</v>
      </c>
      <c r="B973" s="80">
        <v>3</v>
      </c>
      <c r="C973" s="105">
        <v>0.010834590256593035</v>
      </c>
      <c r="D973" s="80" t="s">
        <v>3179</v>
      </c>
      <c r="E973" s="80" t="b">
        <v>0</v>
      </c>
      <c r="F973" s="80" t="b">
        <v>0</v>
      </c>
      <c r="G973" s="80" t="b">
        <v>0</v>
      </c>
    </row>
    <row r="974" spans="1:7" ht="15">
      <c r="A974" s="81" t="s">
        <v>550</v>
      </c>
      <c r="B974" s="80">
        <v>3</v>
      </c>
      <c r="C974" s="105">
        <v>0.010834590256593035</v>
      </c>
      <c r="D974" s="80" t="s">
        <v>3179</v>
      </c>
      <c r="E974" s="80" t="b">
        <v>0</v>
      </c>
      <c r="F974" s="80" t="b">
        <v>0</v>
      </c>
      <c r="G974" s="80" t="b">
        <v>0</v>
      </c>
    </row>
    <row r="975" spans="1:7" ht="15">
      <c r="A975" s="81" t="s">
        <v>3556</v>
      </c>
      <c r="B975" s="80">
        <v>3</v>
      </c>
      <c r="C975" s="105">
        <v>0.010834590256593035</v>
      </c>
      <c r="D975" s="80" t="s">
        <v>3179</v>
      </c>
      <c r="E975" s="80" t="b">
        <v>0</v>
      </c>
      <c r="F975" s="80" t="b">
        <v>0</v>
      </c>
      <c r="G975" s="80" t="b">
        <v>0</v>
      </c>
    </row>
    <row r="976" spans="1:7" ht="15">
      <c r="A976" s="81" t="s">
        <v>3305</v>
      </c>
      <c r="B976" s="80">
        <v>3</v>
      </c>
      <c r="C976" s="105">
        <v>0.010834590256593035</v>
      </c>
      <c r="D976" s="80" t="s">
        <v>3179</v>
      </c>
      <c r="E976" s="80" t="b">
        <v>0</v>
      </c>
      <c r="F976" s="80" t="b">
        <v>0</v>
      </c>
      <c r="G976" s="80" t="b">
        <v>0</v>
      </c>
    </row>
    <row r="977" spans="1:7" ht="15">
      <c r="A977" s="81" t="s">
        <v>556</v>
      </c>
      <c r="B977" s="80">
        <v>3</v>
      </c>
      <c r="C977" s="105">
        <v>0.010834590256593035</v>
      </c>
      <c r="D977" s="80" t="s">
        <v>3179</v>
      </c>
      <c r="E977" s="80" t="b">
        <v>0</v>
      </c>
      <c r="F977" s="80" t="b">
        <v>0</v>
      </c>
      <c r="G977" s="80" t="b">
        <v>0</v>
      </c>
    </row>
    <row r="978" spans="1:7" ht="15">
      <c r="A978" s="81" t="s">
        <v>500</v>
      </c>
      <c r="B978" s="80">
        <v>3</v>
      </c>
      <c r="C978" s="105">
        <v>0.010834590256593035</v>
      </c>
      <c r="D978" s="80" t="s">
        <v>3179</v>
      </c>
      <c r="E978" s="80" t="b">
        <v>0</v>
      </c>
      <c r="F978" s="80" t="b">
        <v>0</v>
      </c>
      <c r="G978" s="80" t="b">
        <v>0</v>
      </c>
    </row>
    <row r="979" spans="1:7" ht="15">
      <c r="A979" s="81" t="s">
        <v>3454</v>
      </c>
      <c r="B979" s="80">
        <v>3</v>
      </c>
      <c r="C979" s="105">
        <v>0.010834590256593035</v>
      </c>
      <c r="D979" s="80" t="s">
        <v>3179</v>
      </c>
      <c r="E979" s="80" t="b">
        <v>0</v>
      </c>
      <c r="F979" s="80" t="b">
        <v>0</v>
      </c>
      <c r="G979" s="80" t="b">
        <v>0</v>
      </c>
    </row>
    <row r="980" spans="1:7" ht="15">
      <c r="A980" s="81" t="s">
        <v>3553</v>
      </c>
      <c r="B980" s="80">
        <v>3</v>
      </c>
      <c r="C980" s="105">
        <v>0.010834590256593035</v>
      </c>
      <c r="D980" s="80" t="s">
        <v>3179</v>
      </c>
      <c r="E980" s="80" t="b">
        <v>0</v>
      </c>
      <c r="F980" s="80" t="b">
        <v>0</v>
      </c>
      <c r="G980" s="80" t="b">
        <v>0</v>
      </c>
    </row>
    <row r="981" spans="1:7" ht="15">
      <c r="A981" s="81" t="s">
        <v>3554</v>
      </c>
      <c r="B981" s="80">
        <v>3</v>
      </c>
      <c r="C981" s="105">
        <v>0.010834590256593035</v>
      </c>
      <c r="D981" s="80" t="s">
        <v>3179</v>
      </c>
      <c r="E981" s="80" t="b">
        <v>0</v>
      </c>
      <c r="F981" s="80" t="b">
        <v>0</v>
      </c>
      <c r="G981" s="80" t="b">
        <v>0</v>
      </c>
    </row>
    <row r="982" spans="1:7" ht="15">
      <c r="A982" s="81" t="s">
        <v>3555</v>
      </c>
      <c r="B982" s="80">
        <v>3</v>
      </c>
      <c r="C982" s="105">
        <v>0.010834590256593035</v>
      </c>
      <c r="D982" s="80" t="s">
        <v>3179</v>
      </c>
      <c r="E982" s="80" t="b">
        <v>0</v>
      </c>
      <c r="F982" s="80" t="b">
        <v>0</v>
      </c>
      <c r="G982" s="80" t="b">
        <v>0</v>
      </c>
    </row>
    <row r="983" spans="1:7" ht="15">
      <c r="A983" s="81" t="s">
        <v>559</v>
      </c>
      <c r="B983" s="80">
        <v>3</v>
      </c>
      <c r="C983" s="105">
        <v>0.010834590256593035</v>
      </c>
      <c r="D983" s="80" t="s">
        <v>3179</v>
      </c>
      <c r="E983" s="80" t="b">
        <v>0</v>
      </c>
      <c r="F983" s="80" t="b">
        <v>0</v>
      </c>
      <c r="G983" s="80" t="b">
        <v>0</v>
      </c>
    </row>
    <row r="984" spans="1:7" ht="15">
      <c r="A984" s="81" t="s">
        <v>3690</v>
      </c>
      <c r="B984" s="80">
        <v>2</v>
      </c>
      <c r="C984" s="105">
        <v>0.008728113667264429</v>
      </c>
      <c r="D984" s="80" t="s">
        <v>3179</v>
      </c>
      <c r="E984" s="80" t="b">
        <v>0</v>
      </c>
      <c r="F984" s="80" t="b">
        <v>0</v>
      </c>
      <c r="G984" s="80" t="b">
        <v>0</v>
      </c>
    </row>
    <row r="985" spans="1:7" ht="15">
      <c r="A985" s="81" t="s">
        <v>495</v>
      </c>
      <c r="B985" s="80">
        <v>2</v>
      </c>
      <c r="C985" s="105">
        <v>0.008728113667264429</v>
      </c>
      <c r="D985" s="80" t="s">
        <v>3179</v>
      </c>
      <c r="E985" s="80" t="b">
        <v>0</v>
      </c>
      <c r="F985" s="80" t="b">
        <v>0</v>
      </c>
      <c r="G985" s="80" t="b">
        <v>0</v>
      </c>
    </row>
    <row r="986" spans="1:7" ht="15">
      <c r="A986" s="81" t="s">
        <v>3830</v>
      </c>
      <c r="B986" s="80">
        <v>2</v>
      </c>
      <c r="C986" s="105">
        <v>0.008728113667264429</v>
      </c>
      <c r="D986" s="80" t="s">
        <v>3179</v>
      </c>
      <c r="E986" s="80" t="b">
        <v>0</v>
      </c>
      <c r="F986" s="80" t="b">
        <v>0</v>
      </c>
      <c r="G986" s="80" t="b">
        <v>0</v>
      </c>
    </row>
    <row r="987" spans="1:7" ht="15">
      <c r="A987" s="81" t="s">
        <v>3831</v>
      </c>
      <c r="B987" s="80">
        <v>2</v>
      </c>
      <c r="C987" s="105">
        <v>0.008728113667264429</v>
      </c>
      <c r="D987" s="80" t="s">
        <v>3179</v>
      </c>
      <c r="E987" s="80" t="b">
        <v>0</v>
      </c>
      <c r="F987" s="80" t="b">
        <v>0</v>
      </c>
      <c r="G987" s="80" t="b">
        <v>0</v>
      </c>
    </row>
    <row r="988" spans="1:7" ht="15">
      <c r="A988" s="81" t="s">
        <v>3693</v>
      </c>
      <c r="B988" s="80">
        <v>2</v>
      </c>
      <c r="C988" s="105">
        <v>0.008728113667264429</v>
      </c>
      <c r="D988" s="80" t="s">
        <v>3179</v>
      </c>
      <c r="E988" s="80" t="b">
        <v>0</v>
      </c>
      <c r="F988" s="80" t="b">
        <v>0</v>
      </c>
      <c r="G988" s="80" t="b">
        <v>0</v>
      </c>
    </row>
    <row r="989" spans="1:7" ht="15">
      <c r="A989" s="81" t="s">
        <v>3692</v>
      </c>
      <c r="B989" s="80">
        <v>2</v>
      </c>
      <c r="C989" s="105">
        <v>0.011301019613110422</v>
      </c>
      <c r="D989" s="80" t="s">
        <v>3179</v>
      </c>
      <c r="E989" s="80" t="b">
        <v>0</v>
      </c>
      <c r="F989" s="80" t="b">
        <v>0</v>
      </c>
      <c r="G989" s="80" t="b">
        <v>0</v>
      </c>
    </row>
    <row r="990" spans="1:7" ht="15">
      <c r="A990" s="81" t="s">
        <v>3691</v>
      </c>
      <c r="B990" s="80">
        <v>2</v>
      </c>
      <c r="C990" s="105">
        <v>0.008728113667264429</v>
      </c>
      <c r="D990" s="80" t="s">
        <v>3179</v>
      </c>
      <c r="E990" s="80" t="b">
        <v>0</v>
      </c>
      <c r="F990" s="80" t="b">
        <v>0</v>
      </c>
      <c r="G990" s="80" t="b">
        <v>0</v>
      </c>
    </row>
    <row r="991" spans="1:7" ht="15">
      <c r="A991" s="81" t="s">
        <v>3396</v>
      </c>
      <c r="B991" s="80">
        <v>2</v>
      </c>
      <c r="C991" s="105">
        <v>0.008728113667264429</v>
      </c>
      <c r="D991" s="80" t="s">
        <v>3179</v>
      </c>
      <c r="E991" s="80" t="b">
        <v>0</v>
      </c>
      <c r="F991" s="80" t="b">
        <v>1</v>
      </c>
      <c r="G991" s="80" t="b">
        <v>0</v>
      </c>
    </row>
    <row r="992" spans="1:7" ht="15">
      <c r="A992" s="81" t="s">
        <v>3268</v>
      </c>
      <c r="B992" s="80">
        <v>34</v>
      </c>
      <c r="C992" s="105">
        <v>0</v>
      </c>
      <c r="D992" s="80" t="s">
        <v>3180</v>
      </c>
      <c r="E992" s="80" t="b">
        <v>0</v>
      </c>
      <c r="F992" s="80" t="b">
        <v>0</v>
      </c>
      <c r="G992" s="80" t="b">
        <v>0</v>
      </c>
    </row>
    <row r="993" spans="1:7" ht="15">
      <c r="A993" s="81" t="s">
        <v>3267</v>
      </c>
      <c r="B993" s="80">
        <v>34</v>
      </c>
      <c r="C993" s="105">
        <v>0</v>
      </c>
      <c r="D993" s="80" t="s">
        <v>3180</v>
      </c>
      <c r="E993" s="80" t="b">
        <v>0</v>
      </c>
      <c r="F993" s="80" t="b">
        <v>0</v>
      </c>
      <c r="G993" s="80" t="b">
        <v>0</v>
      </c>
    </row>
    <row r="994" spans="1:7" ht="15">
      <c r="A994" s="81" t="s">
        <v>3291</v>
      </c>
      <c r="B994" s="80">
        <v>17</v>
      </c>
      <c r="C994" s="105">
        <v>0</v>
      </c>
      <c r="D994" s="80" t="s">
        <v>3180</v>
      </c>
      <c r="E994" s="80" t="b">
        <v>0</v>
      </c>
      <c r="F994" s="80" t="b">
        <v>0</v>
      </c>
      <c r="G994" s="80" t="b">
        <v>0</v>
      </c>
    </row>
    <row r="995" spans="1:7" ht="15">
      <c r="A995" s="81" t="s">
        <v>3279</v>
      </c>
      <c r="B995" s="80">
        <v>17</v>
      </c>
      <c r="C995" s="105">
        <v>0</v>
      </c>
      <c r="D995" s="80" t="s">
        <v>3180</v>
      </c>
      <c r="E995" s="80" t="b">
        <v>0</v>
      </c>
      <c r="F995" s="80" t="b">
        <v>0</v>
      </c>
      <c r="G995" s="80" t="b">
        <v>0</v>
      </c>
    </row>
    <row r="996" spans="1:7" ht="15">
      <c r="A996" s="81" t="s">
        <v>3278</v>
      </c>
      <c r="B996" s="80">
        <v>17</v>
      </c>
      <c r="C996" s="105">
        <v>0</v>
      </c>
      <c r="D996" s="80" t="s">
        <v>3180</v>
      </c>
      <c r="E996" s="80" t="b">
        <v>0</v>
      </c>
      <c r="F996" s="80" t="b">
        <v>0</v>
      </c>
      <c r="G996" s="80" t="b">
        <v>0</v>
      </c>
    </row>
    <row r="997" spans="1:7" ht="15">
      <c r="A997" s="81" t="s">
        <v>3292</v>
      </c>
      <c r="B997" s="80">
        <v>17</v>
      </c>
      <c r="C997" s="105">
        <v>0</v>
      </c>
      <c r="D997" s="80" t="s">
        <v>3180</v>
      </c>
      <c r="E997" s="80" t="b">
        <v>0</v>
      </c>
      <c r="F997" s="80" t="b">
        <v>0</v>
      </c>
      <c r="G997" s="80" t="b">
        <v>0</v>
      </c>
    </row>
    <row r="998" spans="1:7" ht="15">
      <c r="A998" s="81" t="s">
        <v>3293</v>
      </c>
      <c r="B998" s="80">
        <v>17</v>
      </c>
      <c r="C998" s="105">
        <v>0</v>
      </c>
      <c r="D998" s="80" t="s">
        <v>3180</v>
      </c>
      <c r="E998" s="80" t="b">
        <v>0</v>
      </c>
      <c r="F998" s="80" t="b">
        <v>0</v>
      </c>
      <c r="G998" s="80" t="b">
        <v>0</v>
      </c>
    </row>
    <row r="999" spans="1:7" ht="15">
      <c r="A999" s="81" t="s">
        <v>3286</v>
      </c>
      <c r="B999" s="80">
        <v>17</v>
      </c>
      <c r="C999" s="105">
        <v>0</v>
      </c>
      <c r="D999" s="80" t="s">
        <v>3180</v>
      </c>
      <c r="E999" s="80" t="b">
        <v>0</v>
      </c>
      <c r="F999" s="80" t="b">
        <v>0</v>
      </c>
      <c r="G999" s="80" t="b">
        <v>0</v>
      </c>
    </row>
    <row r="1000" spans="1:7" ht="15">
      <c r="A1000" s="81" t="s">
        <v>3287</v>
      </c>
      <c r="B1000" s="80">
        <v>17</v>
      </c>
      <c r="C1000" s="105">
        <v>0</v>
      </c>
      <c r="D1000" s="80" t="s">
        <v>3180</v>
      </c>
      <c r="E1000" s="80" t="b">
        <v>0</v>
      </c>
      <c r="F1000" s="80" t="b">
        <v>0</v>
      </c>
      <c r="G1000" s="80" t="b">
        <v>0</v>
      </c>
    </row>
    <row r="1001" spans="1:7" ht="15">
      <c r="A1001" s="81" t="s">
        <v>3294</v>
      </c>
      <c r="B1001" s="80">
        <v>17</v>
      </c>
      <c r="C1001" s="105">
        <v>0</v>
      </c>
      <c r="D1001" s="80" t="s">
        <v>3180</v>
      </c>
      <c r="E1001" s="80" t="b">
        <v>0</v>
      </c>
      <c r="F1001" s="80" t="b">
        <v>0</v>
      </c>
      <c r="G1001" s="80" t="b">
        <v>0</v>
      </c>
    </row>
    <row r="1002" spans="1:7" ht="15">
      <c r="A1002" s="81" t="s">
        <v>3295</v>
      </c>
      <c r="B1002" s="80">
        <v>17</v>
      </c>
      <c r="C1002" s="105">
        <v>0</v>
      </c>
      <c r="D1002" s="80" t="s">
        <v>3180</v>
      </c>
      <c r="E1002" s="80" t="b">
        <v>0</v>
      </c>
      <c r="F1002" s="80" t="b">
        <v>0</v>
      </c>
      <c r="G1002" s="80" t="b">
        <v>0</v>
      </c>
    </row>
    <row r="1003" spans="1:7" ht="15">
      <c r="A1003" s="81" t="s">
        <v>3281</v>
      </c>
      <c r="B1003" s="80">
        <v>17</v>
      </c>
      <c r="C1003" s="105">
        <v>0</v>
      </c>
      <c r="D1003" s="80" t="s">
        <v>3180</v>
      </c>
      <c r="E1003" s="80" t="b">
        <v>0</v>
      </c>
      <c r="F1003" s="80" t="b">
        <v>0</v>
      </c>
      <c r="G1003" s="80" t="b">
        <v>0</v>
      </c>
    </row>
    <row r="1004" spans="1:7" ht="15">
      <c r="A1004" s="81" t="s">
        <v>3296</v>
      </c>
      <c r="B1004" s="80">
        <v>17</v>
      </c>
      <c r="C1004" s="105">
        <v>0</v>
      </c>
      <c r="D1004" s="80" t="s">
        <v>3180</v>
      </c>
      <c r="E1004" s="80" t="b">
        <v>0</v>
      </c>
      <c r="F1004" s="80" t="b">
        <v>0</v>
      </c>
      <c r="G1004" s="80" t="b">
        <v>0</v>
      </c>
    </row>
    <row r="1005" spans="1:7" ht="15">
      <c r="A1005" s="81" t="s">
        <v>3297</v>
      </c>
      <c r="B1005" s="80">
        <v>17</v>
      </c>
      <c r="C1005" s="105">
        <v>0</v>
      </c>
      <c r="D1005" s="80" t="s">
        <v>3180</v>
      </c>
      <c r="E1005" s="80" t="b">
        <v>0</v>
      </c>
      <c r="F1005" s="80" t="b">
        <v>0</v>
      </c>
      <c r="G1005" s="80" t="b">
        <v>0</v>
      </c>
    </row>
    <row r="1006" spans="1:7" ht="15">
      <c r="A1006" s="81" t="s">
        <v>3280</v>
      </c>
      <c r="B1006" s="80">
        <v>17</v>
      </c>
      <c r="C1006" s="105">
        <v>0</v>
      </c>
      <c r="D1006" s="80" t="s">
        <v>3180</v>
      </c>
      <c r="E1006" s="80" t="b">
        <v>0</v>
      </c>
      <c r="F1006" s="80" t="b">
        <v>0</v>
      </c>
      <c r="G1006" s="80" t="b">
        <v>0</v>
      </c>
    </row>
    <row r="1007" spans="1:7" ht="15">
      <c r="A1007" s="81" t="s">
        <v>3298</v>
      </c>
      <c r="B1007" s="80">
        <v>17</v>
      </c>
      <c r="C1007" s="105">
        <v>0</v>
      </c>
      <c r="D1007" s="80" t="s">
        <v>3180</v>
      </c>
      <c r="E1007" s="80" t="b">
        <v>1</v>
      </c>
      <c r="F1007" s="80" t="b">
        <v>0</v>
      </c>
      <c r="G1007" s="80" t="b">
        <v>0</v>
      </c>
    </row>
    <row r="1008" spans="1:7" ht="15">
      <c r="A1008" s="81" t="s">
        <v>3299</v>
      </c>
      <c r="B1008" s="80">
        <v>17</v>
      </c>
      <c r="C1008" s="105">
        <v>0</v>
      </c>
      <c r="D1008" s="80" t="s">
        <v>3180</v>
      </c>
      <c r="E1008" s="80" t="b">
        <v>0</v>
      </c>
      <c r="F1008" s="80" t="b">
        <v>0</v>
      </c>
      <c r="G1008" s="80" t="b">
        <v>0</v>
      </c>
    </row>
    <row r="1009" spans="1:7" ht="15">
      <c r="A1009" s="81" t="s">
        <v>3300</v>
      </c>
      <c r="B1009" s="80">
        <v>17</v>
      </c>
      <c r="C1009" s="105">
        <v>0</v>
      </c>
      <c r="D1009" s="80" t="s">
        <v>3180</v>
      </c>
      <c r="E1009" s="80" t="b">
        <v>0</v>
      </c>
      <c r="F1009" s="80" t="b">
        <v>0</v>
      </c>
      <c r="G1009" s="80" t="b">
        <v>0</v>
      </c>
    </row>
    <row r="1010" spans="1:7" ht="15">
      <c r="A1010" s="81" t="s">
        <v>3301</v>
      </c>
      <c r="B1010" s="80">
        <v>17</v>
      </c>
      <c r="C1010" s="105">
        <v>0</v>
      </c>
      <c r="D1010" s="80" t="s">
        <v>3180</v>
      </c>
      <c r="E1010" s="80" t="b">
        <v>0</v>
      </c>
      <c r="F1010" s="80" t="b">
        <v>0</v>
      </c>
      <c r="G1010" s="80" t="b">
        <v>0</v>
      </c>
    </row>
    <row r="1011" spans="1:7" ht="15">
      <c r="A1011" s="81" t="s">
        <v>3260</v>
      </c>
      <c r="B1011" s="80">
        <v>17</v>
      </c>
      <c r="C1011" s="105">
        <v>0</v>
      </c>
      <c r="D1011" s="80" t="s">
        <v>3180</v>
      </c>
      <c r="E1011" s="80" t="b">
        <v>0</v>
      </c>
      <c r="F1011" s="80" t="b">
        <v>0</v>
      </c>
      <c r="G1011" s="80" t="b">
        <v>0</v>
      </c>
    </row>
    <row r="1012" spans="1:7" ht="15">
      <c r="A1012" s="81" t="s">
        <v>3260</v>
      </c>
      <c r="B1012" s="80">
        <v>13</v>
      </c>
      <c r="C1012" s="105">
        <v>0</v>
      </c>
      <c r="D1012" s="80" t="s">
        <v>3182</v>
      </c>
      <c r="E1012" s="80" t="b">
        <v>0</v>
      </c>
      <c r="F1012" s="80" t="b">
        <v>0</v>
      </c>
      <c r="G1012" s="80" t="b">
        <v>0</v>
      </c>
    </row>
    <row r="1013" spans="1:7" ht="15">
      <c r="A1013" s="81" t="s">
        <v>3324</v>
      </c>
      <c r="B1013" s="80">
        <v>11</v>
      </c>
      <c r="C1013" s="105">
        <v>0.0032441355229054034</v>
      </c>
      <c r="D1013" s="80" t="s">
        <v>3182</v>
      </c>
      <c r="E1013" s="80" t="b">
        <v>0</v>
      </c>
      <c r="F1013" s="80" t="b">
        <v>0</v>
      </c>
      <c r="G1013" s="80" t="b">
        <v>0</v>
      </c>
    </row>
    <row r="1014" spans="1:7" ht="15">
      <c r="A1014" s="81" t="s">
        <v>3325</v>
      </c>
      <c r="B1014" s="80">
        <v>11</v>
      </c>
      <c r="C1014" s="105">
        <v>0.0032441355229054034</v>
      </c>
      <c r="D1014" s="80" t="s">
        <v>3182</v>
      </c>
      <c r="E1014" s="80" t="b">
        <v>0</v>
      </c>
      <c r="F1014" s="80" t="b">
        <v>0</v>
      </c>
      <c r="G1014" s="80" t="b">
        <v>0</v>
      </c>
    </row>
    <row r="1015" spans="1:7" ht="15">
      <c r="A1015" s="81" t="s">
        <v>3326</v>
      </c>
      <c r="B1015" s="80">
        <v>11</v>
      </c>
      <c r="C1015" s="105">
        <v>0.0032441355229054034</v>
      </c>
      <c r="D1015" s="80" t="s">
        <v>3182</v>
      </c>
      <c r="E1015" s="80" t="b">
        <v>0</v>
      </c>
      <c r="F1015" s="80" t="b">
        <v>0</v>
      </c>
      <c r="G1015" s="80" t="b">
        <v>0</v>
      </c>
    </row>
    <row r="1016" spans="1:7" ht="15">
      <c r="A1016" s="81" t="s">
        <v>3327</v>
      </c>
      <c r="B1016" s="80">
        <v>11</v>
      </c>
      <c r="C1016" s="105">
        <v>0.0032441355229054034</v>
      </c>
      <c r="D1016" s="80" t="s">
        <v>3182</v>
      </c>
      <c r="E1016" s="80" t="b">
        <v>0</v>
      </c>
      <c r="F1016" s="80" t="b">
        <v>0</v>
      </c>
      <c r="G1016" s="80" t="b">
        <v>0</v>
      </c>
    </row>
    <row r="1017" spans="1:7" ht="15">
      <c r="A1017" s="81" t="s">
        <v>3328</v>
      </c>
      <c r="B1017" s="80">
        <v>11</v>
      </c>
      <c r="C1017" s="105">
        <v>0.0032441355229054034</v>
      </c>
      <c r="D1017" s="80" t="s">
        <v>3182</v>
      </c>
      <c r="E1017" s="80" t="b">
        <v>0</v>
      </c>
      <c r="F1017" s="80" t="b">
        <v>0</v>
      </c>
      <c r="G1017" s="80" t="b">
        <v>0</v>
      </c>
    </row>
    <row r="1018" spans="1:7" ht="15">
      <c r="A1018" s="81" t="s">
        <v>3309</v>
      </c>
      <c r="B1018" s="80">
        <v>11</v>
      </c>
      <c r="C1018" s="105">
        <v>0.0032441355229054034</v>
      </c>
      <c r="D1018" s="80" t="s">
        <v>3182</v>
      </c>
      <c r="E1018" s="80" t="b">
        <v>0</v>
      </c>
      <c r="F1018" s="80" t="b">
        <v>0</v>
      </c>
      <c r="G1018" s="80" t="b">
        <v>0</v>
      </c>
    </row>
    <row r="1019" spans="1:7" ht="15">
      <c r="A1019" s="81" t="s">
        <v>3316</v>
      </c>
      <c r="B1019" s="80">
        <v>11</v>
      </c>
      <c r="C1019" s="105">
        <v>0.0032441355229054034</v>
      </c>
      <c r="D1019" s="80" t="s">
        <v>3182</v>
      </c>
      <c r="E1019" s="80" t="b">
        <v>0</v>
      </c>
      <c r="F1019" s="80" t="b">
        <v>0</v>
      </c>
      <c r="G1019" s="80" t="b">
        <v>0</v>
      </c>
    </row>
    <row r="1020" spans="1:7" ht="15">
      <c r="A1020" s="81" t="s">
        <v>3329</v>
      </c>
      <c r="B1020" s="80">
        <v>11</v>
      </c>
      <c r="C1020" s="105">
        <v>0.0032441355229054034</v>
      </c>
      <c r="D1020" s="80" t="s">
        <v>3182</v>
      </c>
      <c r="E1020" s="80" t="b">
        <v>0</v>
      </c>
      <c r="F1020" s="80" t="b">
        <v>0</v>
      </c>
      <c r="G1020" s="80" t="b">
        <v>0</v>
      </c>
    </row>
    <row r="1021" spans="1:7" ht="15">
      <c r="A1021" s="81" t="s">
        <v>3330</v>
      </c>
      <c r="B1021" s="80">
        <v>11</v>
      </c>
      <c r="C1021" s="105">
        <v>0.0032441355229054034</v>
      </c>
      <c r="D1021" s="80" t="s">
        <v>3182</v>
      </c>
      <c r="E1021" s="80" t="b">
        <v>0</v>
      </c>
      <c r="F1021" s="80" t="b">
        <v>0</v>
      </c>
      <c r="G1021" s="80" t="b">
        <v>0</v>
      </c>
    </row>
    <row r="1022" spans="1:7" ht="15">
      <c r="A1022" s="81" t="s">
        <v>3331</v>
      </c>
      <c r="B1022" s="80">
        <v>11</v>
      </c>
      <c r="C1022" s="105">
        <v>0.0032441355229054034</v>
      </c>
      <c r="D1022" s="80" t="s">
        <v>3182</v>
      </c>
      <c r="E1022" s="80" t="b">
        <v>0</v>
      </c>
      <c r="F1022" s="80" t="b">
        <v>0</v>
      </c>
      <c r="G1022" s="80" t="b">
        <v>0</v>
      </c>
    </row>
    <row r="1023" spans="1:7" ht="15">
      <c r="A1023" s="81" t="s">
        <v>3321</v>
      </c>
      <c r="B1023" s="80">
        <v>11</v>
      </c>
      <c r="C1023" s="105">
        <v>0.0032441355229054034</v>
      </c>
      <c r="D1023" s="80" t="s">
        <v>3182</v>
      </c>
      <c r="E1023" s="80" t="b">
        <v>0</v>
      </c>
      <c r="F1023" s="80" t="b">
        <v>0</v>
      </c>
      <c r="G1023" s="80" t="b">
        <v>0</v>
      </c>
    </row>
    <row r="1024" spans="1:7" ht="15">
      <c r="A1024" s="81" t="s">
        <v>3332</v>
      </c>
      <c r="B1024" s="80">
        <v>11</v>
      </c>
      <c r="C1024" s="105">
        <v>0.0032441355229054034</v>
      </c>
      <c r="D1024" s="80" t="s">
        <v>3182</v>
      </c>
      <c r="E1024" s="80" t="b">
        <v>0</v>
      </c>
      <c r="F1024" s="80" t="b">
        <v>0</v>
      </c>
      <c r="G1024" s="80" t="b">
        <v>0</v>
      </c>
    </row>
    <row r="1025" spans="1:7" ht="15">
      <c r="A1025" s="81" t="s">
        <v>3333</v>
      </c>
      <c r="B1025" s="80">
        <v>11</v>
      </c>
      <c r="C1025" s="105">
        <v>0.0032441355229054034</v>
      </c>
      <c r="D1025" s="80" t="s">
        <v>3182</v>
      </c>
      <c r="E1025" s="80" t="b">
        <v>0</v>
      </c>
      <c r="F1025" s="80" t="b">
        <v>0</v>
      </c>
      <c r="G1025" s="80" t="b">
        <v>0</v>
      </c>
    </row>
    <row r="1026" spans="1:7" ht="15">
      <c r="A1026" s="81" t="s">
        <v>3290</v>
      </c>
      <c r="B1026" s="80">
        <v>11</v>
      </c>
      <c r="C1026" s="105">
        <v>0.0032441355229054034</v>
      </c>
      <c r="D1026" s="80" t="s">
        <v>3182</v>
      </c>
      <c r="E1026" s="80" t="b">
        <v>0</v>
      </c>
      <c r="F1026" s="80" t="b">
        <v>0</v>
      </c>
      <c r="G1026" s="80" t="b">
        <v>0</v>
      </c>
    </row>
    <row r="1027" spans="1:7" ht="15">
      <c r="A1027" s="81" t="s">
        <v>3334</v>
      </c>
      <c r="B1027" s="80">
        <v>11</v>
      </c>
      <c r="C1027" s="105">
        <v>0.0032441355229054034</v>
      </c>
      <c r="D1027" s="80" t="s">
        <v>3182</v>
      </c>
      <c r="E1027" s="80" t="b">
        <v>0</v>
      </c>
      <c r="F1027" s="80" t="b">
        <v>0</v>
      </c>
      <c r="G1027" s="80" t="b">
        <v>0</v>
      </c>
    </row>
    <row r="1028" spans="1:7" ht="15">
      <c r="A1028" s="81" t="s">
        <v>3335</v>
      </c>
      <c r="B1028" s="80">
        <v>11</v>
      </c>
      <c r="C1028" s="105">
        <v>0.0032441355229054034</v>
      </c>
      <c r="D1028" s="80" t="s">
        <v>3182</v>
      </c>
      <c r="E1028" s="80" t="b">
        <v>0</v>
      </c>
      <c r="F1028" s="80" t="b">
        <v>0</v>
      </c>
      <c r="G1028" s="80" t="b">
        <v>0</v>
      </c>
    </row>
    <row r="1029" spans="1:7" ht="15">
      <c r="A1029" s="81" t="s">
        <v>3336</v>
      </c>
      <c r="B1029" s="80">
        <v>11</v>
      </c>
      <c r="C1029" s="105">
        <v>0.0032441355229054034</v>
      </c>
      <c r="D1029" s="80" t="s">
        <v>3182</v>
      </c>
      <c r="E1029" s="80" t="b">
        <v>0</v>
      </c>
      <c r="F1029" s="80" t="b">
        <v>0</v>
      </c>
      <c r="G1029" s="80" t="b">
        <v>0</v>
      </c>
    </row>
    <row r="1030" spans="1:7" ht="15">
      <c r="A1030" s="81" t="s">
        <v>3303</v>
      </c>
      <c r="B1030" s="80">
        <v>11</v>
      </c>
      <c r="C1030" s="105">
        <v>0.0032441355229054034</v>
      </c>
      <c r="D1030" s="80" t="s">
        <v>3182</v>
      </c>
      <c r="E1030" s="80" t="b">
        <v>0</v>
      </c>
      <c r="F1030" s="80" t="b">
        <v>0</v>
      </c>
      <c r="G1030" s="80" t="b">
        <v>0</v>
      </c>
    </row>
    <row r="1031" spans="1:7" ht="15">
      <c r="A1031" s="81" t="s">
        <v>3302</v>
      </c>
      <c r="B1031" s="80">
        <v>11</v>
      </c>
      <c r="C1031" s="105">
        <v>0.0032441355229054034</v>
      </c>
      <c r="D1031" s="80" t="s">
        <v>3182</v>
      </c>
      <c r="E1031" s="80" t="b">
        <v>0</v>
      </c>
      <c r="F1031" s="80" t="b">
        <v>0</v>
      </c>
      <c r="G1031" s="80" t="b">
        <v>0</v>
      </c>
    </row>
    <row r="1032" spans="1:7" ht="15">
      <c r="A1032" s="81" t="s">
        <v>3821</v>
      </c>
      <c r="B1032" s="80">
        <v>2</v>
      </c>
      <c r="C1032" s="105">
        <v>0.006609051680023217</v>
      </c>
      <c r="D1032" s="80" t="s">
        <v>3182</v>
      </c>
      <c r="E1032" s="80" t="b">
        <v>0</v>
      </c>
      <c r="F1032" s="80" t="b">
        <v>0</v>
      </c>
      <c r="G1032" s="80" t="b">
        <v>0</v>
      </c>
    </row>
    <row r="1033" spans="1:7" ht="15">
      <c r="A1033" s="81" t="s">
        <v>3341</v>
      </c>
      <c r="B1033" s="80">
        <v>2</v>
      </c>
      <c r="C1033" s="105">
        <v>0.006609051680023217</v>
      </c>
      <c r="D1033" s="80" t="s">
        <v>3182</v>
      </c>
      <c r="E1033" s="80" t="b">
        <v>0</v>
      </c>
      <c r="F1033" s="80" t="b">
        <v>0</v>
      </c>
      <c r="G1033" s="80" t="b">
        <v>0</v>
      </c>
    </row>
    <row r="1034" spans="1:7" ht="15">
      <c r="A1034" s="81" t="s">
        <v>3822</v>
      </c>
      <c r="B1034" s="80">
        <v>2</v>
      </c>
      <c r="C1034" s="105">
        <v>0.006609051680023217</v>
      </c>
      <c r="D1034" s="80" t="s">
        <v>3182</v>
      </c>
      <c r="E1034" s="80" t="b">
        <v>0</v>
      </c>
      <c r="F1034" s="80" t="b">
        <v>1</v>
      </c>
      <c r="G1034" s="80" t="b">
        <v>0</v>
      </c>
    </row>
    <row r="1035" spans="1:7" ht="15">
      <c r="A1035" s="81" t="s">
        <v>3823</v>
      </c>
      <c r="B1035" s="80">
        <v>2</v>
      </c>
      <c r="C1035" s="105">
        <v>0.006609051680023217</v>
      </c>
      <c r="D1035" s="80" t="s">
        <v>3182</v>
      </c>
      <c r="E1035" s="80" t="b">
        <v>0</v>
      </c>
      <c r="F1035" s="80" t="b">
        <v>1</v>
      </c>
      <c r="G1035" s="80" t="b">
        <v>0</v>
      </c>
    </row>
    <row r="1036" spans="1:7" ht="15">
      <c r="A1036" s="81" t="s">
        <v>3824</v>
      </c>
      <c r="B1036" s="80">
        <v>2</v>
      </c>
      <c r="C1036" s="105">
        <v>0.006609051680023217</v>
      </c>
      <c r="D1036" s="80" t="s">
        <v>3182</v>
      </c>
      <c r="E1036" s="80" t="b">
        <v>0</v>
      </c>
      <c r="F1036" s="80" t="b">
        <v>0</v>
      </c>
      <c r="G1036" s="80" t="b">
        <v>0</v>
      </c>
    </row>
    <row r="1037" spans="1:7" ht="15">
      <c r="A1037" s="81" t="s">
        <v>3305</v>
      </c>
      <c r="B1037" s="80">
        <v>2</v>
      </c>
      <c r="C1037" s="105">
        <v>0.006609051680023217</v>
      </c>
      <c r="D1037" s="80" t="s">
        <v>3182</v>
      </c>
      <c r="E1037" s="80" t="b">
        <v>0</v>
      </c>
      <c r="F1037" s="80" t="b">
        <v>0</v>
      </c>
      <c r="G1037" s="80" t="b">
        <v>0</v>
      </c>
    </row>
    <row r="1038" spans="1:7" ht="15">
      <c r="A1038" s="81" t="s">
        <v>3825</v>
      </c>
      <c r="B1038" s="80">
        <v>2</v>
      </c>
      <c r="C1038" s="105">
        <v>0.006609051680023217</v>
      </c>
      <c r="D1038" s="80" t="s">
        <v>3182</v>
      </c>
      <c r="E1038" s="80" t="b">
        <v>0</v>
      </c>
      <c r="F1038" s="80" t="b">
        <v>0</v>
      </c>
      <c r="G1038" s="80" t="b">
        <v>0</v>
      </c>
    </row>
    <row r="1039" spans="1:7" ht="15">
      <c r="A1039" s="81" t="s">
        <v>3826</v>
      </c>
      <c r="B1039" s="80">
        <v>2</v>
      </c>
      <c r="C1039" s="105">
        <v>0.006609051680023217</v>
      </c>
      <c r="D1039" s="80" t="s">
        <v>3182</v>
      </c>
      <c r="E1039" s="80" t="b">
        <v>0</v>
      </c>
      <c r="F1039" s="80" t="b">
        <v>0</v>
      </c>
      <c r="G1039" s="80" t="b">
        <v>0</v>
      </c>
    </row>
    <row r="1040" spans="1:7" ht="15">
      <c r="A1040" s="81" t="s">
        <v>3827</v>
      </c>
      <c r="B1040" s="80">
        <v>2</v>
      </c>
      <c r="C1040" s="105">
        <v>0.006609051680023217</v>
      </c>
      <c r="D1040" s="80" t="s">
        <v>3182</v>
      </c>
      <c r="E1040" s="80" t="b">
        <v>0</v>
      </c>
      <c r="F1040" s="80" t="b">
        <v>0</v>
      </c>
      <c r="G1040" s="80" t="b">
        <v>0</v>
      </c>
    </row>
    <row r="1041" spans="1:7" ht="15">
      <c r="A1041" s="81" t="s">
        <v>3828</v>
      </c>
      <c r="B1041" s="80">
        <v>2</v>
      </c>
      <c r="C1041" s="105">
        <v>0.006609051680023217</v>
      </c>
      <c r="D1041" s="80" t="s">
        <v>3182</v>
      </c>
      <c r="E1041" s="80" t="b">
        <v>0</v>
      </c>
      <c r="F1041" s="80" t="b">
        <v>0</v>
      </c>
      <c r="G1041" s="80" t="b">
        <v>0</v>
      </c>
    </row>
    <row r="1042" spans="1:7" ht="15">
      <c r="A1042" s="81" t="s">
        <v>3829</v>
      </c>
      <c r="B1042" s="80">
        <v>2</v>
      </c>
      <c r="C1042" s="105">
        <v>0.006609051680023217</v>
      </c>
      <c r="D1042" s="80" t="s">
        <v>3182</v>
      </c>
      <c r="E1042" s="80" t="b">
        <v>0</v>
      </c>
      <c r="F1042" s="80" t="b">
        <v>0</v>
      </c>
      <c r="G1042" s="80" t="b">
        <v>0</v>
      </c>
    </row>
    <row r="1043" spans="1:7" ht="15">
      <c r="A1043" s="81" t="s">
        <v>3260</v>
      </c>
      <c r="B1043" s="80">
        <v>5</v>
      </c>
      <c r="C1043" s="105">
        <v>0</v>
      </c>
      <c r="D1043" s="80" t="s">
        <v>3183</v>
      </c>
      <c r="E1043" s="80" t="b">
        <v>0</v>
      </c>
      <c r="F1043" s="80" t="b">
        <v>0</v>
      </c>
      <c r="G1043" s="80" t="b">
        <v>0</v>
      </c>
    </row>
    <row r="1044" spans="1:7" ht="15">
      <c r="A1044" s="81" t="s">
        <v>3373</v>
      </c>
      <c r="B1044" s="80">
        <v>4</v>
      </c>
      <c r="C1044" s="105">
        <v>0.0074571008274405505</v>
      </c>
      <c r="D1044" s="80" t="s">
        <v>3183</v>
      </c>
      <c r="E1044" s="80" t="b">
        <v>0</v>
      </c>
      <c r="F1044" s="80" t="b">
        <v>0</v>
      </c>
      <c r="G1044" s="80" t="b">
        <v>0</v>
      </c>
    </row>
    <row r="1045" spans="1:7" ht="15">
      <c r="A1045" s="81" t="s">
        <v>3534</v>
      </c>
      <c r="B1045" s="80">
        <v>4</v>
      </c>
      <c r="C1045" s="105">
        <v>0.013376134745278575</v>
      </c>
      <c r="D1045" s="80" t="s">
        <v>3183</v>
      </c>
      <c r="E1045" s="80" t="b">
        <v>0</v>
      </c>
      <c r="F1045" s="80" t="b">
        <v>0</v>
      </c>
      <c r="G1045" s="80" t="b">
        <v>0</v>
      </c>
    </row>
    <row r="1046" spans="1:7" ht="15">
      <c r="A1046" s="81" t="s">
        <v>3667</v>
      </c>
      <c r="B1046" s="80">
        <v>3</v>
      </c>
      <c r="C1046" s="105">
        <v>0.0055928256205804135</v>
      </c>
      <c r="D1046" s="80" t="s">
        <v>3183</v>
      </c>
      <c r="E1046" s="80" t="b">
        <v>0</v>
      </c>
      <c r="F1046" s="80" t="b">
        <v>0</v>
      </c>
      <c r="G1046" s="80" t="b">
        <v>0</v>
      </c>
    </row>
    <row r="1047" spans="1:7" ht="15">
      <c r="A1047" s="81" t="s">
        <v>3266</v>
      </c>
      <c r="B1047" s="80">
        <v>3</v>
      </c>
      <c r="C1047" s="105">
        <v>0.0055928256205804135</v>
      </c>
      <c r="D1047" s="80" t="s">
        <v>3183</v>
      </c>
      <c r="E1047" s="80" t="b">
        <v>0</v>
      </c>
      <c r="F1047" s="80" t="b">
        <v>0</v>
      </c>
      <c r="G1047" s="80" t="b">
        <v>0</v>
      </c>
    </row>
    <row r="1048" spans="1:7" ht="15">
      <c r="A1048" s="81" t="s">
        <v>3670</v>
      </c>
      <c r="B1048" s="80">
        <v>3</v>
      </c>
      <c r="C1048" s="105">
        <v>0.0055928256205804135</v>
      </c>
      <c r="D1048" s="80" t="s">
        <v>3183</v>
      </c>
      <c r="E1048" s="80" t="b">
        <v>0</v>
      </c>
      <c r="F1048" s="80" t="b">
        <v>0</v>
      </c>
      <c r="G1048" s="80" t="b">
        <v>0</v>
      </c>
    </row>
    <row r="1049" spans="1:7" ht="15">
      <c r="A1049" s="81" t="s">
        <v>3669</v>
      </c>
      <c r="B1049" s="80">
        <v>3</v>
      </c>
      <c r="C1049" s="105">
        <v>0.0055928256205804135</v>
      </c>
      <c r="D1049" s="80" t="s">
        <v>3183</v>
      </c>
      <c r="E1049" s="80" t="b">
        <v>0</v>
      </c>
      <c r="F1049" s="80" t="b">
        <v>0</v>
      </c>
      <c r="G1049" s="80" t="b">
        <v>0</v>
      </c>
    </row>
    <row r="1050" spans="1:7" ht="15">
      <c r="A1050" s="81" t="s">
        <v>3865</v>
      </c>
      <c r="B1050" s="80">
        <v>2</v>
      </c>
      <c r="C1050" s="105">
        <v>0.006688067372639287</v>
      </c>
      <c r="D1050" s="80" t="s">
        <v>3183</v>
      </c>
      <c r="E1050" s="80" t="b">
        <v>0</v>
      </c>
      <c r="F1050" s="80" t="b">
        <v>0</v>
      </c>
      <c r="G1050" s="80" t="b">
        <v>0</v>
      </c>
    </row>
    <row r="1051" spans="1:7" ht="15">
      <c r="A1051" s="81" t="s">
        <v>3671</v>
      </c>
      <c r="B1051" s="80">
        <v>2</v>
      </c>
      <c r="C1051" s="105">
        <v>0.006688067372639287</v>
      </c>
      <c r="D1051" s="80" t="s">
        <v>3183</v>
      </c>
      <c r="E1051" s="80" t="b">
        <v>0</v>
      </c>
      <c r="F1051" s="80" t="b">
        <v>0</v>
      </c>
      <c r="G1051" s="80" t="b">
        <v>0</v>
      </c>
    </row>
    <row r="1052" spans="1:7" ht="15">
      <c r="A1052" s="81" t="s">
        <v>3878</v>
      </c>
      <c r="B1052" s="80">
        <v>2</v>
      </c>
      <c r="C1052" s="105">
        <v>0.006688067372639287</v>
      </c>
      <c r="D1052" s="80" t="s">
        <v>3183</v>
      </c>
      <c r="E1052" s="80" t="b">
        <v>0</v>
      </c>
      <c r="F1052" s="80" t="b">
        <v>0</v>
      </c>
      <c r="G1052" s="80" t="b">
        <v>0</v>
      </c>
    </row>
    <row r="1053" spans="1:7" ht="15">
      <c r="A1053" s="81" t="s">
        <v>454</v>
      </c>
      <c r="B1053" s="80">
        <v>2</v>
      </c>
      <c r="C1053" s="105">
        <v>0.006688067372639287</v>
      </c>
      <c r="D1053" s="80" t="s">
        <v>3183</v>
      </c>
      <c r="E1053" s="80" t="b">
        <v>0</v>
      </c>
      <c r="F1053" s="80" t="b">
        <v>0</v>
      </c>
      <c r="G1053" s="80" t="b">
        <v>0</v>
      </c>
    </row>
    <row r="1054" spans="1:7" ht="15">
      <c r="A1054" s="81" t="s">
        <v>3866</v>
      </c>
      <c r="B1054" s="80">
        <v>2</v>
      </c>
      <c r="C1054" s="105">
        <v>0.006688067372639287</v>
      </c>
      <c r="D1054" s="80" t="s">
        <v>3183</v>
      </c>
      <c r="E1054" s="80" t="b">
        <v>0</v>
      </c>
      <c r="F1054" s="80" t="b">
        <v>0</v>
      </c>
      <c r="G1054" s="80" t="b">
        <v>0</v>
      </c>
    </row>
    <row r="1055" spans="1:7" ht="15">
      <c r="A1055" s="81" t="s">
        <v>3867</v>
      </c>
      <c r="B1055" s="80">
        <v>2</v>
      </c>
      <c r="C1055" s="105">
        <v>0.006688067372639287</v>
      </c>
      <c r="D1055" s="80" t="s">
        <v>3183</v>
      </c>
      <c r="E1055" s="80" t="b">
        <v>0</v>
      </c>
      <c r="F1055" s="80" t="b">
        <v>0</v>
      </c>
      <c r="G1055" s="80" t="b">
        <v>0</v>
      </c>
    </row>
    <row r="1056" spans="1:7" ht="15">
      <c r="A1056" s="81" t="s">
        <v>3868</v>
      </c>
      <c r="B1056" s="80">
        <v>2</v>
      </c>
      <c r="C1056" s="105">
        <v>0.006688067372639287</v>
      </c>
      <c r="D1056" s="80" t="s">
        <v>3183</v>
      </c>
      <c r="E1056" s="80" t="b">
        <v>0</v>
      </c>
      <c r="F1056" s="80" t="b">
        <v>0</v>
      </c>
      <c r="G1056" s="80" t="b">
        <v>0</v>
      </c>
    </row>
    <row r="1057" spans="1:7" ht="15">
      <c r="A1057" s="81" t="s">
        <v>3869</v>
      </c>
      <c r="B1057" s="80">
        <v>2</v>
      </c>
      <c r="C1057" s="105">
        <v>0.006688067372639287</v>
      </c>
      <c r="D1057" s="80" t="s">
        <v>3183</v>
      </c>
      <c r="E1057" s="80" t="b">
        <v>0</v>
      </c>
      <c r="F1057" s="80" t="b">
        <v>0</v>
      </c>
      <c r="G1057" s="80" t="b">
        <v>0</v>
      </c>
    </row>
    <row r="1058" spans="1:7" ht="15">
      <c r="A1058" s="81" t="s">
        <v>3870</v>
      </c>
      <c r="B1058" s="80">
        <v>2</v>
      </c>
      <c r="C1058" s="105">
        <v>0.006688067372639287</v>
      </c>
      <c r="D1058" s="80" t="s">
        <v>3183</v>
      </c>
      <c r="E1058" s="80" t="b">
        <v>0</v>
      </c>
      <c r="F1058" s="80" t="b">
        <v>0</v>
      </c>
      <c r="G1058" s="80" t="b">
        <v>0</v>
      </c>
    </row>
    <row r="1059" spans="1:7" ht="15">
      <c r="A1059" s="81" t="s">
        <v>3478</v>
      </c>
      <c r="B1059" s="80">
        <v>2</v>
      </c>
      <c r="C1059" s="105">
        <v>0.006688067372639287</v>
      </c>
      <c r="D1059" s="80" t="s">
        <v>3183</v>
      </c>
      <c r="E1059" s="80" t="b">
        <v>0</v>
      </c>
      <c r="F1059" s="80" t="b">
        <v>0</v>
      </c>
      <c r="G1059" s="80" t="b">
        <v>0</v>
      </c>
    </row>
    <row r="1060" spans="1:7" ht="15">
      <c r="A1060" s="81" t="s">
        <v>3309</v>
      </c>
      <c r="B1060" s="80">
        <v>2</v>
      </c>
      <c r="C1060" s="105">
        <v>0.006688067372639287</v>
      </c>
      <c r="D1060" s="80" t="s">
        <v>3183</v>
      </c>
      <c r="E1060" s="80" t="b">
        <v>0</v>
      </c>
      <c r="F1060" s="80" t="b">
        <v>0</v>
      </c>
      <c r="G1060" s="80" t="b">
        <v>0</v>
      </c>
    </row>
    <row r="1061" spans="1:7" ht="15">
      <c r="A1061" s="81" t="s">
        <v>3316</v>
      </c>
      <c r="B1061" s="80">
        <v>2</v>
      </c>
      <c r="C1061" s="105">
        <v>0.006688067372639287</v>
      </c>
      <c r="D1061" s="80" t="s">
        <v>3183</v>
      </c>
      <c r="E1061" s="80" t="b">
        <v>0</v>
      </c>
      <c r="F1061" s="80" t="b">
        <v>0</v>
      </c>
      <c r="G1061" s="80" t="b">
        <v>0</v>
      </c>
    </row>
    <row r="1062" spans="1:7" ht="15">
      <c r="A1062" s="81" t="s">
        <v>3871</v>
      </c>
      <c r="B1062" s="80">
        <v>2</v>
      </c>
      <c r="C1062" s="105">
        <v>0.006688067372639287</v>
      </c>
      <c r="D1062" s="80" t="s">
        <v>3183</v>
      </c>
      <c r="E1062" s="80" t="b">
        <v>0</v>
      </c>
      <c r="F1062" s="80" t="b">
        <v>0</v>
      </c>
      <c r="G1062" s="80" t="b">
        <v>0</v>
      </c>
    </row>
    <row r="1063" spans="1:7" ht="15">
      <c r="A1063" s="81" t="s">
        <v>3474</v>
      </c>
      <c r="B1063" s="80">
        <v>2</v>
      </c>
      <c r="C1063" s="105">
        <v>0.006688067372639287</v>
      </c>
      <c r="D1063" s="80" t="s">
        <v>3183</v>
      </c>
      <c r="E1063" s="80" t="b">
        <v>0</v>
      </c>
      <c r="F1063" s="80" t="b">
        <v>0</v>
      </c>
      <c r="G1063" s="80" t="b">
        <v>0</v>
      </c>
    </row>
    <row r="1064" spans="1:7" ht="15">
      <c r="A1064" s="81" t="s">
        <v>3451</v>
      </c>
      <c r="B1064" s="80">
        <v>2</v>
      </c>
      <c r="C1064" s="105">
        <v>0.006688067372639287</v>
      </c>
      <c r="D1064" s="80" t="s">
        <v>3183</v>
      </c>
      <c r="E1064" s="80" t="b">
        <v>0</v>
      </c>
      <c r="F1064" s="80" t="b">
        <v>0</v>
      </c>
      <c r="G1064" s="80" t="b">
        <v>0</v>
      </c>
    </row>
    <row r="1065" spans="1:7" ht="15">
      <c r="A1065" s="81" t="s">
        <v>3548</v>
      </c>
      <c r="B1065" s="80">
        <v>2</v>
      </c>
      <c r="C1065" s="105">
        <v>0.006688067372639287</v>
      </c>
      <c r="D1065" s="80" t="s">
        <v>3183</v>
      </c>
      <c r="E1065" s="80" t="b">
        <v>0</v>
      </c>
      <c r="F1065" s="80" t="b">
        <v>0</v>
      </c>
      <c r="G1065" s="80" t="b">
        <v>0</v>
      </c>
    </row>
    <row r="1066" spans="1:7" ht="15">
      <c r="A1066" s="81" t="s">
        <v>3872</v>
      </c>
      <c r="B1066" s="80">
        <v>2</v>
      </c>
      <c r="C1066" s="105">
        <v>0.006688067372639287</v>
      </c>
      <c r="D1066" s="80" t="s">
        <v>3183</v>
      </c>
      <c r="E1066" s="80" t="b">
        <v>0</v>
      </c>
      <c r="F1066" s="80" t="b">
        <v>0</v>
      </c>
      <c r="G1066" s="80" t="b">
        <v>0</v>
      </c>
    </row>
    <row r="1067" spans="1:7" ht="15">
      <c r="A1067" s="81" t="s">
        <v>3475</v>
      </c>
      <c r="B1067" s="80">
        <v>2</v>
      </c>
      <c r="C1067" s="105">
        <v>0.006688067372639287</v>
      </c>
      <c r="D1067" s="80" t="s">
        <v>3183</v>
      </c>
      <c r="E1067" s="80" t="b">
        <v>0</v>
      </c>
      <c r="F1067" s="80" t="b">
        <v>0</v>
      </c>
      <c r="G1067" s="80" t="b">
        <v>0</v>
      </c>
    </row>
    <row r="1068" spans="1:7" ht="15">
      <c r="A1068" s="81" t="s">
        <v>3873</v>
      </c>
      <c r="B1068" s="80">
        <v>2</v>
      </c>
      <c r="C1068" s="105">
        <v>0.006688067372639287</v>
      </c>
      <c r="D1068" s="80" t="s">
        <v>3183</v>
      </c>
      <c r="E1068" s="80" t="b">
        <v>0</v>
      </c>
      <c r="F1068" s="80" t="b">
        <v>0</v>
      </c>
      <c r="G1068" s="80" t="b">
        <v>0</v>
      </c>
    </row>
    <row r="1069" spans="1:7" ht="15">
      <c r="A1069" s="81" t="s">
        <v>3874</v>
      </c>
      <c r="B1069" s="80">
        <v>2</v>
      </c>
      <c r="C1069" s="105">
        <v>0.006688067372639287</v>
      </c>
      <c r="D1069" s="80" t="s">
        <v>3183</v>
      </c>
      <c r="E1069" s="80" t="b">
        <v>0</v>
      </c>
      <c r="F1069" s="80" t="b">
        <v>0</v>
      </c>
      <c r="G1069" s="80" t="b">
        <v>0</v>
      </c>
    </row>
    <row r="1070" spans="1:7" ht="15">
      <c r="A1070" s="81" t="s">
        <v>3875</v>
      </c>
      <c r="B1070" s="80">
        <v>2</v>
      </c>
      <c r="C1070" s="105">
        <v>0.006688067372639287</v>
      </c>
      <c r="D1070" s="80" t="s">
        <v>3183</v>
      </c>
      <c r="E1070" s="80" t="b">
        <v>0</v>
      </c>
      <c r="F1070" s="80" t="b">
        <v>0</v>
      </c>
      <c r="G1070" s="80" t="b">
        <v>0</v>
      </c>
    </row>
    <row r="1071" spans="1:7" ht="15">
      <c r="A1071" s="81" t="s">
        <v>3876</v>
      </c>
      <c r="B1071" s="80">
        <v>2</v>
      </c>
      <c r="C1071" s="105">
        <v>0.006688067372639287</v>
      </c>
      <c r="D1071" s="80" t="s">
        <v>3183</v>
      </c>
      <c r="E1071" s="80" t="b">
        <v>0</v>
      </c>
      <c r="F1071" s="80" t="b">
        <v>0</v>
      </c>
      <c r="G1071" s="80" t="b">
        <v>0</v>
      </c>
    </row>
    <row r="1072" spans="1:7" ht="15">
      <c r="A1072" s="81" t="s">
        <v>3547</v>
      </c>
      <c r="B1072" s="80">
        <v>2</v>
      </c>
      <c r="C1072" s="105">
        <v>0.006688067372639287</v>
      </c>
      <c r="D1072" s="80" t="s">
        <v>3183</v>
      </c>
      <c r="E1072" s="80" t="b">
        <v>0</v>
      </c>
      <c r="F1072" s="80" t="b">
        <v>0</v>
      </c>
      <c r="G1072" s="80" t="b">
        <v>0</v>
      </c>
    </row>
    <row r="1073" spans="1:7" ht="15">
      <c r="A1073" s="81" t="s">
        <v>3877</v>
      </c>
      <c r="B1073" s="80">
        <v>2</v>
      </c>
      <c r="C1073" s="105">
        <v>0.006688067372639287</v>
      </c>
      <c r="D1073" s="80" t="s">
        <v>3183</v>
      </c>
      <c r="E1073" s="80" t="b">
        <v>0</v>
      </c>
      <c r="F1073" s="80" t="b">
        <v>0</v>
      </c>
      <c r="G1073" s="80" t="b">
        <v>0</v>
      </c>
    </row>
    <row r="1074" spans="1:7" ht="15">
      <c r="A1074" s="81" t="s">
        <v>3668</v>
      </c>
      <c r="B1074" s="80">
        <v>2</v>
      </c>
      <c r="C1074" s="105">
        <v>0.006688067372639287</v>
      </c>
      <c r="D1074" s="80" t="s">
        <v>3183</v>
      </c>
      <c r="E1074" s="80" t="b">
        <v>0</v>
      </c>
      <c r="F1074" s="80" t="b">
        <v>0</v>
      </c>
      <c r="G1074" s="80" t="b">
        <v>0</v>
      </c>
    </row>
    <row r="1075" spans="1:7" ht="15">
      <c r="A1075" s="81" t="s">
        <v>3260</v>
      </c>
      <c r="B1075" s="80">
        <v>6</v>
      </c>
      <c r="C1075" s="105">
        <v>0</v>
      </c>
      <c r="D1075" s="80" t="s">
        <v>3184</v>
      </c>
      <c r="E1075" s="80" t="b">
        <v>0</v>
      </c>
      <c r="F1075" s="80" t="b">
        <v>0</v>
      </c>
      <c r="G1075" s="80" t="b">
        <v>0</v>
      </c>
    </row>
    <row r="1076" spans="1:7" ht="15">
      <c r="A1076" s="81" t="s">
        <v>3524</v>
      </c>
      <c r="B1076" s="80">
        <v>4</v>
      </c>
      <c r="C1076" s="105">
        <v>0.021344395037052273</v>
      </c>
      <c r="D1076" s="80" t="s">
        <v>3184</v>
      </c>
      <c r="E1076" s="80" t="b">
        <v>0</v>
      </c>
      <c r="F1076" s="80" t="b">
        <v>0</v>
      </c>
      <c r="G1076" s="80" t="b">
        <v>0</v>
      </c>
    </row>
    <row r="1077" spans="1:7" ht="15">
      <c r="A1077" s="81" t="s">
        <v>490</v>
      </c>
      <c r="B1077" s="80">
        <v>3</v>
      </c>
      <c r="C1077" s="105">
        <v>0.02736636324218011</v>
      </c>
      <c r="D1077" s="80" t="s">
        <v>3184</v>
      </c>
      <c r="E1077" s="80" t="b">
        <v>0</v>
      </c>
      <c r="F1077" s="80" t="b">
        <v>0</v>
      </c>
      <c r="G1077" s="80" t="b">
        <v>0</v>
      </c>
    </row>
    <row r="1078" spans="1:7" ht="15">
      <c r="A1078" s="81" t="s">
        <v>3832</v>
      </c>
      <c r="B1078" s="80">
        <v>2</v>
      </c>
      <c r="C1078" s="105">
        <v>0.028916439679979544</v>
      </c>
      <c r="D1078" s="80" t="s">
        <v>3184</v>
      </c>
      <c r="E1078" s="80" t="b">
        <v>0</v>
      </c>
      <c r="F1078" s="80" t="b">
        <v>0</v>
      </c>
      <c r="G1078" s="80" t="b">
        <v>0</v>
      </c>
    </row>
    <row r="1079" spans="1:7" ht="15">
      <c r="A1079" s="81" t="s">
        <v>3627</v>
      </c>
      <c r="B1079" s="80">
        <v>2</v>
      </c>
      <c r="C1079" s="105">
        <v>0.028916439679979544</v>
      </c>
      <c r="D1079" s="80" t="s">
        <v>3184</v>
      </c>
      <c r="E1079" s="80" t="b">
        <v>0</v>
      </c>
      <c r="F1079" s="80" t="b">
        <v>0</v>
      </c>
      <c r="G1079" s="80" t="b">
        <v>0</v>
      </c>
    </row>
    <row r="1080" spans="1:7" ht="15">
      <c r="A1080" s="81" t="s">
        <v>3833</v>
      </c>
      <c r="B1080" s="80">
        <v>2</v>
      </c>
      <c r="C1080" s="105">
        <v>0.028916439679979544</v>
      </c>
      <c r="D1080" s="80" t="s">
        <v>3184</v>
      </c>
      <c r="E1080" s="80" t="b">
        <v>0</v>
      </c>
      <c r="F1080" s="80" t="b">
        <v>0</v>
      </c>
      <c r="G1080" s="80" t="b">
        <v>0</v>
      </c>
    </row>
    <row r="1081" spans="1:7" ht="15">
      <c r="A1081" s="81" t="s">
        <v>3834</v>
      </c>
      <c r="B1081" s="80">
        <v>2</v>
      </c>
      <c r="C1081" s="105">
        <v>0.028916439679979544</v>
      </c>
      <c r="D1081" s="80" t="s">
        <v>3184</v>
      </c>
      <c r="E1081" s="80" t="b">
        <v>0</v>
      </c>
      <c r="F1081" s="80" t="b">
        <v>0</v>
      </c>
      <c r="G1081" s="80" t="b">
        <v>0</v>
      </c>
    </row>
    <row r="1082" spans="1:7" ht="15">
      <c r="A1082" s="81" t="s">
        <v>3434</v>
      </c>
      <c r="B1082" s="80">
        <v>2</v>
      </c>
      <c r="C1082" s="105">
        <v>0.028916439679979544</v>
      </c>
      <c r="D1082" s="80" t="s">
        <v>3184</v>
      </c>
      <c r="E1082" s="80" t="b">
        <v>0</v>
      </c>
      <c r="F1082" s="80" t="b">
        <v>0</v>
      </c>
      <c r="G1082" s="80" t="b">
        <v>0</v>
      </c>
    </row>
    <row r="1083" spans="1:7" ht="15">
      <c r="A1083" s="81" t="s">
        <v>542</v>
      </c>
      <c r="B1083" s="80">
        <v>2</v>
      </c>
      <c r="C1083" s="105">
        <v>0.028916439679979544</v>
      </c>
      <c r="D1083" s="80" t="s">
        <v>3184</v>
      </c>
      <c r="E1083" s="80" t="b">
        <v>0</v>
      </c>
      <c r="F1083" s="80" t="b">
        <v>0</v>
      </c>
      <c r="G1083" s="80" t="b">
        <v>0</v>
      </c>
    </row>
    <row r="1084" spans="1:7" ht="15">
      <c r="A1084" s="81" t="s">
        <v>492</v>
      </c>
      <c r="B1084" s="80">
        <v>2</v>
      </c>
      <c r="C1084" s="105">
        <v>0.028916439679979544</v>
      </c>
      <c r="D1084" s="80" t="s">
        <v>3184</v>
      </c>
      <c r="E1084" s="80" t="b">
        <v>0</v>
      </c>
      <c r="F1084" s="80" t="b">
        <v>0</v>
      </c>
      <c r="G1084" s="80" t="b">
        <v>0</v>
      </c>
    </row>
    <row r="1085" spans="1:7" ht="15">
      <c r="A1085" s="81" t="s">
        <v>3413</v>
      </c>
      <c r="B1085" s="80">
        <v>5</v>
      </c>
      <c r="C1085" s="105">
        <v>0</v>
      </c>
      <c r="D1085" s="80" t="s">
        <v>3185</v>
      </c>
      <c r="E1085" s="80" t="b">
        <v>0</v>
      </c>
      <c r="F1085" s="80" t="b">
        <v>0</v>
      </c>
      <c r="G1085" s="80" t="b">
        <v>0</v>
      </c>
    </row>
    <row r="1086" spans="1:7" ht="15">
      <c r="A1086" s="81" t="s">
        <v>3414</v>
      </c>
      <c r="B1086" s="80">
        <v>5</v>
      </c>
      <c r="C1086" s="105">
        <v>0</v>
      </c>
      <c r="D1086" s="80" t="s">
        <v>3185</v>
      </c>
      <c r="E1086" s="80" t="b">
        <v>0</v>
      </c>
      <c r="F1086" s="80" t="b">
        <v>0</v>
      </c>
      <c r="G1086" s="80" t="b">
        <v>0</v>
      </c>
    </row>
    <row r="1087" spans="1:7" ht="15">
      <c r="A1087" s="81" t="s">
        <v>3415</v>
      </c>
      <c r="B1087" s="80">
        <v>5</v>
      </c>
      <c r="C1087" s="105">
        <v>0</v>
      </c>
      <c r="D1087" s="80" t="s">
        <v>3185</v>
      </c>
      <c r="E1087" s="80" t="b">
        <v>0</v>
      </c>
      <c r="F1087" s="80" t="b">
        <v>0</v>
      </c>
      <c r="G1087" s="80" t="b">
        <v>0</v>
      </c>
    </row>
    <row r="1088" spans="1:7" ht="15">
      <c r="A1088" s="81" t="s">
        <v>3416</v>
      </c>
      <c r="B1088" s="80">
        <v>5</v>
      </c>
      <c r="C1088" s="105">
        <v>0</v>
      </c>
      <c r="D1088" s="80" t="s">
        <v>3185</v>
      </c>
      <c r="E1088" s="80" t="b">
        <v>0</v>
      </c>
      <c r="F1088" s="80" t="b">
        <v>0</v>
      </c>
      <c r="G1088" s="80" t="b">
        <v>0</v>
      </c>
    </row>
    <row r="1089" spans="1:7" ht="15">
      <c r="A1089" s="81" t="s">
        <v>3388</v>
      </c>
      <c r="B1089" s="80">
        <v>5</v>
      </c>
      <c r="C1089" s="105">
        <v>0</v>
      </c>
      <c r="D1089" s="80" t="s">
        <v>3185</v>
      </c>
      <c r="E1089" s="80" t="b">
        <v>0</v>
      </c>
      <c r="F1089" s="80" t="b">
        <v>0</v>
      </c>
      <c r="G1089" s="80" t="b">
        <v>0</v>
      </c>
    </row>
    <row r="1090" spans="1:7" ht="15">
      <c r="A1090" s="81" t="s">
        <v>3302</v>
      </c>
      <c r="B1090" s="80">
        <v>5</v>
      </c>
      <c r="C1090" s="105">
        <v>0</v>
      </c>
      <c r="D1090" s="80" t="s">
        <v>3185</v>
      </c>
      <c r="E1090" s="80" t="b">
        <v>0</v>
      </c>
      <c r="F1090" s="80" t="b">
        <v>0</v>
      </c>
      <c r="G1090" s="80" t="b">
        <v>0</v>
      </c>
    </row>
    <row r="1091" spans="1:7" ht="15">
      <c r="A1091" s="81" t="s">
        <v>3417</v>
      </c>
      <c r="B1091" s="80">
        <v>5</v>
      </c>
      <c r="C1091" s="105">
        <v>0</v>
      </c>
      <c r="D1091" s="80" t="s">
        <v>3185</v>
      </c>
      <c r="E1091" s="80" t="b">
        <v>0</v>
      </c>
      <c r="F1091" s="80" t="b">
        <v>0</v>
      </c>
      <c r="G1091" s="80" t="b">
        <v>0</v>
      </c>
    </row>
    <row r="1092" spans="1:7" ht="15">
      <c r="A1092" s="81" t="s">
        <v>3418</v>
      </c>
      <c r="B1092" s="80">
        <v>5</v>
      </c>
      <c r="C1092" s="105">
        <v>0</v>
      </c>
      <c r="D1092" s="80" t="s">
        <v>3185</v>
      </c>
      <c r="E1092" s="80" t="b">
        <v>0</v>
      </c>
      <c r="F1092" s="80" t="b">
        <v>0</v>
      </c>
      <c r="G1092" s="80" t="b">
        <v>0</v>
      </c>
    </row>
    <row r="1093" spans="1:7" ht="15">
      <c r="A1093" s="81" t="s">
        <v>3419</v>
      </c>
      <c r="B1093" s="80">
        <v>5</v>
      </c>
      <c r="C1093" s="105">
        <v>0</v>
      </c>
      <c r="D1093" s="80" t="s">
        <v>3185</v>
      </c>
      <c r="E1093" s="80" t="b">
        <v>0</v>
      </c>
      <c r="F1093" s="80" t="b">
        <v>0</v>
      </c>
      <c r="G1093" s="80" t="b">
        <v>0</v>
      </c>
    </row>
    <row r="1094" spans="1:7" ht="15">
      <c r="A1094" s="81" t="s">
        <v>3420</v>
      </c>
      <c r="B1094" s="80">
        <v>5</v>
      </c>
      <c r="C1094" s="105">
        <v>0</v>
      </c>
      <c r="D1094" s="80" t="s">
        <v>3185</v>
      </c>
      <c r="E1094" s="80" t="b">
        <v>0</v>
      </c>
      <c r="F1094" s="80" t="b">
        <v>0</v>
      </c>
      <c r="G1094" s="80" t="b">
        <v>0</v>
      </c>
    </row>
    <row r="1095" spans="1:7" ht="15">
      <c r="A1095" s="81" t="s">
        <v>3366</v>
      </c>
      <c r="B1095" s="80">
        <v>5</v>
      </c>
      <c r="C1095" s="105">
        <v>0</v>
      </c>
      <c r="D1095" s="80" t="s">
        <v>3185</v>
      </c>
      <c r="E1095" s="80" t="b">
        <v>0</v>
      </c>
      <c r="F1095" s="80" t="b">
        <v>0</v>
      </c>
      <c r="G1095" s="80" t="b">
        <v>0</v>
      </c>
    </row>
    <row r="1096" spans="1:7" ht="15">
      <c r="A1096" s="81" t="s">
        <v>3421</v>
      </c>
      <c r="B1096" s="80">
        <v>5</v>
      </c>
      <c r="C1096" s="105">
        <v>0</v>
      </c>
      <c r="D1096" s="80" t="s">
        <v>3185</v>
      </c>
      <c r="E1096" s="80" t="b">
        <v>0</v>
      </c>
      <c r="F1096" s="80" t="b">
        <v>0</v>
      </c>
      <c r="G1096" s="80" t="b">
        <v>0</v>
      </c>
    </row>
    <row r="1097" spans="1:7" ht="15">
      <c r="A1097" s="81" t="s">
        <v>3422</v>
      </c>
      <c r="B1097" s="80">
        <v>5</v>
      </c>
      <c r="C1097" s="105">
        <v>0</v>
      </c>
      <c r="D1097" s="80" t="s">
        <v>3185</v>
      </c>
      <c r="E1097" s="80" t="b">
        <v>0</v>
      </c>
      <c r="F1097" s="80" t="b">
        <v>0</v>
      </c>
      <c r="G1097" s="80" t="b">
        <v>0</v>
      </c>
    </row>
    <row r="1098" spans="1:7" ht="15">
      <c r="A1098" s="81" t="s">
        <v>3423</v>
      </c>
      <c r="B1098" s="80">
        <v>5</v>
      </c>
      <c r="C1098" s="105">
        <v>0</v>
      </c>
      <c r="D1098" s="80" t="s">
        <v>3185</v>
      </c>
      <c r="E1098" s="80" t="b">
        <v>0</v>
      </c>
      <c r="F1098" s="80" t="b">
        <v>0</v>
      </c>
      <c r="G1098" s="80" t="b">
        <v>0</v>
      </c>
    </row>
    <row r="1099" spans="1:7" ht="15">
      <c r="A1099" s="81" t="s">
        <v>3424</v>
      </c>
      <c r="B1099" s="80">
        <v>5</v>
      </c>
      <c r="C1099" s="105">
        <v>0</v>
      </c>
      <c r="D1099" s="80" t="s">
        <v>3185</v>
      </c>
      <c r="E1099" s="80" t="b">
        <v>0</v>
      </c>
      <c r="F1099" s="80" t="b">
        <v>0</v>
      </c>
      <c r="G1099" s="80" t="b">
        <v>0</v>
      </c>
    </row>
    <row r="1100" spans="1:7" ht="15">
      <c r="A1100" s="81" t="s">
        <v>3387</v>
      </c>
      <c r="B1100" s="80">
        <v>5</v>
      </c>
      <c r="C1100" s="105">
        <v>0</v>
      </c>
      <c r="D1100" s="80" t="s">
        <v>3185</v>
      </c>
      <c r="E1100" s="80" t="b">
        <v>0</v>
      </c>
      <c r="F1100" s="80" t="b">
        <v>1</v>
      </c>
      <c r="G1100" s="80" t="b">
        <v>0</v>
      </c>
    </row>
    <row r="1101" spans="1:7" ht="15">
      <c r="A1101" s="81" t="s">
        <v>3425</v>
      </c>
      <c r="B1101" s="80">
        <v>5</v>
      </c>
      <c r="C1101" s="105">
        <v>0</v>
      </c>
      <c r="D1101" s="80" t="s">
        <v>3185</v>
      </c>
      <c r="E1101" s="80" t="b">
        <v>0</v>
      </c>
      <c r="F1101" s="80" t="b">
        <v>0</v>
      </c>
      <c r="G1101" s="80" t="b">
        <v>0</v>
      </c>
    </row>
    <row r="1102" spans="1:7" ht="15">
      <c r="A1102" s="81" t="s">
        <v>3426</v>
      </c>
      <c r="B1102" s="80">
        <v>5</v>
      </c>
      <c r="C1102" s="105">
        <v>0</v>
      </c>
      <c r="D1102" s="80" t="s">
        <v>3185</v>
      </c>
      <c r="E1102" s="80" t="b">
        <v>0</v>
      </c>
      <c r="F1102" s="80" t="b">
        <v>0</v>
      </c>
      <c r="G1102" s="80" t="b">
        <v>0</v>
      </c>
    </row>
    <row r="1103" spans="1:7" ht="15">
      <c r="A1103" s="81" t="s">
        <v>3378</v>
      </c>
      <c r="B1103" s="80">
        <v>5</v>
      </c>
      <c r="C1103" s="105">
        <v>0</v>
      </c>
      <c r="D1103" s="80" t="s">
        <v>3185</v>
      </c>
      <c r="E1103" s="80" t="b">
        <v>0</v>
      </c>
      <c r="F1103" s="80" t="b">
        <v>0</v>
      </c>
      <c r="G1103" s="80" t="b">
        <v>0</v>
      </c>
    </row>
    <row r="1104" spans="1:7" ht="15">
      <c r="A1104" s="81" t="s">
        <v>3427</v>
      </c>
      <c r="B1104" s="80">
        <v>5</v>
      </c>
      <c r="C1104" s="105">
        <v>0</v>
      </c>
      <c r="D1104" s="80" t="s">
        <v>3185</v>
      </c>
      <c r="E1104" s="80" t="b">
        <v>0</v>
      </c>
      <c r="F1104" s="80" t="b">
        <v>0</v>
      </c>
      <c r="G1104" s="80" t="b">
        <v>0</v>
      </c>
    </row>
    <row r="1105" spans="1:7" ht="15">
      <c r="A1105" s="81" t="s">
        <v>3428</v>
      </c>
      <c r="B1105" s="80">
        <v>5</v>
      </c>
      <c r="C1105" s="105">
        <v>0</v>
      </c>
      <c r="D1105" s="80" t="s">
        <v>3185</v>
      </c>
      <c r="E1105" s="80" t="b">
        <v>0</v>
      </c>
      <c r="F1105" s="80" t="b">
        <v>0</v>
      </c>
      <c r="G1105" s="80" t="b">
        <v>0</v>
      </c>
    </row>
    <row r="1106" spans="1:7" ht="15">
      <c r="A1106" s="81" t="s">
        <v>3260</v>
      </c>
      <c r="B1106" s="80">
        <v>5</v>
      </c>
      <c r="C1106" s="105">
        <v>0</v>
      </c>
      <c r="D1106" s="80" t="s">
        <v>3185</v>
      </c>
      <c r="E1106" s="80" t="b">
        <v>0</v>
      </c>
      <c r="F1106" s="80" t="b">
        <v>0</v>
      </c>
      <c r="G1106" s="80" t="b">
        <v>0</v>
      </c>
    </row>
    <row r="1107" spans="1:7" ht="15">
      <c r="A1107" s="81" t="s">
        <v>3305</v>
      </c>
      <c r="B1107" s="80">
        <v>5</v>
      </c>
      <c r="C1107" s="105">
        <v>0</v>
      </c>
      <c r="D1107" s="80" t="s">
        <v>3185</v>
      </c>
      <c r="E1107" s="80" t="b">
        <v>0</v>
      </c>
      <c r="F1107" s="80" t="b">
        <v>0</v>
      </c>
      <c r="G1107" s="80" t="b">
        <v>0</v>
      </c>
    </row>
    <row r="1108" spans="1:7" ht="15">
      <c r="A1108" s="81" t="s">
        <v>3429</v>
      </c>
      <c r="B1108" s="80">
        <v>5</v>
      </c>
      <c r="C1108" s="105">
        <v>0</v>
      </c>
      <c r="D1108" s="80" t="s">
        <v>3185</v>
      </c>
      <c r="E1108" s="80" t="b">
        <v>0</v>
      </c>
      <c r="F1108" s="80" t="b">
        <v>0</v>
      </c>
      <c r="G1108" s="80" t="b">
        <v>0</v>
      </c>
    </row>
    <row r="1109" spans="1:7" ht="15">
      <c r="A1109" s="81" t="s">
        <v>431</v>
      </c>
      <c r="B1109" s="80">
        <v>5</v>
      </c>
      <c r="C1109" s="105">
        <v>0</v>
      </c>
      <c r="D1109" s="80" t="s">
        <v>3185</v>
      </c>
      <c r="E1109" s="80" t="b">
        <v>0</v>
      </c>
      <c r="F1109" s="80" t="b">
        <v>0</v>
      </c>
      <c r="G1109" s="80" t="b">
        <v>0</v>
      </c>
    </row>
    <row r="1110" spans="1:7" ht="15">
      <c r="A1110" s="81" t="s">
        <v>430</v>
      </c>
      <c r="B1110" s="80">
        <v>5</v>
      </c>
      <c r="C1110" s="105">
        <v>0</v>
      </c>
      <c r="D1110" s="80" t="s">
        <v>3185</v>
      </c>
      <c r="E1110" s="80" t="b">
        <v>0</v>
      </c>
      <c r="F1110" s="80" t="b">
        <v>0</v>
      </c>
      <c r="G1110" s="80" t="b">
        <v>0</v>
      </c>
    </row>
    <row r="1111" spans="1:7" ht="15">
      <c r="A1111" s="81" t="s">
        <v>460</v>
      </c>
      <c r="B1111" s="80">
        <v>5</v>
      </c>
      <c r="C1111" s="105">
        <v>0</v>
      </c>
      <c r="D1111" s="80" t="s">
        <v>3185</v>
      </c>
      <c r="E1111" s="80" t="b">
        <v>0</v>
      </c>
      <c r="F1111" s="80" t="b">
        <v>0</v>
      </c>
      <c r="G1111" s="80" t="b">
        <v>0</v>
      </c>
    </row>
    <row r="1112" spans="1:7" ht="15">
      <c r="A1112" s="81" t="s">
        <v>3313</v>
      </c>
      <c r="B1112" s="80">
        <v>9</v>
      </c>
      <c r="C1112" s="105">
        <v>0</v>
      </c>
      <c r="D1112" s="80" t="s">
        <v>3186</v>
      </c>
      <c r="E1112" s="80" t="b">
        <v>0</v>
      </c>
      <c r="F1112" s="80" t="b">
        <v>0</v>
      </c>
      <c r="G1112" s="80" t="b">
        <v>0</v>
      </c>
    </row>
    <row r="1113" spans="1:7" ht="15">
      <c r="A1113" s="81" t="s">
        <v>3365</v>
      </c>
      <c r="B1113" s="80">
        <v>8</v>
      </c>
      <c r="C1113" s="105">
        <v>0.006354754951347962</v>
      </c>
      <c r="D1113" s="80" t="s">
        <v>3186</v>
      </c>
      <c r="E1113" s="80" t="b">
        <v>0</v>
      </c>
      <c r="F1113" s="80" t="b">
        <v>0</v>
      </c>
      <c r="G1113" s="80" t="b">
        <v>0</v>
      </c>
    </row>
    <row r="1114" spans="1:7" ht="15">
      <c r="A1114" s="81" t="s">
        <v>3304</v>
      </c>
      <c r="B1114" s="80">
        <v>8</v>
      </c>
      <c r="C1114" s="105">
        <v>0.006354754951347962</v>
      </c>
      <c r="D1114" s="80" t="s">
        <v>3186</v>
      </c>
      <c r="E1114" s="80" t="b">
        <v>0</v>
      </c>
      <c r="F1114" s="80" t="b">
        <v>0</v>
      </c>
      <c r="G1114" s="80" t="b">
        <v>0</v>
      </c>
    </row>
    <row r="1115" spans="1:7" ht="15">
      <c r="A1115" s="81" t="s">
        <v>3340</v>
      </c>
      <c r="B1115" s="80">
        <v>4</v>
      </c>
      <c r="C1115" s="105">
        <v>0.003177377475673981</v>
      </c>
      <c r="D1115" s="80" t="s">
        <v>3186</v>
      </c>
      <c r="E1115" s="80" t="b">
        <v>0</v>
      </c>
      <c r="F1115" s="80" t="b">
        <v>0</v>
      </c>
      <c r="G1115" s="80" t="b">
        <v>0</v>
      </c>
    </row>
    <row r="1116" spans="1:7" ht="15">
      <c r="A1116" s="81" t="s">
        <v>3260</v>
      </c>
      <c r="B1116" s="80">
        <v>4</v>
      </c>
      <c r="C1116" s="105">
        <v>0.003177377475673981</v>
      </c>
      <c r="D1116" s="80" t="s">
        <v>3186</v>
      </c>
      <c r="E1116" s="80" t="b">
        <v>0</v>
      </c>
      <c r="F1116" s="80" t="b">
        <v>0</v>
      </c>
      <c r="G1116" s="80" t="b">
        <v>0</v>
      </c>
    </row>
    <row r="1117" spans="1:7" ht="15">
      <c r="A1117" s="81" t="s">
        <v>3525</v>
      </c>
      <c r="B1117" s="80">
        <v>4</v>
      </c>
      <c r="C1117" s="105">
        <v>0.003177377475673981</v>
      </c>
      <c r="D1117" s="80" t="s">
        <v>3186</v>
      </c>
      <c r="E1117" s="80" t="b">
        <v>0</v>
      </c>
      <c r="F1117" s="80" t="b">
        <v>0</v>
      </c>
      <c r="G1117" s="80" t="b">
        <v>0</v>
      </c>
    </row>
    <row r="1118" spans="1:7" ht="15">
      <c r="A1118" s="81" t="s">
        <v>3526</v>
      </c>
      <c r="B1118" s="80">
        <v>4</v>
      </c>
      <c r="C1118" s="105">
        <v>0.003177377475673981</v>
      </c>
      <c r="D1118" s="80" t="s">
        <v>3186</v>
      </c>
      <c r="E1118" s="80" t="b">
        <v>0</v>
      </c>
      <c r="F1118" s="80" t="b">
        <v>0</v>
      </c>
      <c r="G1118" s="80" t="b">
        <v>0</v>
      </c>
    </row>
    <row r="1119" spans="1:7" ht="15">
      <c r="A1119" s="81" t="s">
        <v>3412</v>
      </c>
      <c r="B1119" s="80">
        <v>4</v>
      </c>
      <c r="C1119" s="105">
        <v>0.003177377475673981</v>
      </c>
      <c r="D1119" s="80" t="s">
        <v>3186</v>
      </c>
      <c r="E1119" s="80" t="b">
        <v>0</v>
      </c>
      <c r="F1119" s="80" t="b">
        <v>0</v>
      </c>
      <c r="G1119" s="80" t="b">
        <v>0</v>
      </c>
    </row>
    <row r="1120" spans="1:7" ht="15">
      <c r="A1120" s="81" t="s">
        <v>3527</v>
      </c>
      <c r="B1120" s="80">
        <v>4</v>
      </c>
      <c r="C1120" s="105">
        <v>0.003177377475673981</v>
      </c>
      <c r="D1120" s="80" t="s">
        <v>3186</v>
      </c>
      <c r="E1120" s="80" t="b">
        <v>0</v>
      </c>
      <c r="F1120" s="80" t="b">
        <v>0</v>
      </c>
      <c r="G1120" s="80" t="b">
        <v>0</v>
      </c>
    </row>
    <row r="1121" spans="1:7" ht="15">
      <c r="A1121" s="81" t="s">
        <v>3528</v>
      </c>
      <c r="B1121" s="80">
        <v>4</v>
      </c>
      <c r="C1121" s="105">
        <v>0.003177377475673981</v>
      </c>
      <c r="D1121" s="80" t="s">
        <v>3186</v>
      </c>
      <c r="E1121" s="80" t="b">
        <v>0</v>
      </c>
      <c r="F1121" s="80" t="b">
        <v>0</v>
      </c>
      <c r="G1121" s="80" t="b">
        <v>0</v>
      </c>
    </row>
    <row r="1122" spans="1:7" ht="15">
      <c r="A1122" s="81" t="s">
        <v>3529</v>
      </c>
      <c r="B1122" s="80">
        <v>4</v>
      </c>
      <c r="C1122" s="105">
        <v>0.003177377475673981</v>
      </c>
      <c r="D1122" s="80" t="s">
        <v>3186</v>
      </c>
      <c r="E1122" s="80" t="b">
        <v>0</v>
      </c>
      <c r="F1122" s="80" t="b">
        <v>0</v>
      </c>
      <c r="G1122" s="80" t="b">
        <v>0</v>
      </c>
    </row>
    <row r="1123" spans="1:7" ht="15">
      <c r="A1123" s="81" t="s">
        <v>3530</v>
      </c>
      <c r="B1123" s="80">
        <v>4</v>
      </c>
      <c r="C1123" s="105">
        <v>0.003177377475673981</v>
      </c>
      <c r="D1123" s="80" t="s">
        <v>3186</v>
      </c>
      <c r="E1123" s="80" t="b">
        <v>0</v>
      </c>
      <c r="F1123" s="80" t="b">
        <v>0</v>
      </c>
      <c r="G1123" s="80" t="b">
        <v>0</v>
      </c>
    </row>
    <row r="1124" spans="1:7" ht="15">
      <c r="A1124" s="81" t="s">
        <v>3362</v>
      </c>
      <c r="B1124" s="80">
        <v>4</v>
      </c>
      <c r="C1124" s="105">
        <v>0.003177377475673981</v>
      </c>
      <c r="D1124" s="80" t="s">
        <v>3186</v>
      </c>
      <c r="E1124" s="80" t="b">
        <v>0</v>
      </c>
      <c r="F1124" s="80" t="b">
        <v>0</v>
      </c>
      <c r="G1124" s="80" t="b">
        <v>0</v>
      </c>
    </row>
    <row r="1125" spans="1:7" ht="15">
      <c r="A1125" s="81" t="s">
        <v>3363</v>
      </c>
      <c r="B1125" s="80">
        <v>4</v>
      </c>
      <c r="C1125" s="105">
        <v>0.003177377475673981</v>
      </c>
      <c r="D1125" s="80" t="s">
        <v>3186</v>
      </c>
      <c r="E1125" s="80" t="b">
        <v>0</v>
      </c>
      <c r="F1125" s="80" t="b">
        <v>0</v>
      </c>
      <c r="G1125" s="80" t="b">
        <v>0</v>
      </c>
    </row>
    <row r="1126" spans="1:7" ht="15">
      <c r="A1126" s="81" t="s">
        <v>3407</v>
      </c>
      <c r="B1126" s="80">
        <v>4</v>
      </c>
      <c r="C1126" s="105">
        <v>0.003177377475673981</v>
      </c>
      <c r="D1126" s="80" t="s">
        <v>3186</v>
      </c>
      <c r="E1126" s="80" t="b">
        <v>0</v>
      </c>
      <c r="F1126" s="80" t="b">
        <v>0</v>
      </c>
      <c r="G1126" s="80" t="b">
        <v>0</v>
      </c>
    </row>
    <row r="1127" spans="1:7" ht="15">
      <c r="A1127" s="81" t="s">
        <v>3531</v>
      </c>
      <c r="B1127" s="80">
        <v>4</v>
      </c>
      <c r="C1127" s="105">
        <v>0.003177377475673981</v>
      </c>
      <c r="D1127" s="80" t="s">
        <v>3186</v>
      </c>
      <c r="E1127" s="80" t="b">
        <v>0</v>
      </c>
      <c r="F1127" s="80" t="b">
        <v>0</v>
      </c>
      <c r="G1127" s="80" t="b">
        <v>0</v>
      </c>
    </row>
    <row r="1128" spans="1:7" ht="15">
      <c r="A1128" s="81" t="s">
        <v>500</v>
      </c>
      <c r="B1128" s="80">
        <v>4</v>
      </c>
      <c r="C1128" s="105">
        <v>0.003177377475673981</v>
      </c>
      <c r="D1128" s="80" t="s">
        <v>3186</v>
      </c>
      <c r="E1128" s="80" t="b">
        <v>0</v>
      </c>
      <c r="F1128" s="80" t="b">
        <v>0</v>
      </c>
      <c r="G1128" s="80" t="b">
        <v>0</v>
      </c>
    </row>
    <row r="1129" spans="1:7" ht="15">
      <c r="A1129" s="81" t="s">
        <v>3411</v>
      </c>
      <c r="B1129" s="80">
        <v>4</v>
      </c>
      <c r="C1129" s="105">
        <v>0.003177377475673981</v>
      </c>
      <c r="D1129" s="80" t="s">
        <v>3186</v>
      </c>
      <c r="E1129" s="80" t="b">
        <v>0</v>
      </c>
      <c r="F1129" s="80" t="b">
        <v>0</v>
      </c>
      <c r="G1129" s="80" t="b">
        <v>0</v>
      </c>
    </row>
    <row r="1130" spans="1:7" ht="15">
      <c r="A1130" s="81" t="s">
        <v>3386</v>
      </c>
      <c r="B1130" s="80">
        <v>4</v>
      </c>
      <c r="C1130" s="105">
        <v>0.003177377475673981</v>
      </c>
      <c r="D1130" s="80" t="s">
        <v>3186</v>
      </c>
      <c r="E1130" s="80" t="b">
        <v>0</v>
      </c>
      <c r="F1130" s="80" t="b">
        <v>0</v>
      </c>
      <c r="G1130" s="80" t="b">
        <v>0</v>
      </c>
    </row>
    <row r="1131" spans="1:7" ht="15">
      <c r="A1131" s="81" t="s">
        <v>3532</v>
      </c>
      <c r="B1131" s="80">
        <v>4</v>
      </c>
      <c r="C1131" s="105">
        <v>0.003177377475673981</v>
      </c>
      <c r="D1131" s="80" t="s">
        <v>3186</v>
      </c>
      <c r="E1131" s="80" t="b">
        <v>0</v>
      </c>
      <c r="F1131" s="80" t="b">
        <v>0</v>
      </c>
      <c r="G1131" s="80" t="b">
        <v>0</v>
      </c>
    </row>
    <row r="1132" spans="1:7" ht="15">
      <c r="A1132" s="81" t="s">
        <v>3317</v>
      </c>
      <c r="B1132" s="80">
        <v>4</v>
      </c>
      <c r="C1132" s="105">
        <v>0.003177377475673981</v>
      </c>
      <c r="D1132" s="80" t="s">
        <v>3186</v>
      </c>
      <c r="E1132" s="80" t="b">
        <v>0</v>
      </c>
      <c r="F1132" s="80" t="b">
        <v>0</v>
      </c>
      <c r="G1132" s="80" t="b">
        <v>0</v>
      </c>
    </row>
    <row r="1133" spans="1:7" ht="15">
      <c r="A1133" s="81" t="s">
        <v>3533</v>
      </c>
      <c r="B1133" s="80">
        <v>4</v>
      </c>
      <c r="C1133" s="105">
        <v>0.003177377475673981</v>
      </c>
      <c r="D1133" s="80" t="s">
        <v>3186</v>
      </c>
      <c r="E1133" s="80" t="b">
        <v>0</v>
      </c>
      <c r="F1133" s="80" t="b">
        <v>0</v>
      </c>
      <c r="G1133" s="80" t="b">
        <v>0</v>
      </c>
    </row>
    <row r="1134" spans="1:7" ht="15">
      <c r="A1134" s="81" t="s">
        <v>3408</v>
      </c>
      <c r="B1134" s="80">
        <v>5</v>
      </c>
      <c r="C1134" s="105">
        <v>0</v>
      </c>
      <c r="D1134" s="80" t="s">
        <v>3187</v>
      </c>
      <c r="E1134" s="80" t="b">
        <v>0</v>
      </c>
      <c r="F1134" s="80" t="b">
        <v>0</v>
      </c>
      <c r="G1134" s="80" t="b">
        <v>0</v>
      </c>
    </row>
    <row r="1135" spans="1:7" ht="15">
      <c r="A1135" s="81" t="s">
        <v>3260</v>
      </c>
      <c r="B1135" s="80">
        <v>5</v>
      </c>
      <c r="C1135" s="105">
        <v>0</v>
      </c>
      <c r="D1135" s="80" t="s">
        <v>3187</v>
      </c>
      <c r="E1135" s="80" t="b">
        <v>0</v>
      </c>
      <c r="F1135" s="80" t="b">
        <v>0</v>
      </c>
      <c r="G1135" s="80" t="b">
        <v>0</v>
      </c>
    </row>
    <row r="1136" spans="1:7" ht="15">
      <c r="A1136" s="81" t="s">
        <v>3266</v>
      </c>
      <c r="B1136" s="80">
        <v>2</v>
      </c>
      <c r="C1136" s="105">
        <v>0.01061173356458767</v>
      </c>
      <c r="D1136" s="80" t="s">
        <v>3187</v>
      </c>
      <c r="E1136" s="80" t="b">
        <v>0</v>
      </c>
      <c r="F1136" s="80" t="b">
        <v>0</v>
      </c>
      <c r="G1136" s="80" t="b">
        <v>0</v>
      </c>
    </row>
    <row r="1137" spans="1:7" ht="15">
      <c r="A1137" s="81" t="s">
        <v>3809</v>
      </c>
      <c r="B1137" s="80">
        <v>2</v>
      </c>
      <c r="C1137" s="105">
        <v>0.01061173356458767</v>
      </c>
      <c r="D1137" s="80" t="s">
        <v>3187</v>
      </c>
      <c r="E1137" s="80" t="b">
        <v>0</v>
      </c>
      <c r="F1137" s="80" t="b">
        <v>0</v>
      </c>
      <c r="G1137" s="80" t="b">
        <v>0</v>
      </c>
    </row>
    <row r="1138" spans="1:7" ht="15">
      <c r="A1138" s="81" t="s">
        <v>3810</v>
      </c>
      <c r="B1138" s="80">
        <v>2</v>
      </c>
      <c r="C1138" s="105">
        <v>0.01061173356458767</v>
      </c>
      <c r="D1138" s="80" t="s">
        <v>3187</v>
      </c>
      <c r="E1138" s="80" t="b">
        <v>0</v>
      </c>
      <c r="F1138" s="80" t="b">
        <v>0</v>
      </c>
      <c r="G1138" s="80" t="b">
        <v>0</v>
      </c>
    </row>
    <row r="1139" spans="1:7" ht="15">
      <c r="A1139" s="81" t="s">
        <v>3811</v>
      </c>
      <c r="B1139" s="80">
        <v>2</v>
      </c>
      <c r="C1139" s="105">
        <v>0.01863920011562717</v>
      </c>
      <c r="D1139" s="80" t="s">
        <v>3187</v>
      </c>
      <c r="E1139" s="80" t="b">
        <v>0</v>
      </c>
      <c r="F1139" s="80" t="b">
        <v>0</v>
      </c>
      <c r="G1139" s="80" t="b">
        <v>0</v>
      </c>
    </row>
    <row r="1140" spans="1:7" ht="15">
      <c r="A1140" s="81" t="s">
        <v>3807</v>
      </c>
      <c r="B1140" s="80">
        <v>2</v>
      </c>
      <c r="C1140" s="105">
        <v>0.01061173356458767</v>
      </c>
      <c r="D1140" s="80" t="s">
        <v>3187</v>
      </c>
      <c r="E1140" s="80" t="b">
        <v>0</v>
      </c>
      <c r="F1140" s="80" t="b">
        <v>0</v>
      </c>
      <c r="G1140" s="80" t="b">
        <v>0</v>
      </c>
    </row>
    <row r="1141" spans="1:7" ht="15">
      <c r="A1141" s="81" t="s">
        <v>3383</v>
      </c>
      <c r="B1141" s="80">
        <v>2</v>
      </c>
      <c r="C1141" s="105">
        <v>0.01061173356458767</v>
      </c>
      <c r="D1141" s="80" t="s">
        <v>3187</v>
      </c>
      <c r="E1141" s="80" t="b">
        <v>0</v>
      </c>
      <c r="F1141" s="80" t="b">
        <v>0</v>
      </c>
      <c r="G1141" s="80" t="b">
        <v>0</v>
      </c>
    </row>
    <row r="1142" spans="1:7" ht="15">
      <c r="A1142" s="81" t="s">
        <v>3808</v>
      </c>
      <c r="B1142" s="80">
        <v>2</v>
      </c>
      <c r="C1142" s="105">
        <v>0.01863920011562717</v>
      </c>
      <c r="D1142" s="80" t="s">
        <v>3187</v>
      </c>
      <c r="E1142" s="80" t="b">
        <v>0</v>
      </c>
      <c r="F1142" s="80" t="b">
        <v>0</v>
      </c>
      <c r="G1142" s="80" t="b">
        <v>0</v>
      </c>
    </row>
    <row r="1143" spans="1:7" ht="15">
      <c r="A1143" s="81" t="s">
        <v>500</v>
      </c>
      <c r="B1143" s="80">
        <v>10</v>
      </c>
      <c r="C1143" s="105">
        <v>0.0224307673248269</v>
      </c>
      <c r="D1143" s="80" t="s">
        <v>3188</v>
      </c>
      <c r="E1143" s="80" t="b">
        <v>0</v>
      </c>
      <c r="F1143" s="80" t="b">
        <v>0</v>
      </c>
      <c r="G1143" s="80" t="b">
        <v>0</v>
      </c>
    </row>
    <row r="1144" spans="1:7" ht="15">
      <c r="A1144" s="81" t="s">
        <v>3260</v>
      </c>
      <c r="B1144" s="80">
        <v>8</v>
      </c>
      <c r="C1144" s="105">
        <v>0</v>
      </c>
      <c r="D1144" s="80" t="s">
        <v>3188</v>
      </c>
      <c r="E1144" s="80" t="b">
        <v>0</v>
      </c>
      <c r="F1144" s="80" t="b">
        <v>0</v>
      </c>
      <c r="G1144" s="80" t="b">
        <v>0</v>
      </c>
    </row>
    <row r="1145" spans="1:7" ht="15">
      <c r="A1145" s="81" t="s">
        <v>3306</v>
      </c>
      <c r="B1145" s="80">
        <v>5</v>
      </c>
      <c r="C1145" s="105">
        <v>0.01121538366241345</v>
      </c>
      <c r="D1145" s="80" t="s">
        <v>3188</v>
      </c>
      <c r="E1145" s="80" t="b">
        <v>1</v>
      </c>
      <c r="F1145" s="80" t="b">
        <v>0</v>
      </c>
      <c r="G1145" s="80" t="b">
        <v>0</v>
      </c>
    </row>
    <row r="1146" spans="1:7" ht="15">
      <c r="A1146" s="81" t="s">
        <v>3351</v>
      </c>
      <c r="B1146" s="80">
        <v>5</v>
      </c>
      <c r="C1146" s="105">
        <v>0.01121538366241345</v>
      </c>
      <c r="D1146" s="80" t="s">
        <v>3188</v>
      </c>
      <c r="E1146" s="80" t="b">
        <v>0</v>
      </c>
      <c r="F1146" s="80" t="b">
        <v>0</v>
      </c>
      <c r="G1146" s="80" t="b">
        <v>0</v>
      </c>
    </row>
    <row r="1147" spans="1:7" ht="15">
      <c r="A1147" s="81" t="s">
        <v>3403</v>
      </c>
      <c r="B1147" s="80">
        <v>5</v>
      </c>
      <c r="C1147" s="105">
        <v>0.01121538366241345</v>
      </c>
      <c r="D1147" s="80" t="s">
        <v>3188</v>
      </c>
      <c r="E1147" s="80" t="b">
        <v>0</v>
      </c>
      <c r="F1147" s="80" t="b">
        <v>0</v>
      </c>
      <c r="G1147" s="80" t="b">
        <v>0</v>
      </c>
    </row>
    <row r="1148" spans="1:7" ht="15">
      <c r="A1148" s="81" t="s">
        <v>3404</v>
      </c>
      <c r="B1148" s="80">
        <v>5</v>
      </c>
      <c r="C1148" s="105">
        <v>0.01121538366241345</v>
      </c>
      <c r="D1148" s="80" t="s">
        <v>3188</v>
      </c>
      <c r="E1148" s="80" t="b">
        <v>0</v>
      </c>
      <c r="F1148" s="80" t="b">
        <v>0</v>
      </c>
      <c r="G1148" s="80" t="b">
        <v>0</v>
      </c>
    </row>
    <row r="1149" spans="1:7" ht="15">
      <c r="A1149" s="81" t="s">
        <v>3361</v>
      </c>
      <c r="B1149" s="80">
        <v>5</v>
      </c>
      <c r="C1149" s="105">
        <v>0.01121538366241345</v>
      </c>
      <c r="D1149" s="80" t="s">
        <v>3188</v>
      </c>
      <c r="E1149" s="80" t="b">
        <v>0</v>
      </c>
      <c r="F1149" s="80" t="b">
        <v>0</v>
      </c>
      <c r="G1149" s="80" t="b">
        <v>0</v>
      </c>
    </row>
    <row r="1150" spans="1:7" ht="15">
      <c r="A1150" s="81" t="s">
        <v>3405</v>
      </c>
      <c r="B1150" s="80">
        <v>5</v>
      </c>
      <c r="C1150" s="105">
        <v>0.01121538366241345</v>
      </c>
      <c r="D1150" s="80" t="s">
        <v>3188</v>
      </c>
      <c r="E1150" s="80" t="b">
        <v>0</v>
      </c>
      <c r="F1150" s="80" t="b">
        <v>0</v>
      </c>
      <c r="G1150" s="80" t="b">
        <v>0</v>
      </c>
    </row>
    <row r="1151" spans="1:7" ht="15">
      <c r="A1151" s="81" t="s">
        <v>378</v>
      </c>
      <c r="B1151" s="80">
        <v>4</v>
      </c>
      <c r="C1151" s="105">
        <v>0.01323208772149368</v>
      </c>
      <c r="D1151" s="80" t="s">
        <v>3188</v>
      </c>
      <c r="E1151" s="80" t="b">
        <v>0</v>
      </c>
      <c r="F1151" s="80" t="b">
        <v>0</v>
      </c>
      <c r="G1151" s="80" t="b">
        <v>0</v>
      </c>
    </row>
    <row r="1152" spans="1:7" ht="15">
      <c r="A1152" s="81" t="s">
        <v>3476</v>
      </c>
      <c r="B1152" s="80">
        <v>4</v>
      </c>
      <c r="C1152" s="105">
        <v>0.01323208772149368</v>
      </c>
      <c r="D1152" s="80" t="s">
        <v>3188</v>
      </c>
      <c r="E1152" s="80" t="b">
        <v>0</v>
      </c>
      <c r="F1152" s="80" t="b">
        <v>0</v>
      </c>
      <c r="G1152" s="80" t="b">
        <v>0</v>
      </c>
    </row>
    <row r="1153" spans="1:7" ht="15">
      <c r="A1153" s="81" t="s">
        <v>526</v>
      </c>
      <c r="B1153" s="80">
        <v>4</v>
      </c>
      <c r="C1153" s="105">
        <v>0.01323208772149368</v>
      </c>
      <c r="D1153" s="80" t="s">
        <v>3188</v>
      </c>
      <c r="E1153" s="80" t="b">
        <v>0</v>
      </c>
      <c r="F1153" s="80" t="b">
        <v>0</v>
      </c>
      <c r="G1153" s="80" t="b">
        <v>0</v>
      </c>
    </row>
    <row r="1154" spans="1:7" ht="15">
      <c r="A1154" s="81" t="s">
        <v>3341</v>
      </c>
      <c r="B1154" s="80">
        <v>2</v>
      </c>
      <c r="C1154" s="105">
        <v>0.019848131582240518</v>
      </c>
      <c r="D1154" s="80" t="s">
        <v>3188</v>
      </c>
      <c r="E1154" s="80" t="b">
        <v>0</v>
      </c>
      <c r="F1154" s="80" t="b">
        <v>0</v>
      </c>
      <c r="G1154" s="80" t="b">
        <v>0</v>
      </c>
    </row>
    <row r="1155" spans="1:7" ht="15">
      <c r="A1155" s="81" t="s">
        <v>3838</v>
      </c>
      <c r="B1155" s="80">
        <v>2</v>
      </c>
      <c r="C1155" s="105">
        <v>0.01323208772149368</v>
      </c>
      <c r="D1155" s="80" t="s">
        <v>3188</v>
      </c>
      <c r="E1155" s="80" t="b">
        <v>0</v>
      </c>
      <c r="F1155" s="80" t="b">
        <v>0</v>
      </c>
      <c r="G1155" s="80" t="b">
        <v>0</v>
      </c>
    </row>
    <row r="1156" spans="1:7" ht="15">
      <c r="A1156" s="81" t="s">
        <v>3839</v>
      </c>
      <c r="B1156" s="80">
        <v>2</v>
      </c>
      <c r="C1156" s="105">
        <v>0.01323208772149368</v>
      </c>
      <c r="D1156" s="80" t="s">
        <v>3188</v>
      </c>
      <c r="E1156" s="80" t="b">
        <v>0</v>
      </c>
      <c r="F1156" s="80" t="b">
        <v>0</v>
      </c>
      <c r="G1156" s="80" t="b">
        <v>0</v>
      </c>
    </row>
    <row r="1157" spans="1:7" ht="15">
      <c r="A1157" s="81" t="s">
        <v>3406</v>
      </c>
      <c r="B1157" s="80">
        <v>2</v>
      </c>
      <c r="C1157" s="105">
        <v>0.01323208772149368</v>
      </c>
      <c r="D1157" s="80" t="s">
        <v>3188</v>
      </c>
      <c r="E1157" s="80" t="b">
        <v>0</v>
      </c>
      <c r="F1157" s="80" t="b">
        <v>0</v>
      </c>
      <c r="G1157" s="80" t="b">
        <v>0</v>
      </c>
    </row>
    <row r="1158" spans="1:7" ht="15">
      <c r="A1158" s="81" t="s">
        <v>3318</v>
      </c>
      <c r="B1158" s="80">
        <v>2</v>
      </c>
      <c r="C1158" s="105">
        <v>0.01323208772149368</v>
      </c>
      <c r="D1158" s="80" t="s">
        <v>3188</v>
      </c>
      <c r="E1158" s="80" t="b">
        <v>0</v>
      </c>
      <c r="F1158" s="80" t="b">
        <v>0</v>
      </c>
      <c r="G1158" s="80" t="b">
        <v>0</v>
      </c>
    </row>
    <row r="1159" spans="1:7" ht="15">
      <c r="A1159" s="81" t="s">
        <v>3625</v>
      </c>
      <c r="B1159" s="80">
        <v>2</v>
      </c>
      <c r="C1159" s="105">
        <v>0.01323208772149368</v>
      </c>
      <c r="D1159" s="80" t="s">
        <v>3188</v>
      </c>
      <c r="E1159" s="80" t="b">
        <v>0</v>
      </c>
      <c r="F1159" s="80" t="b">
        <v>1</v>
      </c>
      <c r="G1159" s="80" t="b">
        <v>0</v>
      </c>
    </row>
    <row r="1160" spans="1:7" ht="15">
      <c r="A1160" s="81" t="s">
        <v>3472</v>
      </c>
      <c r="B1160" s="80">
        <v>2</v>
      </c>
      <c r="C1160" s="105">
        <v>0.01323208772149368</v>
      </c>
      <c r="D1160" s="80" t="s">
        <v>3188</v>
      </c>
      <c r="E1160" s="80" t="b">
        <v>0</v>
      </c>
      <c r="F1160" s="80" t="b">
        <v>0</v>
      </c>
      <c r="G1160" s="80" t="b">
        <v>0</v>
      </c>
    </row>
    <row r="1161" spans="1:7" ht="15">
      <c r="A1161" s="81" t="s">
        <v>3260</v>
      </c>
      <c r="B1161" s="80">
        <v>4</v>
      </c>
      <c r="C1161" s="105">
        <v>0</v>
      </c>
      <c r="D1161" s="80" t="s">
        <v>3189</v>
      </c>
      <c r="E1161" s="80" t="b">
        <v>0</v>
      </c>
      <c r="F1161" s="80" t="b">
        <v>0</v>
      </c>
      <c r="G1161" s="80" t="b">
        <v>0</v>
      </c>
    </row>
    <row r="1162" spans="1:7" ht="15">
      <c r="A1162" s="81" t="s">
        <v>3308</v>
      </c>
      <c r="B1162" s="80">
        <v>2</v>
      </c>
      <c r="C1162" s="105">
        <v>0.015437435675075958</v>
      </c>
      <c r="D1162" s="80" t="s">
        <v>3189</v>
      </c>
      <c r="E1162" s="80" t="b">
        <v>0</v>
      </c>
      <c r="F1162" s="80" t="b">
        <v>0</v>
      </c>
      <c r="G1162" s="80" t="b">
        <v>0</v>
      </c>
    </row>
    <row r="1163" spans="1:7" ht="15">
      <c r="A1163" s="81" t="s">
        <v>3843</v>
      </c>
      <c r="B1163" s="80">
        <v>2</v>
      </c>
      <c r="C1163" s="105">
        <v>0.030874871350151916</v>
      </c>
      <c r="D1163" s="80" t="s">
        <v>3189</v>
      </c>
      <c r="E1163" s="80" t="b">
        <v>0</v>
      </c>
      <c r="F1163" s="80" t="b">
        <v>0</v>
      </c>
      <c r="G1163" s="80" t="b">
        <v>0</v>
      </c>
    </row>
    <row r="1164" spans="1:7" ht="15">
      <c r="A1164" s="81" t="s">
        <v>3279</v>
      </c>
      <c r="B1164" s="80">
        <v>2</v>
      </c>
      <c r="C1164" s="105">
        <v>0.015437435675075958</v>
      </c>
      <c r="D1164" s="80" t="s">
        <v>3189</v>
      </c>
      <c r="E1164" s="80" t="b">
        <v>0</v>
      </c>
      <c r="F1164" s="80" t="b">
        <v>0</v>
      </c>
      <c r="G1164" s="80" t="b">
        <v>0</v>
      </c>
    </row>
    <row r="1165" spans="1:7" ht="15">
      <c r="A1165" s="81" t="s">
        <v>3635</v>
      </c>
      <c r="B1165" s="80">
        <v>2</v>
      </c>
      <c r="C1165" s="105">
        <v>0.015437435675075958</v>
      </c>
      <c r="D1165" s="80" t="s">
        <v>3189</v>
      </c>
      <c r="E1165" s="80" t="b">
        <v>0</v>
      </c>
      <c r="F1165" s="80" t="b">
        <v>0</v>
      </c>
      <c r="G1165" s="80" t="b">
        <v>0</v>
      </c>
    </row>
    <row r="1166" spans="1:7" ht="15">
      <c r="A1166" s="81" t="s">
        <v>500</v>
      </c>
      <c r="B1166" s="80">
        <v>2</v>
      </c>
      <c r="C1166" s="105">
        <v>0.015437435675075958</v>
      </c>
      <c r="D1166" s="80" t="s">
        <v>3189</v>
      </c>
      <c r="E1166" s="80" t="b">
        <v>0</v>
      </c>
      <c r="F1166" s="80" t="b">
        <v>0</v>
      </c>
      <c r="G1166" s="80" t="b">
        <v>0</v>
      </c>
    </row>
    <row r="1167" spans="1:7" ht="15">
      <c r="A1167" s="81" t="s">
        <v>3260</v>
      </c>
      <c r="B1167" s="80">
        <v>9</v>
      </c>
      <c r="C1167" s="105">
        <v>0</v>
      </c>
      <c r="D1167" s="80" t="s">
        <v>3190</v>
      </c>
      <c r="E1167" s="80" t="b">
        <v>0</v>
      </c>
      <c r="F1167" s="80" t="b">
        <v>0</v>
      </c>
      <c r="G1167" s="80" t="b">
        <v>0</v>
      </c>
    </row>
    <row r="1168" spans="1:7" ht="15">
      <c r="A1168" s="81" t="s">
        <v>567</v>
      </c>
      <c r="B1168" s="80">
        <v>4</v>
      </c>
      <c r="C1168" s="105">
        <v>0.078262781802525</v>
      </c>
      <c r="D1168" s="80" t="s">
        <v>3190</v>
      </c>
      <c r="E1168" s="80" t="b">
        <v>0</v>
      </c>
      <c r="F1168" s="80" t="b">
        <v>0</v>
      </c>
      <c r="G1168" s="80" t="b">
        <v>0</v>
      </c>
    </row>
    <row r="1169" spans="1:7" ht="15">
      <c r="A1169" s="81" t="s">
        <v>546</v>
      </c>
      <c r="B1169" s="80">
        <v>4</v>
      </c>
      <c r="C1169" s="105">
        <v>0.078262781802525</v>
      </c>
      <c r="D1169" s="80" t="s">
        <v>3190</v>
      </c>
      <c r="E1169" s="80" t="b">
        <v>0</v>
      </c>
      <c r="F1169" s="80" t="b">
        <v>0</v>
      </c>
      <c r="G1169" s="80" t="b">
        <v>0</v>
      </c>
    </row>
    <row r="1170" spans="1:7" ht="15">
      <c r="A1170" s="81" t="s">
        <v>459</v>
      </c>
      <c r="B1170" s="80">
        <v>2</v>
      </c>
      <c r="C1170" s="105">
        <v>0</v>
      </c>
      <c r="D1170" s="80" t="s">
        <v>3191</v>
      </c>
      <c r="E1170" s="80" t="b">
        <v>0</v>
      </c>
      <c r="F1170" s="80" t="b">
        <v>0</v>
      </c>
      <c r="G1170" s="80" t="b">
        <v>0</v>
      </c>
    </row>
    <row r="1171" spans="1:7" ht="15">
      <c r="A1171" s="81" t="s">
        <v>458</v>
      </c>
      <c r="B1171" s="80">
        <v>2</v>
      </c>
      <c r="C1171" s="105">
        <v>0</v>
      </c>
      <c r="D1171" s="80" t="s">
        <v>3191</v>
      </c>
      <c r="E1171" s="80" t="b">
        <v>0</v>
      </c>
      <c r="F1171" s="80" t="b">
        <v>0</v>
      </c>
      <c r="G1171" s="80" t="b">
        <v>0</v>
      </c>
    </row>
    <row r="1172" spans="1:7" ht="15">
      <c r="A1172" s="81" t="s">
        <v>457</v>
      </c>
      <c r="B1172" s="80">
        <v>2</v>
      </c>
      <c r="C1172" s="105">
        <v>0</v>
      </c>
      <c r="D1172" s="80" t="s">
        <v>3191</v>
      </c>
      <c r="E1172" s="80" t="b">
        <v>0</v>
      </c>
      <c r="F1172" s="80" t="b">
        <v>0</v>
      </c>
      <c r="G1172" s="80" t="b">
        <v>0</v>
      </c>
    </row>
    <row r="1173" spans="1:7" ht="15">
      <c r="A1173" s="81" t="s">
        <v>3860</v>
      </c>
      <c r="B1173" s="80">
        <v>2</v>
      </c>
      <c r="C1173" s="105">
        <v>0</v>
      </c>
      <c r="D1173" s="80" t="s">
        <v>3191</v>
      </c>
      <c r="E1173" s="80" t="b">
        <v>0</v>
      </c>
      <c r="F1173" s="80" t="b">
        <v>0</v>
      </c>
      <c r="G1173" s="80" t="b">
        <v>0</v>
      </c>
    </row>
    <row r="1174" spans="1:7" ht="15">
      <c r="A1174" s="81" t="s">
        <v>3861</v>
      </c>
      <c r="B1174" s="80">
        <v>2</v>
      </c>
      <c r="C1174" s="105">
        <v>0</v>
      </c>
      <c r="D1174" s="80" t="s">
        <v>3191</v>
      </c>
      <c r="E1174" s="80" t="b">
        <v>0</v>
      </c>
      <c r="F1174" s="80" t="b">
        <v>0</v>
      </c>
      <c r="G1174" s="80" t="b">
        <v>0</v>
      </c>
    </row>
    <row r="1175" spans="1:7" ht="15">
      <c r="A1175" s="81" t="s">
        <v>3862</v>
      </c>
      <c r="B1175" s="80">
        <v>2</v>
      </c>
      <c r="C1175" s="105">
        <v>0</v>
      </c>
      <c r="D1175" s="80" t="s">
        <v>3191</v>
      </c>
      <c r="E1175" s="80" t="b">
        <v>0</v>
      </c>
      <c r="F1175" s="80" t="b">
        <v>0</v>
      </c>
      <c r="G1175" s="80" t="b">
        <v>0</v>
      </c>
    </row>
    <row r="1176" spans="1:7" ht="15">
      <c r="A1176" s="81" t="s">
        <v>3863</v>
      </c>
      <c r="B1176" s="80">
        <v>2</v>
      </c>
      <c r="C1176" s="105">
        <v>0</v>
      </c>
      <c r="D1176" s="80" t="s">
        <v>3191</v>
      </c>
      <c r="E1176" s="80" t="b">
        <v>0</v>
      </c>
      <c r="F1176" s="80" t="b">
        <v>0</v>
      </c>
      <c r="G1176" s="80" t="b">
        <v>0</v>
      </c>
    </row>
    <row r="1177" spans="1:7" ht="15">
      <c r="A1177" s="81" t="s">
        <v>3864</v>
      </c>
      <c r="B1177" s="80">
        <v>2</v>
      </c>
      <c r="C1177" s="105">
        <v>0</v>
      </c>
      <c r="D1177" s="80" t="s">
        <v>3191</v>
      </c>
      <c r="E1177" s="80" t="b">
        <v>0</v>
      </c>
      <c r="F1177" s="80" t="b">
        <v>1</v>
      </c>
      <c r="G1177" s="80" t="b">
        <v>0</v>
      </c>
    </row>
    <row r="1178" spans="1:7" ht="15">
      <c r="A1178" s="81" t="s">
        <v>3308</v>
      </c>
      <c r="B1178" s="80">
        <v>2</v>
      </c>
      <c r="C1178" s="105">
        <v>0</v>
      </c>
      <c r="D1178" s="80" t="s">
        <v>3191</v>
      </c>
      <c r="E1178" s="80" t="b">
        <v>0</v>
      </c>
      <c r="F1178" s="80" t="b">
        <v>0</v>
      </c>
      <c r="G1178" s="80" t="b">
        <v>0</v>
      </c>
    </row>
    <row r="1179" spans="1:7" ht="15">
      <c r="A1179" s="81" t="s">
        <v>3385</v>
      </c>
      <c r="B1179" s="80">
        <v>2</v>
      </c>
      <c r="C1179" s="105">
        <v>0</v>
      </c>
      <c r="D1179" s="80" t="s">
        <v>3191</v>
      </c>
      <c r="E1179" s="80" t="b">
        <v>0</v>
      </c>
      <c r="F1179" s="80" t="b">
        <v>0</v>
      </c>
      <c r="G1179" s="80" t="b">
        <v>0</v>
      </c>
    </row>
    <row r="1180" spans="1:7" ht="15">
      <c r="A1180" s="81" t="s">
        <v>3260</v>
      </c>
      <c r="B1180" s="80">
        <v>2</v>
      </c>
      <c r="C1180" s="105">
        <v>0</v>
      </c>
      <c r="D1180" s="80" t="s">
        <v>3191</v>
      </c>
      <c r="E1180" s="80" t="b">
        <v>0</v>
      </c>
      <c r="F1180" s="80" t="b">
        <v>0</v>
      </c>
      <c r="G1180" s="80" t="b">
        <v>0</v>
      </c>
    </row>
    <row r="1181" spans="1:7" ht="15">
      <c r="A1181" s="81" t="s">
        <v>3364</v>
      </c>
      <c r="B1181" s="80">
        <v>8</v>
      </c>
      <c r="C1181" s="105">
        <v>0.008614223378493904</v>
      </c>
      <c r="D1181" s="80" t="s">
        <v>3192</v>
      </c>
      <c r="E1181" s="80" t="b">
        <v>0</v>
      </c>
      <c r="F1181" s="80" t="b">
        <v>0</v>
      </c>
      <c r="G1181" s="80" t="b">
        <v>0</v>
      </c>
    </row>
    <row r="1182" spans="1:7" ht="15">
      <c r="A1182" s="81" t="s">
        <v>3260</v>
      </c>
      <c r="B1182" s="80">
        <v>5</v>
      </c>
      <c r="C1182" s="105">
        <v>0</v>
      </c>
      <c r="D1182" s="80" t="s">
        <v>3192</v>
      </c>
      <c r="E1182" s="80" t="b">
        <v>0</v>
      </c>
      <c r="F1182" s="80" t="b">
        <v>0</v>
      </c>
      <c r="G1182" s="80" t="b">
        <v>0</v>
      </c>
    </row>
    <row r="1183" spans="1:7" ht="15">
      <c r="A1183" s="81" t="s">
        <v>3384</v>
      </c>
      <c r="B1183" s="80">
        <v>4</v>
      </c>
      <c r="C1183" s="105">
        <v>0.004307111689246952</v>
      </c>
      <c r="D1183" s="80" t="s">
        <v>3192</v>
      </c>
      <c r="E1183" s="80" t="b">
        <v>0</v>
      </c>
      <c r="F1183" s="80" t="b">
        <v>0</v>
      </c>
      <c r="G1183" s="80" t="b">
        <v>0</v>
      </c>
    </row>
    <row r="1184" spans="1:7" ht="15">
      <c r="A1184" s="81" t="s">
        <v>3480</v>
      </c>
      <c r="B1184" s="80">
        <v>4</v>
      </c>
      <c r="C1184" s="105">
        <v>0.004307111689246952</v>
      </c>
      <c r="D1184" s="80" t="s">
        <v>3192</v>
      </c>
      <c r="E1184" s="80" t="b">
        <v>0</v>
      </c>
      <c r="F1184" s="80" t="b">
        <v>0</v>
      </c>
      <c r="G1184" s="80" t="b">
        <v>0</v>
      </c>
    </row>
    <row r="1185" spans="1:7" ht="15">
      <c r="A1185" s="81" t="s">
        <v>3481</v>
      </c>
      <c r="B1185" s="80">
        <v>4</v>
      </c>
      <c r="C1185" s="105">
        <v>0.004307111689246952</v>
      </c>
      <c r="D1185" s="80" t="s">
        <v>3192</v>
      </c>
      <c r="E1185" s="80" t="b">
        <v>0</v>
      </c>
      <c r="F1185" s="80" t="b">
        <v>0</v>
      </c>
      <c r="G1185" s="80" t="b">
        <v>0</v>
      </c>
    </row>
    <row r="1186" spans="1:7" ht="15">
      <c r="A1186" s="81" t="s">
        <v>3482</v>
      </c>
      <c r="B1186" s="80">
        <v>4</v>
      </c>
      <c r="C1186" s="105">
        <v>0.004307111689246952</v>
      </c>
      <c r="D1186" s="80" t="s">
        <v>3192</v>
      </c>
      <c r="E1186" s="80" t="b">
        <v>0</v>
      </c>
      <c r="F1186" s="80" t="b">
        <v>0</v>
      </c>
      <c r="G1186" s="80" t="b">
        <v>0</v>
      </c>
    </row>
    <row r="1187" spans="1:7" ht="15">
      <c r="A1187" s="81" t="s">
        <v>3483</v>
      </c>
      <c r="B1187" s="80">
        <v>4</v>
      </c>
      <c r="C1187" s="105">
        <v>0.004307111689246952</v>
      </c>
      <c r="D1187" s="80" t="s">
        <v>3192</v>
      </c>
      <c r="E1187" s="80" t="b">
        <v>1</v>
      </c>
      <c r="F1187" s="80" t="b">
        <v>0</v>
      </c>
      <c r="G1187" s="80" t="b">
        <v>0</v>
      </c>
    </row>
    <row r="1188" spans="1:7" ht="15">
      <c r="A1188" s="81" t="s">
        <v>3484</v>
      </c>
      <c r="B1188" s="80">
        <v>4</v>
      </c>
      <c r="C1188" s="105">
        <v>0.004307111689246952</v>
      </c>
      <c r="D1188" s="80" t="s">
        <v>3192</v>
      </c>
      <c r="E1188" s="80" t="b">
        <v>0</v>
      </c>
      <c r="F1188" s="80" t="b">
        <v>0</v>
      </c>
      <c r="G1188" s="80" t="b">
        <v>0</v>
      </c>
    </row>
    <row r="1189" spans="1:7" ht="15">
      <c r="A1189" s="81" t="s">
        <v>3485</v>
      </c>
      <c r="B1189" s="80">
        <v>4</v>
      </c>
      <c r="C1189" s="105">
        <v>0.004307111689246952</v>
      </c>
      <c r="D1189" s="80" t="s">
        <v>3192</v>
      </c>
      <c r="E1189" s="80" t="b">
        <v>0</v>
      </c>
      <c r="F1189" s="80" t="b">
        <v>0</v>
      </c>
      <c r="G1189" s="80" t="b">
        <v>0</v>
      </c>
    </row>
    <row r="1190" spans="1:7" ht="15">
      <c r="A1190" s="81" t="s">
        <v>3486</v>
      </c>
      <c r="B1190" s="80">
        <v>4</v>
      </c>
      <c r="C1190" s="105">
        <v>0.004307111689246952</v>
      </c>
      <c r="D1190" s="80" t="s">
        <v>3192</v>
      </c>
      <c r="E1190" s="80" t="b">
        <v>0</v>
      </c>
      <c r="F1190" s="80" t="b">
        <v>0</v>
      </c>
      <c r="G1190" s="80" t="b">
        <v>0</v>
      </c>
    </row>
    <row r="1191" spans="1:7" ht="15">
      <c r="A1191" s="81" t="s">
        <v>3377</v>
      </c>
      <c r="B1191" s="80">
        <v>4</v>
      </c>
      <c r="C1191" s="105">
        <v>0.004307111689246952</v>
      </c>
      <c r="D1191" s="80" t="s">
        <v>3192</v>
      </c>
      <c r="E1191" s="80" t="b">
        <v>0</v>
      </c>
      <c r="F1191" s="80" t="b">
        <v>0</v>
      </c>
      <c r="G1191" s="80" t="b">
        <v>0</v>
      </c>
    </row>
    <row r="1192" spans="1:7" ht="15">
      <c r="A1192" s="81" t="s">
        <v>3385</v>
      </c>
      <c r="B1192" s="80">
        <v>4</v>
      </c>
      <c r="C1192" s="105">
        <v>0.004307111689246952</v>
      </c>
      <c r="D1192" s="80" t="s">
        <v>3192</v>
      </c>
      <c r="E1192" s="80" t="b">
        <v>0</v>
      </c>
      <c r="F1192" s="80" t="b">
        <v>0</v>
      </c>
      <c r="G1192" s="80" t="b">
        <v>0</v>
      </c>
    </row>
    <row r="1193" spans="1:7" ht="15">
      <c r="A1193" s="81" t="s">
        <v>3487</v>
      </c>
      <c r="B1193" s="80">
        <v>4</v>
      </c>
      <c r="C1193" s="105">
        <v>0.004307111689246952</v>
      </c>
      <c r="D1193" s="80" t="s">
        <v>3192</v>
      </c>
      <c r="E1193" s="80" t="b">
        <v>0</v>
      </c>
      <c r="F1193" s="80" t="b">
        <v>0</v>
      </c>
      <c r="G1193" s="80" t="b">
        <v>0</v>
      </c>
    </row>
    <row r="1194" spans="1:7" ht="15">
      <c r="A1194" s="81" t="s">
        <v>3488</v>
      </c>
      <c r="B1194" s="80">
        <v>4</v>
      </c>
      <c r="C1194" s="105">
        <v>0.004307111689246952</v>
      </c>
      <c r="D1194" s="80" t="s">
        <v>3192</v>
      </c>
      <c r="E1194" s="80" t="b">
        <v>0</v>
      </c>
      <c r="F1194" s="80" t="b">
        <v>0</v>
      </c>
      <c r="G1194" s="80" t="b">
        <v>0</v>
      </c>
    </row>
    <row r="1195" spans="1:7" ht="15">
      <c r="A1195" s="81" t="s">
        <v>3489</v>
      </c>
      <c r="B1195" s="80">
        <v>4</v>
      </c>
      <c r="C1195" s="105">
        <v>0.004307111689246952</v>
      </c>
      <c r="D1195" s="80" t="s">
        <v>3192</v>
      </c>
      <c r="E1195" s="80" t="b">
        <v>0</v>
      </c>
      <c r="F1195" s="80" t="b">
        <v>1</v>
      </c>
      <c r="G1195" s="80" t="b">
        <v>0</v>
      </c>
    </row>
    <row r="1196" spans="1:7" ht="15">
      <c r="A1196" s="81" t="s">
        <v>3490</v>
      </c>
      <c r="B1196" s="80">
        <v>4</v>
      </c>
      <c r="C1196" s="105">
        <v>0.004307111689246952</v>
      </c>
      <c r="D1196" s="80" t="s">
        <v>3192</v>
      </c>
      <c r="E1196" s="80" t="b">
        <v>0</v>
      </c>
      <c r="F1196" s="80" t="b">
        <v>0</v>
      </c>
      <c r="G1196" s="80" t="b">
        <v>0</v>
      </c>
    </row>
    <row r="1197" spans="1:7" ht="15">
      <c r="A1197" s="81" t="s">
        <v>3491</v>
      </c>
      <c r="B1197" s="80">
        <v>4</v>
      </c>
      <c r="C1197" s="105">
        <v>0.004307111689246952</v>
      </c>
      <c r="D1197" s="80" t="s">
        <v>3192</v>
      </c>
      <c r="E1197" s="80" t="b">
        <v>0</v>
      </c>
      <c r="F1197" s="80" t="b">
        <v>0</v>
      </c>
      <c r="G1197" s="80" t="b">
        <v>0</v>
      </c>
    </row>
    <row r="1198" spans="1:7" ht="15">
      <c r="A1198" s="81" t="s">
        <v>3492</v>
      </c>
      <c r="B1198" s="80">
        <v>4</v>
      </c>
      <c r="C1198" s="105">
        <v>0.004307111689246952</v>
      </c>
      <c r="D1198" s="80" t="s">
        <v>3192</v>
      </c>
      <c r="E1198" s="80" t="b">
        <v>0</v>
      </c>
      <c r="F1198" s="80" t="b">
        <v>0</v>
      </c>
      <c r="G1198" s="80" t="b">
        <v>0</v>
      </c>
    </row>
    <row r="1199" spans="1:7" ht="15">
      <c r="A1199" s="81" t="s">
        <v>500</v>
      </c>
      <c r="B1199" s="80">
        <v>4</v>
      </c>
      <c r="C1199" s="105">
        <v>0.004307111689246952</v>
      </c>
      <c r="D1199" s="80" t="s">
        <v>3192</v>
      </c>
      <c r="E1199" s="80" t="b">
        <v>0</v>
      </c>
      <c r="F1199" s="80" t="b">
        <v>0</v>
      </c>
      <c r="G1199" s="80" t="b">
        <v>0</v>
      </c>
    </row>
    <row r="1200" spans="1:7" ht="15">
      <c r="A1200" s="81" t="s">
        <v>3493</v>
      </c>
      <c r="B1200" s="80">
        <v>4</v>
      </c>
      <c r="C1200" s="105">
        <v>0.004307111689246952</v>
      </c>
      <c r="D1200" s="80" t="s">
        <v>3192</v>
      </c>
      <c r="E1200" s="80" t="b">
        <v>0</v>
      </c>
      <c r="F1200" s="80" t="b">
        <v>0</v>
      </c>
      <c r="G1200" s="80" t="b">
        <v>0</v>
      </c>
    </row>
    <row r="1201" spans="1:7" ht="15">
      <c r="A1201" s="81" t="s">
        <v>3494</v>
      </c>
      <c r="B1201" s="80">
        <v>4</v>
      </c>
      <c r="C1201" s="105">
        <v>0.004307111689246952</v>
      </c>
      <c r="D1201" s="80" t="s">
        <v>3192</v>
      </c>
      <c r="E1201" s="80" t="b">
        <v>0</v>
      </c>
      <c r="F1201" s="80" t="b">
        <v>0</v>
      </c>
      <c r="G1201" s="80" t="b">
        <v>0</v>
      </c>
    </row>
    <row r="1202" spans="1:7" ht="15">
      <c r="A1202" s="81" t="s">
        <v>3262</v>
      </c>
      <c r="B1202" s="80">
        <v>12</v>
      </c>
      <c r="C1202" s="105">
        <v>0</v>
      </c>
      <c r="D1202" s="80" t="s">
        <v>3193</v>
      </c>
      <c r="E1202" s="80" t="b">
        <v>0</v>
      </c>
      <c r="F1202" s="80" t="b">
        <v>0</v>
      </c>
      <c r="G1202" s="80" t="b">
        <v>0</v>
      </c>
    </row>
    <row r="1203" spans="1:7" ht="15">
      <c r="A1203" s="81" t="s">
        <v>3630</v>
      </c>
      <c r="B1203" s="80">
        <v>2</v>
      </c>
      <c r="C1203" s="105">
        <v>0</v>
      </c>
      <c r="D1203" s="80" t="s">
        <v>3193</v>
      </c>
      <c r="E1203" s="80" t="b">
        <v>0</v>
      </c>
      <c r="F1203" s="80" t="b">
        <v>0</v>
      </c>
      <c r="G1203" s="80" t="b">
        <v>0</v>
      </c>
    </row>
    <row r="1204" spans="1:7" ht="15">
      <c r="A1204" s="81" t="s">
        <v>3836</v>
      </c>
      <c r="B1204" s="80">
        <v>2</v>
      </c>
      <c r="C1204" s="105">
        <v>0</v>
      </c>
      <c r="D1204" s="80" t="s">
        <v>3193</v>
      </c>
      <c r="E1204" s="80" t="b">
        <v>0</v>
      </c>
      <c r="F1204" s="80" t="b">
        <v>0</v>
      </c>
      <c r="G1204" s="80" t="b">
        <v>0</v>
      </c>
    </row>
    <row r="1205" spans="1:7" ht="15">
      <c r="A1205" s="81" t="s">
        <v>3633</v>
      </c>
      <c r="B1205" s="80">
        <v>2</v>
      </c>
      <c r="C1205" s="105">
        <v>0</v>
      </c>
      <c r="D1205" s="80" t="s">
        <v>3193</v>
      </c>
      <c r="E1205" s="80" t="b">
        <v>0</v>
      </c>
      <c r="F1205" s="80" t="b">
        <v>0</v>
      </c>
      <c r="G1205" s="80" t="b">
        <v>0</v>
      </c>
    </row>
    <row r="1206" spans="1:7" ht="15">
      <c r="A1206" s="81" t="s">
        <v>3479</v>
      </c>
      <c r="B1206" s="80">
        <v>2</v>
      </c>
      <c r="C1206" s="105">
        <v>0</v>
      </c>
      <c r="D1206" s="80" t="s">
        <v>3193</v>
      </c>
      <c r="E1206" s="80" t="b">
        <v>0</v>
      </c>
      <c r="F1206" s="80" t="b">
        <v>0</v>
      </c>
      <c r="G1206" s="80" t="b">
        <v>0</v>
      </c>
    </row>
    <row r="1207" spans="1:7" ht="15">
      <c r="A1207" s="81" t="s">
        <v>3322</v>
      </c>
      <c r="B1207" s="80">
        <v>2</v>
      </c>
      <c r="C1207" s="105">
        <v>0</v>
      </c>
      <c r="D1207" s="80" t="s">
        <v>3193</v>
      </c>
      <c r="E1207" s="80" t="b">
        <v>0</v>
      </c>
      <c r="F1207" s="80" t="b">
        <v>0</v>
      </c>
      <c r="G1207" s="80" t="b">
        <v>0</v>
      </c>
    </row>
    <row r="1208" spans="1:7" ht="15">
      <c r="A1208" s="81" t="s">
        <v>795</v>
      </c>
      <c r="B1208" s="80">
        <v>2</v>
      </c>
      <c r="C1208" s="105">
        <v>0</v>
      </c>
      <c r="D1208" s="80" t="s">
        <v>3193</v>
      </c>
      <c r="E1208" s="80" t="b">
        <v>0</v>
      </c>
      <c r="F1208" s="80" t="b">
        <v>0</v>
      </c>
      <c r="G1208" s="80" t="b">
        <v>0</v>
      </c>
    </row>
    <row r="1209" spans="1:7" ht="15">
      <c r="A1209" s="81" t="s">
        <v>3320</v>
      </c>
      <c r="B1209" s="80">
        <v>2</v>
      </c>
      <c r="C1209" s="105">
        <v>0</v>
      </c>
      <c r="D1209" s="80" t="s">
        <v>3193</v>
      </c>
      <c r="E1209" s="80" t="b">
        <v>0</v>
      </c>
      <c r="F1209" s="80" t="b">
        <v>0</v>
      </c>
      <c r="G1209" s="80" t="b">
        <v>0</v>
      </c>
    </row>
    <row r="1210" spans="1:7" ht="15">
      <c r="A1210" s="81" t="s">
        <v>3323</v>
      </c>
      <c r="B1210" s="80">
        <v>2</v>
      </c>
      <c r="C1210" s="105">
        <v>0</v>
      </c>
      <c r="D1210" s="80" t="s">
        <v>3193</v>
      </c>
      <c r="E1210" s="80" t="b">
        <v>0</v>
      </c>
      <c r="F1210" s="80" t="b">
        <v>0</v>
      </c>
      <c r="G1210" s="80" t="b">
        <v>0</v>
      </c>
    </row>
    <row r="1211" spans="1:7" ht="15">
      <c r="A1211" s="81" t="s">
        <v>3358</v>
      </c>
      <c r="B1211" s="80">
        <v>2</v>
      </c>
      <c r="C1211" s="105">
        <v>0</v>
      </c>
      <c r="D1211" s="80" t="s">
        <v>3193</v>
      </c>
      <c r="E1211" s="80" t="b">
        <v>0</v>
      </c>
      <c r="F1211" s="80" t="b">
        <v>0</v>
      </c>
      <c r="G1211" s="80" t="b">
        <v>0</v>
      </c>
    </row>
    <row r="1212" spans="1:7" ht="15">
      <c r="A1212" s="81" t="s">
        <v>3359</v>
      </c>
      <c r="B1212" s="80">
        <v>2</v>
      </c>
      <c r="C1212" s="105">
        <v>0</v>
      </c>
      <c r="D1212" s="80" t="s">
        <v>3193</v>
      </c>
      <c r="E1212" s="80" t="b">
        <v>0</v>
      </c>
      <c r="F1212" s="80" t="b">
        <v>0</v>
      </c>
      <c r="G1212" s="80" t="b">
        <v>0</v>
      </c>
    </row>
    <row r="1213" spans="1:7" ht="15">
      <c r="A1213" s="81" t="s">
        <v>3389</v>
      </c>
      <c r="B1213" s="80">
        <v>6</v>
      </c>
      <c r="C1213" s="105">
        <v>0</v>
      </c>
      <c r="D1213" s="80" t="s">
        <v>3194</v>
      </c>
      <c r="E1213" s="80" t="b">
        <v>0</v>
      </c>
      <c r="F1213" s="80" t="b">
        <v>0</v>
      </c>
      <c r="G1213" s="80" t="b">
        <v>0</v>
      </c>
    </row>
    <row r="1214" spans="1:7" ht="15">
      <c r="A1214" s="81" t="s">
        <v>3390</v>
      </c>
      <c r="B1214" s="80">
        <v>6</v>
      </c>
      <c r="C1214" s="105">
        <v>0.013379110918399165</v>
      </c>
      <c r="D1214" s="80" t="s">
        <v>3194</v>
      </c>
      <c r="E1214" s="80" t="b">
        <v>0</v>
      </c>
      <c r="F1214" s="80" t="b">
        <v>0</v>
      </c>
      <c r="G1214" s="80" t="b">
        <v>0</v>
      </c>
    </row>
    <row r="1215" spans="1:7" ht="15">
      <c r="A1215" s="81" t="s">
        <v>3317</v>
      </c>
      <c r="B1215" s="80">
        <v>6</v>
      </c>
      <c r="C1215" s="105">
        <v>0</v>
      </c>
      <c r="D1215" s="80" t="s">
        <v>3194</v>
      </c>
      <c r="E1215" s="80" t="b">
        <v>0</v>
      </c>
      <c r="F1215" s="80" t="b">
        <v>0</v>
      </c>
      <c r="G1215" s="80" t="b">
        <v>0</v>
      </c>
    </row>
    <row r="1216" spans="1:7" ht="15">
      <c r="A1216" s="81" t="s">
        <v>3260</v>
      </c>
      <c r="B1216" s="80">
        <v>6</v>
      </c>
      <c r="C1216" s="105">
        <v>0</v>
      </c>
      <c r="D1216" s="80" t="s">
        <v>3194</v>
      </c>
      <c r="E1216" s="80" t="b">
        <v>0</v>
      </c>
      <c r="F1216" s="80" t="b">
        <v>0</v>
      </c>
      <c r="G1216" s="80" t="b">
        <v>0</v>
      </c>
    </row>
    <row r="1217" spans="1:7" ht="15">
      <c r="A1217" s="81" t="s">
        <v>3289</v>
      </c>
      <c r="B1217" s="80">
        <v>6</v>
      </c>
      <c r="C1217" s="105">
        <v>0.013379110918399165</v>
      </c>
      <c r="D1217" s="80" t="s">
        <v>3194</v>
      </c>
      <c r="E1217" s="80" t="b">
        <v>0</v>
      </c>
      <c r="F1217" s="80" t="b">
        <v>1</v>
      </c>
      <c r="G1217" s="80" t="b">
        <v>0</v>
      </c>
    </row>
    <row r="1218" spans="1:7" ht="15">
      <c r="A1218" s="81" t="s">
        <v>3636</v>
      </c>
      <c r="B1218" s="80">
        <v>3</v>
      </c>
      <c r="C1218" s="105">
        <v>0.006689555459199583</v>
      </c>
      <c r="D1218" s="80" t="s">
        <v>3194</v>
      </c>
      <c r="E1218" s="80" t="b">
        <v>0</v>
      </c>
      <c r="F1218" s="80" t="b">
        <v>0</v>
      </c>
      <c r="G1218" s="80" t="b">
        <v>0</v>
      </c>
    </row>
    <row r="1219" spans="1:7" ht="15">
      <c r="A1219" s="81" t="s">
        <v>3637</v>
      </c>
      <c r="B1219" s="80">
        <v>3</v>
      </c>
      <c r="C1219" s="105">
        <v>0.006689555459199583</v>
      </c>
      <c r="D1219" s="80" t="s">
        <v>3194</v>
      </c>
      <c r="E1219" s="80" t="b">
        <v>0</v>
      </c>
      <c r="F1219" s="80" t="b">
        <v>0</v>
      </c>
      <c r="G1219" s="80" t="b">
        <v>0</v>
      </c>
    </row>
    <row r="1220" spans="1:7" ht="15">
      <c r="A1220" s="81" t="s">
        <v>3638</v>
      </c>
      <c r="B1220" s="80">
        <v>3</v>
      </c>
      <c r="C1220" s="105">
        <v>0.006689555459199583</v>
      </c>
      <c r="D1220" s="80" t="s">
        <v>3194</v>
      </c>
      <c r="E1220" s="80" t="b">
        <v>0</v>
      </c>
      <c r="F1220" s="80" t="b">
        <v>0</v>
      </c>
      <c r="G1220" s="80" t="b">
        <v>0</v>
      </c>
    </row>
    <row r="1221" spans="1:7" ht="15">
      <c r="A1221" s="81" t="s">
        <v>3639</v>
      </c>
      <c r="B1221" s="80">
        <v>3</v>
      </c>
      <c r="C1221" s="105">
        <v>0.006689555459199583</v>
      </c>
      <c r="D1221" s="80" t="s">
        <v>3194</v>
      </c>
      <c r="E1221" s="80" t="b">
        <v>0</v>
      </c>
      <c r="F1221" s="80" t="b">
        <v>0</v>
      </c>
      <c r="G1221" s="80" t="b">
        <v>0</v>
      </c>
    </row>
    <row r="1222" spans="1:7" ht="15">
      <c r="A1222" s="81" t="s">
        <v>3640</v>
      </c>
      <c r="B1222" s="80">
        <v>3</v>
      </c>
      <c r="C1222" s="105">
        <v>0.006689555459199583</v>
      </c>
      <c r="D1222" s="80" t="s">
        <v>3194</v>
      </c>
      <c r="E1222" s="80" t="b">
        <v>0</v>
      </c>
      <c r="F1222" s="80" t="b">
        <v>0</v>
      </c>
      <c r="G1222" s="80" t="b">
        <v>0</v>
      </c>
    </row>
    <row r="1223" spans="1:7" ht="15">
      <c r="A1223" s="81" t="s">
        <v>3641</v>
      </c>
      <c r="B1223" s="80">
        <v>3</v>
      </c>
      <c r="C1223" s="105">
        <v>0.006689555459199583</v>
      </c>
      <c r="D1223" s="80" t="s">
        <v>3194</v>
      </c>
      <c r="E1223" s="80" t="b">
        <v>0</v>
      </c>
      <c r="F1223" s="80" t="b">
        <v>0</v>
      </c>
      <c r="G1223" s="80" t="b">
        <v>0</v>
      </c>
    </row>
    <row r="1224" spans="1:7" ht="15">
      <c r="A1224" s="81" t="s">
        <v>3642</v>
      </c>
      <c r="B1224" s="80">
        <v>3</v>
      </c>
      <c r="C1224" s="105">
        <v>0.006689555459199583</v>
      </c>
      <c r="D1224" s="80" t="s">
        <v>3194</v>
      </c>
      <c r="E1224" s="80" t="b">
        <v>0</v>
      </c>
      <c r="F1224" s="80" t="b">
        <v>0</v>
      </c>
      <c r="G1224" s="80" t="b">
        <v>0</v>
      </c>
    </row>
    <row r="1225" spans="1:7" ht="15">
      <c r="A1225" s="81" t="s">
        <v>3643</v>
      </c>
      <c r="B1225" s="80">
        <v>3</v>
      </c>
      <c r="C1225" s="105">
        <v>0.006689555459199583</v>
      </c>
      <c r="D1225" s="80" t="s">
        <v>3194</v>
      </c>
      <c r="E1225" s="80" t="b">
        <v>0</v>
      </c>
      <c r="F1225" s="80" t="b">
        <v>0</v>
      </c>
      <c r="G1225" s="80" t="b">
        <v>0</v>
      </c>
    </row>
    <row r="1226" spans="1:7" ht="15">
      <c r="A1226" s="81" t="s">
        <v>3473</v>
      </c>
      <c r="B1226" s="80">
        <v>3</v>
      </c>
      <c r="C1226" s="105">
        <v>0.006689555459199583</v>
      </c>
      <c r="D1226" s="80" t="s">
        <v>3194</v>
      </c>
      <c r="E1226" s="80" t="b">
        <v>0</v>
      </c>
      <c r="F1226" s="80" t="b">
        <v>0</v>
      </c>
      <c r="G1226" s="80" t="b">
        <v>0</v>
      </c>
    </row>
    <row r="1227" spans="1:7" ht="15">
      <c r="A1227" s="81" t="s">
        <v>3496</v>
      </c>
      <c r="B1227" s="80">
        <v>3</v>
      </c>
      <c r="C1227" s="105">
        <v>0.006689555459199583</v>
      </c>
      <c r="D1227" s="80" t="s">
        <v>3194</v>
      </c>
      <c r="E1227" s="80" t="b">
        <v>0</v>
      </c>
      <c r="F1227" s="80" t="b">
        <v>0</v>
      </c>
      <c r="G1227" s="80" t="b">
        <v>0</v>
      </c>
    </row>
    <row r="1228" spans="1:7" ht="15">
      <c r="A1228" s="81" t="s">
        <v>3644</v>
      </c>
      <c r="B1228" s="80">
        <v>3</v>
      </c>
      <c r="C1228" s="105">
        <v>0.006689555459199583</v>
      </c>
      <c r="D1228" s="80" t="s">
        <v>3194</v>
      </c>
      <c r="E1228" s="80" t="b">
        <v>0</v>
      </c>
      <c r="F1228" s="80" t="b">
        <v>0</v>
      </c>
      <c r="G1228" s="80" t="b">
        <v>0</v>
      </c>
    </row>
    <row r="1229" spans="1:7" ht="15">
      <c r="A1229" s="81" t="s">
        <v>3645</v>
      </c>
      <c r="B1229" s="80">
        <v>3</v>
      </c>
      <c r="C1229" s="105">
        <v>0.006689555459199583</v>
      </c>
      <c r="D1229" s="80" t="s">
        <v>3194</v>
      </c>
      <c r="E1229" s="80" t="b">
        <v>0</v>
      </c>
      <c r="F1229" s="80" t="b">
        <v>0</v>
      </c>
      <c r="G1229" s="80" t="b">
        <v>0</v>
      </c>
    </row>
    <row r="1230" spans="1:7" ht="15">
      <c r="A1230" s="81" t="s">
        <v>3646</v>
      </c>
      <c r="B1230" s="80">
        <v>3</v>
      </c>
      <c r="C1230" s="105">
        <v>0.006689555459199583</v>
      </c>
      <c r="D1230" s="80" t="s">
        <v>3194</v>
      </c>
      <c r="E1230" s="80" t="b">
        <v>0</v>
      </c>
      <c r="F1230" s="80" t="b">
        <v>0</v>
      </c>
      <c r="G1230" s="80" t="b">
        <v>0</v>
      </c>
    </row>
    <row r="1231" spans="1:7" ht="15">
      <c r="A1231" s="81" t="s">
        <v>3647</v>
      </c>
      <c r="B1231" s="80">
        <v>3</v>
      </c>
      <c r="C1231" s="105">
        <v>0.006689555459199583</v>
      </c>
      <c r="D1231" s="80" t="s">
        <v>3194</v>
      </c>
      <c r="E1231" s="80" t="b">
        <v>0</v>
      </c>
      <c r="F1231" s="80" t="b">
        <v>0</v>
      </c>
      <c r="G1231" s="80" t="b">
        <v>0</v>
      </c>
    </row>
    <row r="1232" spans="1:7" ht="15">
      <c r="A1232" s="81" t="s">
        <v>3648</v>
      </c>
      <c r="B1232" s="80">
        <v>3</v>
      </c>
      <c r="C1232" s="105">
        <v>0.006689555459199583</v>
      </c>
      <c r="D1232" s="80" t="s">
        <v>3194</v>
      </c>
      <c r="E1232" s="80" t="b">
        <v>0</v>
      </c>
      <c r="F1232" s="80" t="b">
        <v>0</v>
      </c>
      <c r="G1232" s="80" t="b">
        <v>0</v>
      </c>
    </row>
    <row r="1233" spans="1:7" ht="15">
      <c r="A1233" s="81" t="s">
        <v>3477</v>
      </c>
      <c r="B1233" s="80">
        <v>3</v>
      </c>
      <c r="C1233" s="105">
        <v>0.006689555459199583</v>
      </c>
      <c r="D1233" s="80" t="s">
        <v>3194</v>
      </c>
      <c r="E1233" s="80" t="b">
        <v>0</v>
      </c>
      <c r="F1233" s="80" t="b">
        <v>0</v>
      </c>
      <c r="G1233" s="80" t="b">
        <v>0</v>
      </c>
    </row>
    <row r="1234" spans="1:7" ht="15">
      <c r="A1234" s="81" t="s">
        <v>3649</v>
      </c>
      <c r="B1234" s="80">
        <v>3</v>
      </c>
      <c r="C1234" s="105">
        <v>0.006689555459199583</v>
      </c>
      <c r="D1234" s="80" t="s">
        <v>3194</v>
      </c>
      <c r="E1234" s="80" t="b">
        <v>0</v>
      </c>
      <c r="F1234" s="80" t="b">
        <v>0</v>
      </c>
      <c r="G1234" s="80" t="b">
        <v>0</v>
      </c>
    </row>
    <row r="1235" spans="1:7" ht="15">
      <c r="A1235" s="81" t="s">
        <v>3650</v>
      </c>
      <c r="B1235" s="80">
        <v>3</v>
      </c>
      <c r="C1235" s="105">
        <v>0.006689555459199583</v>
      </c>
      <c r="D1235" s="80" t="s">
        <v>3194</v>
      </c>
      <c r="E1235" s="80" t="b">
        <v>0</v>
      </c>
      <c r="F1235" s="80" t="b">
        <v>0</v>
      </c>
      <c r="G1235" s="80" t="b">
        <v>0</v>
      </c>
    </row>
    <row r="1236" spans="1:7" ht="15">
      <c r="A1236" s="81" t="s">
        <v>3651</v>
      </c>
      <c r="B1236" s="80">
        <v>3</v>
      </c>
      <c r="C1236" s="105">
        <v>0.006689555459199583</v>
      </c>
      <c r="D1236" s="80" t="s">
        <v>3194</v>
      </c>
      <c r="E1236" s="80" t="b">
        <v>0</v>
      </c>
      <c r="F1236" s="80" t="b">
        <v>0</v>
      </c>
      <c r="G1236" s="80" t="b">
        <v>0</v>
      </c>
    </row>
    <row r="1237" spans="1:7" ht="15">
      <c r="A1237" s="81" t="s">
        <v>3652</v>
      </c>
      <c r="B1237" s="80">
        <v>3</v>
      </c>
      <c r="C1237" s="105">
        <v>0.006689555459199583</v>
      </c>
      <c r="D1237" s="80" t="s">
        <v>3194</v>
      </c>
      <c r="E1237" s="80" t="b">
        <v>0</v>
      </c>
      <c r="F1237" s="80" t="b">
        <v>0</v>
      </c>
      <c r="G1237" s="80" t="b">
        <v>0</v>
      </c>
    </row>
    <row r="1238" spans="1:7" ht="15">
      <c r="A1238" s="81" t="s">
        <v>3653</v>
      </c>
      <c r="B1238" s="80">
        <v>3</v>
      </c>
      <c r="C1238" s="105">
        <v>0.006689555459199583</v>
      </c>
      <c r="D1238" s="80" t="s">
        <v>3194</v>
      </c>
      <c r="E1238" s="80" t="b">
        <v>0</v>
      </c>
      <c r="F1238" s="80" t="b">
        <v>0</v>
      </c>
      <c r="G1238" s="80" t="b">
        <v>0</v>
      </c>
    </row>
    <row r="1239" spans="1:7" ht="15">
      <c r="A1239" s="81" t="s">
        <v>1783</v>
      </c>
      <c r="B1239" s="80">
        <v>3</v>
      </c>
      <c r="C1239" s="105">
        <v>0.006689555459199583</v>
      </c>
      <c r="D1239" s="80" t="s">
        <v>3194</v>
      </c>
      <c r="E1239" s="80" t="b">
        <v>0</v>
      </c>
      <c r="F1239" s="80" t="b">
        <v>0</v>
      </c>
      <c r="G1239" s="80" t="b">
        <v>0</v>
      </c>
    </row>
    <row r="1240" spans="1:7" ht="15">
      <c r="A1240" s="81" t="s">
        <v>3654</v>
      </c>
      <c r="B1240" s="80">
        <v>3</v>
      </c>
      <c r="C1240" s="105">
        <v>0.006689555459199583</v>
      </c>
      <c r="D1240" s="80" t="s">
        <v>3194</v>
      </c>
      <c r="E1240" s="80" t="b">
        <v>0</v>
      </c>
      <c r="F1240" s="80" t="b">
        <v>0</v>
      </c>
      <c r="G1240" s="80" t="b">
        <v>0</v>
      </c>
    </row>
    <row r="1241" spans="1:7" ht="15">
      <c r="A1241" s="81" t="s">
        <v>3655</v>
      </c>
      <c r="B1241" s="80">
        <v>3</v>
      </c>
      <c r="C1241" s="105">
        <v>0.006689555459199583</v>
      </c>
      <c r="D1241" s="80" t="s">
        <v>3194</v>
      </c>
      <c r="E1241" s="80" t="b">
        <v>0</v>
      </c>
      <c r="F1241" s="80" t="b">
        <v>0</v>
      </c>
      <c r="G1241" s="80" t="b">
        <v>0</v>
      </c>
    </row>
    <row r="1242" spans="1:7" ht="15">
      <c r="A1242" s="81" t="s">
        <v>3656</v>
      </c>
      <c r="B1242" s="80">
        <v>3</v>
      </c>
      <c r="C1242" s="105">
        <v>0.006689555459199583</v>
      </c>
      <c r="D1242" s="80" t="s">
        <v>3194</v>
      </c>
      <c r="E1242" s="80" t="b">
        <v>0</v>
      </c>
      <c r="F1242" s="80" t="b">
        <v>0</v>
      </c>
      <c r="G1242" s="80" t="b">
        <v>0</v>
      </c>
    </row>
    <row r="1243" spans="1:7" ht="15">
      <c r="A1243" s="81" t="s">
        <v>3657</v>
      </c>
      <c r="B1243" s="80">
        <v>3</v>
      </c>
      <c r="C1243" s="105">
        <v>0.006689555459199583</v>
      </c>
      <c r="D1243" s="80" t="s">
        <v>3194</v>
      </c>
      <c r="E1243" s="80" t="b">
        <v>0</v>
      </c>
      <c r="F1243" s="80" t="b">
        <v>0</v>
      </c>
      <c r="G1243" s="80" t="b">
        <v>0</v>
      </c>
    </row>
    <row r="1244" spans="1:7" ht="15">
      <c r="A1244" s="81" t="s">
        <v>3658</v>
      </c>
      <c r="B1244" s="80">
        <v>3</v>
      </c>
      <c r="C1244" s="105">
        <v>0.006689555459199583</v>
      </c>
      <c r="D1244" s="80" t="s">
        <v>3194</v>
      </c>
      <c r="E1244" s="80" t="b">
        <v>0</v>
      </c>
      <c r="F1244" s="80" t="b">
        <v>0</v>
      </c>
      <c r="G1244" s="80" t="b">
        <v>0</v>
      </c>
    </row>
    <row r="1245" spans="1:7" ht="15">
      <c r="A1245" s="81" t="s">
        <v>3659</v>
      </c>
      <c r="B1245" s="80">
        <v>3</v>
      </c>
      <c r="C1245" s="105">
        <v>0.006689555459199583</v>
      </c>
      <c r="D1245" s="80" t="s">
        <v>3194</v>
      </c>
      <c r="E1245" s="80" t="b">
        <v>0</v>
      </c>
      <c r="F1245" s="80" t="b">
        <v>0</v>
      </c>
      <c r="G1245" s="80" t="b">
        <v>0</v>
      </c>
    </row>
    <row r="1246" spans="1:7" ht="15">
      <c r="A1246" s="81" t="s">
        <v>3660</v>
      </c>
      <c r="B1246" s="80">
        <v>3</v>
      </c>
      <c r="C1246" s="105">
        <v>0.006689555459199583</v>
      </c>
      <c r="D1246" s="80" t="s">
        <v>3194</v>
      </c>
      <c r="E1246" s="80" t="b">
        <v>0</v>
      </c>
      <c r="F1246" s="80" t="b">
        <v>0</v>
      </c>
      <c r="G1246" s="80" t="b">
        <v>0</v>
      </c>
    </row>
    <row r="1247" spans="1:7" ht="15">
      <c r="A1247" s="81" t="s">
        <v>3661</v>
      </c>
      <c r="B1247" s="80">
        <v>3</v>
      </c>
      <c r="C1247" s="105">
        <v>0.006689555459199583</v>
      </c>
      <c r="D1247" s="80" t="s">
        <v>3194</v>
      </c>
      <c r="E1247" s="80" t="b">
        <v>0</v>
      </c>
      <c r="F1247" s="80" t="b">
        <v>0</v>
      </c>
      <c r="G1247" s="80" t="b">
        <v>0</v>
      </c>
    </row>
    <row r="1248" spans="1:7" ht="15">
      <c r="A1248" s="81" t="s">
        <v>3662</v>
      </c>
      <c r="B1248" s="80">
        <v>3</v>
      </c>
      <c r="C1248" s="105">
        <v>0.006689555459199583</v>
      </c>
      <c r="D1248" s="80" t="s">
        <v>3194</v>
      </c>
      <c r="E1248" s="80" t="b">
        <v>0</v>
      </c>
      <c r="F1248" s="80" t="b">
        <v>0</v>
      </c>
      <c r="G1248" s="80" t="b">
        <v>0</v>
      </c>
    </row>
    <row r="1249" spans="1:7" ht="15">
      <c r="A1249" s="81" t="s">
        <v>3663</v>
      </c>
      <c r="B1249" s="80">
        <v>3</v>
      </c>
      <c r="C1249" s="105">
        <v>0.006689555459199583</v>
      </c>
      <c r="D1249" s="80" t="s">
        <v>3194</v>
      </c>
      <c r="E1249" s="80" t="b">
        <v>0</v>
      </c>
      <c r="F1249" s="80" t="b">
        <v>0</v>
      </c>
      <c r="G1249" s="80" t="b">
        <v>0</v>
      </c>
    </row>
    <row r="1250" spans="1:7" ht="15">
      <c r="A1250" s="81" t="s">
        <v>3664</v>
      </c>
      <c r="B1250" s="80">
        <v>3</v>
      </c>
      <c r="C1250" s="105">
        <v>0.006689555459199583</v>
      </c>
      <c r="D1250" s="80" t="s">
        <v>3194</v>
      </c>
      <c r="E1250" s="80" t="b">
        <v>0</v>
      </c>
      <c r="F1250" s="80" t="b">
        <v>0</v>
      </c>
      <c r="G1250" s="80" t="b">
        <v>0</v>
      </c>
    </row>
    <row r="1251" spans="1:7" ht="15">
      <c r="A1251" s="81" t="s">
        <v>3665</v>
      </c>
      <c r="B1251" s="80">
        <v>3</v>
      </c>
      <c r="C1251" s="105">
        <v>0.006689555459199583</v>
      </c>
      <c r="D1251" s="80" t="s">
        <v>3194</v>
      </c>
      <c r="E1251" s="80" t="b">
        <v>0</v>
      </c>
      <c r="F1251" s="80" t="b">
        <v>0</v>
      </c>
      <c r="G1251" s="80" t="b">
        <v>0</v>
      </c>
    </row>
    <row r="1252" spans="1:7" ht="15">
      <c r="A1252" s="81" t="s">
        <v>3666</v>
      </c>
      <c r="B1252" s="80">
        <v>3</v>
      </c>
      <c r="C1252" s="105">
        <v>0.006689555459199583</v>
      </c>
      <c r="D1252" s="80" t="s">
        <v>3194</v>
      </c>
      <c r="E1252" s="80" t="b">
        <v>0</v>
      </c>
      <c r="F1252" s="80" t="b">
        <v>0</v>
      </c>
      <c r="G1252" s="80" t="b">
        <v>0</v>
      </c>
    </row>
    <row r="1253" spans="1:7" ht="15">
      <c r="A1253" s="81" t="s">
        <v>3438</v>
      </c>
      <c r="B1253" s="80">
        <v>4</v>
      </c>
      <c r="C1253" s="105">
        <v>0</v>
      </c>
      <c r="D1253" s="80" t="s">
        <v>3195</v>
      </c>
      <c r="E1253" s="80" t="b">
        <v>0</v>
      </c>
      <c r="F1253" s="80" t="b">
        <v>0</v>
      </c>
      <c r="G1253" s="80" t="b">
        <v>0</v>
      </c>
    </row>
    <row r="1254" spans="1:7" ht="15">
      <c r="A1254" s="81" t="s">
        <v>3439</v>
      </c>
      <c r="B1254" s="80">
        <v>4</v>
      </c>
      <c r="C1254" s="105">
        <v>0</v>
      </c>
      <c r="D1254" s="80" t="s">
        <v>3195</v>
      </c>
      <c r="E1254" s="80" t="b">
        <v>0</v>
      </c>
      <c r="F1254" s="80" t="b">
        <v>0</v>
      </c>
      <c r="G1254" s="80" t="b">
        <v>0</v>
      </c>
    </row>
    <row r="1255" spans="1:7" ht="15">
      <c r="A1255" s="81" t="s">
        <v>3440</v>
      </c>
      <c r="B1255" s="80">
        <v>4</v>
      </c>
      <c r="C1255" s="105">
        <v>0</v>
      </c>
      <c r="D1255" s="80" t="s">
        <v>3195</v>
      </c>
      <c r="E1255" s="80" t="b">
        <v>0</v>
      </c>
      <c r="F1255" s="80" t="b">
        <v>0</v>
      </c>
      <c r="G1255" s="80" t="b">
        <v>0</v>
      </c>
    </row>
    <row r="1256" spans="1:7" ht="15">
      <c r="A1256" s="81" t="s">
        <v>3441</v>
      </c>
      <c r="B1256" s="80">
        <v>4</v>
      </c>
      <c r="C1256" s="105">
        <v>0</v>
      </c>
      <c r="D1256" s="80" t="s">
        <v>3195</v>
      </c>
      <c r="E1256" s="80" t="b">
        <v>0</v>
      </c>
      <c r="F1256" s="80" t="b">
        <v>0</v>
      </c>
      <c r="G1256" s="80" t="b">
        <v>0</v>
      </c>
    </row>
    <row r="1257" spans="1:7" ht="15">
      <c r="A1257" s="81" t="s">
        <v>3442</v>
      </c>
      <c r="B1257" s="80">
        <v>4</v>
      </c>
      <c r="C1257" s="105">
        <v>0</v>
      </c>
      <c r="D1257" s="80" t="s">
        <v>3195</v>
      </c>
      <c r="E1257" s="80" t="b">
        <v>0</v>
      </c>
      <c r="F1257" s="80" t="b">
        <v>0</v>
      </c>
      <c r="G1257" s="80" t="b">
        <v>0</v>
      </c>
    </row>
    <row r="1258" spans="1:7" ht="15">
      <c r="A1258" s="81" t="s">
        <v>3443</v>
      </c>
      <c r="B1258" s="80">
        <v>4</v>
      </c>
      <c r="C1258" s="105">
        <v>0</v>
      </c>
      <c r="D1258" s="80" t="s">
        <v>3195</v>
      </c>
      <c r="E1258" s="80" t="b">
        <v>0</v>
      </c>
      <c r="F1258" s="80" t="b">
        <v>0</v>
      </c>
      <c r="G1258" s="80" t="b">
        <v>0</v>
      </c>
    </row>
    <row r="1259" spans="1:7" ht="15">
      <c r="A1259" s="81" t="s">
        <v>3444</v>
      </c>
      <c r="B1259" s="80">
        <v>4</v>
      </c>
      <c r="C1259" s="105">
        <v>0</v>
      </c>
      <c r="D1259" s="80" t="s">
        <v>3195</v>
      </c>
      <c r="E1259" s="80" t="b">
        <v>0</v>
      </c>
      <c r="F1259" s="80" t="b">
        <v>0</v>
      </c>
      <c r="G1259" s="80" t="b">
        <v>0</v>
      </c>
    </row>
    <row r="1260" spans="1:7" ht="15">
      <c r="A1260" s="81" t="s">
        <v>3445</v>
      </c>
      <c r="B1260" s="80">
        <v>4</v>
      </c>
      <c r="C1260" s="105">
        <v>0</v>
      </c>
      <c r="D1260" s="80" t="s">
        <v>3195</v>
      </c>
      <c r="E1260" s="80" t="b">
        <v>0</v>
      </c>
      <c r="F1260" s="80" t="b">
        <v>0</v>
      </c>
      <c r="G1260" s="80" t="b">
        <v>0</v>
      </c>
    </row>
    <row r="1261" spans="1:7" ht="15">
      <c r="A1261" s="81" t="s">
        <v>3446</v>
      </c>
      <c r="B1261" s="80">
        <v>4</v>
      </c>
      <c r="C1261" s="105">
        <v>0</v>
      </c>
      <c r="D1261" s="80" t="s">
        <v>3195</v>
      </c>
      <c r="E1261" s="80" t="b">
        <v>0</v>
      </c>
      <c r="F1261" s="80" t="b">
        <v>0</v>
      </c>
      <c r="G1261" s="80" t="b">
        <v>0</v>
      </c>
    </row>
    <row r="1262" spans="1:7" ht="15">
      <c r="A1262" s="81" t="s">
        <v>3447</v>
      </c>
      <c r="B1262" s="80">
        <v>4</v>
      </c>
      <c r="C1262" s="105">
        <v>0</v>
      </c>
      <c r="D1262" s="80" t="s">
        <v>3195</v>
      </c>
      <c r="E1262" s="80" t="b">
        <v>0</v>
      </c>
      <c r="F1262" s="80" t="b">
        <v>0</v>
      </c>
      <c r="G1262" s="80" t="b">
        <v>0</v>
      </c>
    </row>
    <row r="1263" spans="1:7" ht="15">
      <c r="A1263" s="81" t="s">
        <v>3448</v>
      </c>
      <c r="B1263" s="80">
        <v>4</v>
      </c>
      <c r="C1263" s="105">
        <v>0</v>
      </c>
      <c r="D1263" s="80" t="s">
        <v>3195</v>
      </c>
      <c r="E1263" s="80" t="b">
        <v>0</v>
      </c>
      <c r="F1263" s="80" t="b">
        <v>0</v>
      </c>
      <c r="G1263" s="80" t="b">
        <v>0</v>
      </c>
    </row>
    <row r="1264" spans="1:7" ht="15">
      <c r="A1264" s="81" t="s">
        <v>3449</v>
      </c>
      <c r="B1264" s="80">
        <v>4</v>
      </c>
      <c r="C1264" s="105">
        <v>0</v>
      </c>
      <c r="D1264" s="80" t="s">
        <v>3195</v>
      </c>
      <c r="E1264" s="80" t="b">
        <v>0</v>
      </c>
      <c r="F1264" s="80" t="b">
        <v>0</v>
      </c>
      <c r="G1264" s="80" t="b">
        <v>0</v>
      </c>
    </row>
    <row r="1265" spans="1:7" ht="15">
      <c r="A1265" s="81" t="s">
        <v>3260</v>
      </c>
      <c r="B1265" s="80">
        <v>4</v>
      </c>
      <c r="C1265" s="105">
        <v>0</v>
      </c>
      <c r="D1265" s="80" t="s">
        <v>3195</v>
      </c>
      <c r="E1265" s="80" t="b">
        <v>0</v>
      </c>
      <c r="F1265" s="80" t="b">
        <v>0</v>
      </c>
      <c r="G1265" s="80" t="b">
        <v>0</v>
      </c>
    </row>
    <row r="1266" spans="1:7" ht="15">
      <c r="A1266" s="81" t="s">
        <v>3450</v>
      </c>
      <c r="B1266" s="80">
        <v>3</v>
      </c>
      <c r="C1266" s="105">
        <v>0.025802571056912676</v>
      </c>
      <c r="D1266" s="80" t="s">
        <v>3196</v>
      </c>
      <c r="E1266" s="80" t="b">
        <v>0</v>
      </c>
      <c r="F1266" s="80" t="b">
        <v>0</v>
      </c>
      <c r="G1266" s="80" t="b">
        <v>0</v>
      </c>
    </row>
    <row r="1267" spans="1:7" ht="15">
      <c r="A1267" s="81" t="s">
        <v>3260</v>
      </c>
      <c r="B1267" s="80">
        <v>2</v>
      </c>
      <c r="C1267" s="105">
        <v>0</v>
      </c>
      <c r="D1267" s="80" t="s">
        <v>3196</v>
      </c>
      <c r="E1267" s="80" t="b">
        <v>0</v>
      </c>
      <c r="F1267" s="80" t="b">
        <v>0</v>
      </c>
      <c r="G1267" s="80" t="b">
        <v>0</v>
      </c>
    </row>
    <row r="1268" spans="1:7" ht="15">
      <c r="A1268" s="81" t="s">
        <v>3689</v>
      </c>
      <c r="B1268" s="80">
        <v>2</v>
      </c>
      <c r="C1268" s="105">
        <v>0</v>
      </c>
      <c r="D1268" s="80" t="s">
        <v>3197</v>
      </c>
      <c r="E1268" s="80" t="b">
        <v>0</v>
      </c>
      <c r="F1268" s="80" t="b">
        <v>0</v>
      </c>
      <c r="G1268" s="80" t="b">
        <v>0</v>
      </c>
    </row>
    <row r="1269" spans="1:7" ht="15">
      <c r="A1269" s="81" t="s">
        <v>3260</v>
      </c>
      <c r="B1269" s="80">
        <v>2</v>
      </c>
      <c r="C1269" s="105">
        <v>0</v>
      </c>
      <c r="D1269" s="80" t="s">
        <v>3197</v>
      </c>
      <c r="E1269" s="80" t="b">
        <v>0</v>
      </c>
      <c r="F1269" s="80" t="b">
        <v>0</v>
      </c>
      <c r="G1269" s="80" t="b">
        <v>0</v>
      </c>
    </row>
    <row r="1270" spans="1:7" ht="15">
      <c r="A1270" s="81" t="s">
        <v>3813</v>
      </c>
      <c r="B1270" s="80">
        <v>2</v>
      </c>
      <c r="C1270" s="105">
        <v>0</v>
      </c>
      <c r="D1270" s="80" t="s">
        <v>3198</v>
      </c>
      <c r="E1270" s="80" t="b">
        <v>0</v>
      </c>
      <c r="F1270" s="80" t="b">
        <v>0</v>
      </c>
      <c r="G1270" s="80" t="b">
        <v>0</v>
      </c>
    </row>
    <row r="1271" spans="1:7" ht="15">
      <c r="A1271" s="81" t="s">
        <v>501</v>
      </c>
      <c r="B1271" s="80">
        <v>2</v>
      </c>
      <c r="C1271" s="105">
        <v>0</v>
      </c>
      <c r="D1271" s="80" t="s">
        <v>3198</v>
      </c>
      <c r="E1271" s="80" t="b">
        <v>0</v>
      </c>
      <c r="F1271" s="80" t="b">
        <v>0</v>
      </c>
      <c r="G1271" s="80" t="b">
        <v>0</v>
      </c>
    </row>
    <row r="1272" spans="1:7" ht="15">
      <c r="A1272" s="81" t="s">
        <v>500</v>
      </c>
      <c r="B1272" s="80">
        <v>2</v>
      </c>
      <c r="C1272" s="105">
        <v>0</v>
      </c>
      <c r="D1272" s="80" t="s">
        <v>3198</v>
      </c>
      <c r="E1272" s="80" t="b">
        <v>0</v>
      </c>
      <c r="F1272" s="80" t="b">
        <v>0</v>
      </c>
      <c r="G1272" s="80" t="b">
        <v>0</v>
      </c>
    </row>
    <row r="1273" spans="1:7" ht="15">
      <c r="A1273" s="81" t="s">
        <v>3814</v>
      </c>
      <c r="B1273" s="80">
        <v>2</v>
      </c>
      <c r="C1273" s="105">
        <v>0</v>
      </c>
      <c r="D1273" s="80" t="s">
        <v>3198</v>
      </c>
      <c r="E1273" s="80" t="b">
        <v>0</v>
      </c>
      <c r="F1273" s="80" t="b">
        <v>0</v>
      </c>
      <c r="G1273" s="80" t="b">
        <v>0</v>
      </c>
    </row>
    <row r="1274" spans="1:7" ht="15">
      <c r="A1274" s="81" t="s">
        <v>3260</v>
      </c>
      <c r="B1274" s="80">
        <v>2</v>
      </c>
      <c r="C1274" s="105">
        <v>0</v>
      </c>
      <c r="D1274" s="80" t="s">
        <v>3198</v>
      </c>
      <c r="E1274" s="80" t="b">
        <v>0</v>
      </c>
      <c r="F1274" s="80" t="b">
        <v>0</v>
      </c>
      <c r="G1274" s="80" t="b">
        <v>0</v>
      </c>
    </row>
    <row r="1275" spans="1:7" ht="15">
      <c r="A1275" s="81" t="s">
        <v>3815</v>
      </c>
      <c r="B1275" s="80">
        <v>2</v>
      </c>
      <c r="C1275" s="105">
        <v>0</v>
      </c>
      <c r="D1275" s="80" t="s">
        <v>3198</v>
      </c>
      <c r="E1275" s="80" t="b">
        <v>0</v>
      </c>
      <c r="F1275" s="80" t="b">
        <v>0</v>
      </c>
      <c r="G1275" s="80" t="b">
        <v>0</v>
      </c>
    </row>
    <row r="1276" spans="1:7" ht="15">
      <c r="A1276" s="81" t="s">
        <v>3305</v>
      </c>
      <c r="B1276" s="80">
        <v>2</v>
      </c>
      <c r="C1276" s="105">
        <v>0</v>
      </c>
      <c r="D1276" s="80" t="s">
        <v>3198</v>
      </c>
      <c r="E1276" s="80" t="b">
        <v>0</v>
      </c>
      <c r="F1276" s="80" t="b">
        <v>0</v>
      </c>
      <c r="G1276" s="80" t="b">
        <v>0</v>
      </c>
    </row>
    <row r="1277" spans="1:7" ht="15">
      <c r="A1277" s="81" t="s">
        <v>3816</v>
      </c>
      <c r="B1277" s="80">
        <v>2</v>
      </c>
      <c r="C1277" s="105">
        <v>0</v>
      </c>
      <c r="D1277" s="80" t="s">
        <v>3198</v>
      </c>
      <c r="E1277" s="80" t="b">
        <v>0</v>
      </c>
      <c r="F1277" s="80" t="b">
        <v>0</v>
      </c>
      <c r="G1277" s="80" t="b">
        <v>0</v>
      </c>
    </row>
    <row r="1278" spans="1:7" ht="15">
      <c r="A1278" s="81" t="s">
        <v>3817</v>
      </c>
      <c r="B1278" s="80">
        <v>2</v>
      </c>
      <c r="C1278" s="105">
        <v>0</v>
      </c>
      <c r="D1278" s="80" t="s">
        <v>3198</v>
      </c>
      <c r="E1278" s="80" t="b">
        <v>0</v>
      </c>
      <c r="F1278" s="80" t="b">
        <v>0</v>
      </c>
      <c r="G1278" s="80" t="b">
        <v>0</v>
      </c>
    </row>
    <row r="1279" spans="1:7" ht="15">
      <c r="A1279" s="81" t="s">
        <v>3260</v>
      </c>
      <c r="B1279" s="80">
        <v>4</v>
      </c>
      <c r="C1279" s="105">
        <v>0</v>
      </c>
      <c r="D1279" s="80" t="s">
        <v>3199</v>
      </c>
      <c r="E1279" s="80" t="b">
        <v>0</v>
      </c>
      <c r="F1279" s="80" t="b">
        <v>0</v>
      </c>
      <c r="G1279" s="80" t="b">
        <v>0</v>
      </c>
    </row>
    <row r="1280" spans="1:7" ht="15">
      <c r="A1280" s="81" t="s">
        <v>3751</v>
      </c>
      <c r="B1280" s="80">
        <v>2</v>
      </c>
      <c r="C1280" s="105">
        <v>0.010380344678068316</v>
      </c>
      <c r="D1280" s="80" t="s">
        <v>3199</v>
      </c>
      <c r="E1280" s="80" t="b">
        <v>0</v>
      </c>
      <c r="F1280" s="80" t="b">
        <v>0</v>
      </c>
      <c r="G1280" s="80" t="b">
        <v>0</v>
      </c>
    </row>
    <row r="1281" spans="1:7" ht="15">
      <c r="A1281" s="81" t="s">
        <v>3752</v>
      </c>
      <c r="B1281" s="80">
        <v>2</v>
      </c>
      <c r="C1281" s="105">
        <v>0.010380344678068316</v>
      </c>
      <c r="D1281" s="80" t="s">
        <v>3199</v>
      </c>
      <c r="E1281" s="80" t="b">
        <v>0</v>
      </c>
      <c r="F1281" s="80" t="b">
        <v>0</v>
      </c>
      <c r="G1281" s="80" t="b">
        <v>0</v>
      </c>
    </row>
    <row r="1282" spans="1:7" ht="15">
      <c r="A1282" s="81" t="s">
        <v>3753</v>
      </c>
      <c r="B1282" s="80">
        <v>2</v>
      </c>
      <c r="C1282" s="105">
        <v>0.010380344678068316</v>
      </c>
      <c r="D1282" s="80" t="s">
        <v>3199</v>
      </c>
      <c r="E1282" s="80" t="b">
        <v>0</v>
      </c>
      <c r="F1282" s="80" t="b">
        <v>0</v>
      </c>
      <c r="G1282" s="80" t="b">
        <v>0</v>
      </c>
    </row>
    <row r="1283" spans="1:7" ht="15">
      <c r="A1283" s="81" t="s">
        <v>3474</v>
      </c>
      <c r="B1283" s="80">
        <v>2</v>
      </c>
      <c r="C1283" s="105">
        <v>0.010380344678068316</v>
      </c>
      <c r="D1283" s="80" t="s">
        <v>3199</v>
      </c>
      <c r="E1283" s="80" t="b">
        <v>0</v>
      </c>
      <c r="F1283" s="80" t="b">
        <v>0</v>
      </c>
      <c r="G1283" s="80" t="b">
        <v>0</v>
      </c>
    </row>
    <row r="1284" spans="1:7" ht="15">
      <c r="A1284" s="81" t="s">
        <v>3754</v>
      </c>
      <c r="B1284" s="80">
        <v>2</v>
      </c>
      <c r="C1284" s="105">
        <v>0.010380344678068316</v>
      </c>
      <c r="D1284" s="80" t="s">
        <v>3199</v>
      </c>
      <c r="E1284" s="80" t="b">
        <v>0</v>
      </c>
      <c r="F1284" s="80" t="b">
        <v>0</v>
      </c>
      <c r="G1284" s="80" t="b">
        <v>0</v>
      </c>
    </row>
    <row r="1285" spans="1:7" ht="15">
      <c r="A1285" s="81" t="s">
        <v>3755</v>
      </c>
      <c r="B1285" s="80">
        <v>2</v>
      </c>
      <c r="C1285" s="105">
        <v>0.010380344678068316</v>
      </c>
      <c r="D1285" s="80" t="s">
        <v>3199</v>
      </c>
      <c r="E1285" s="80" t="b">
        <v>0</v>
      </c>
      <c r="F1285" s="80" t="b">
        <v>0</v>
      </c>
      <c r="G1285" s="80" t="b">
        <v>0</v>
      </c>
    </row>
    <row r="1286" spans="1:7" ht="15">
      <c r="A1286" s="81" t="s">
        <v>3756</v>
      </c>
      <c r="B1286" s="80">
        <v>2</v>
      </c>
      <c r="C1286" s="105">
        <v>0.010380344678068316</v>
      </c>
      <c r="D1286" s="80" t="s">
        <v>3199</v>
      </c>
      <c r="E1286" s="80" t="b">
        <v>0</v>
      </c>
      <c r="F1286" s="80" t="b">
        <v>0</v>
      </c>
      <c r="G1286" s="80" t="b">
        <v>0</v>
      </c>
    </row>
    <row r="1287" spans="1:7" ht="15">
      <c r="A1287" s="81" t="s">
        <v>3757</v>
      </c>
      <c r="B1287" s="80">
        <v>2</v>
      </c>
      <c r="C1287" s="105">
        <v>0.010380344678068316</v>
      </c>
      <c r="D1287" s="80" t="s">
        <v>3199</v>
      </c>
      <c r="E1287" s="80" t="b">
        <v>0</v>
      </c>
      <c r="F1287" s="80" t="b">
        <v>0</v>
      </c>
      <c r="G1287" s="80" t="b">
        <v>0</v>
      </c>
    </row>
    <row r="1288" spans="1:7" ht="15">
      <c r="A1288" s="81" t="s">
        <v>3758</v>
      </c>
      <c r="B1288" s="80">
        <v>2</v>
      </c>
      <c r="C1288" s="105">
        <v>0.010380344678068316</v>
      </c>
      <c r="D1288" s="80" t="s">
        <v>3199</v>
      </c>
      <c r="E1288" s="80" t="b">
        <v>0</v>
      </c>
      <c r="F1288" s="80" t="b">
        <v>0</v>
      </c>
      <c r="G1288" s="80" t="b">
        <v>0</v>
      </c>
    </row>
    <row r="1289" spans="1:7" ht="15">
      <c r="A1289" s="81" t="s">
        <v>3759</v>
      </c>
      <c r="B1289" s="80">
        <v>2</v>
      </c>
      <c r="C1289" s="105">
        <v>0.010380344678068316</v>
      </c>
      <c r="D1289" s="80" t="s">
        <v>3199</v>
      </c>
      <c r="E1289" s="80" t="b">
        <v>0</v>
      </c>
      <c r="F1289" s="80" t="b">
        <v>0</v>
      </c>
      <c r="G1289" s="80" t="b">
        <v>0</v>
      </c>
    </row>
    <row r="1290" spans="1:7" ht="15">
      <c r="A1290" s="81" t="s">
        <v>3760</v>
      </c>
      <c r="B1290" s="80">
        <v>2</v>
      </c>
      <c r="C1290" s="105">
        <v>0.010380344678068316</v>
      </c>
      <c r="D1290" s="80" t="s">
        <v>3199</v>
      </c>
      <c r="E1290" s="80" t="b">
        <v>0</v>
      </c>
      <c r="F1290" s="80" t="b">
        <v>0</v>
      </c>
      <c r="G1290" s="80" t="b">
        <v>0</v>
      </c>
    </row>
    <row r="1291" spans="1:7" ht="15">
      <c r="A1291" s="81" t="s">
        <v>3383</v>
      </c>
      <c r="B1291" s="80">
        <v>2</v>
      </c>
      <c r="C1291" s="105">
        <v>0.010380344678068316</v>
      </c>
      <c r="D1291" s="80" t="s">
        <v>3199</v>
      </c>
      <c r="E1291" s="80" t="b">
        <v>0</v>
      </c>
      <c r="F1291" s="80" t="b">
        <v>0</v>
      </c>
      <c r="G1291" s="80" t="b">
        <v>0</v>
      </c>
    </row>
    <row r="1292" spans="1:7" ht="15">
      <c r="A1292" s="81" t="s">
        <v>3475</v>
      </c>
      <c r="B1292" s="80">
        <v>2</v>
      </c>
      <c r="C1292" s="105">
        <v>0.010380344678068316</v>
      </c>
      <c r="D1292" s="80" t="s">
        <v>3199</v>
      </c>
      <c r="E1292" s="80" t="b">
        <v>0</v>
      </c>
      <c r="F1292" s="80" t="b">
        <v>0</v>
      </c>
      <c r="G1292" s="80" t="b">
        <v>0</v>
      </c>
    </row>
    <row r="1293" spans="1:7" ht="15">
      <c r="A1293" s="81" t="s">
        <v>3761</v>
      </c>
      <c r="B1293" s="80">
        <v>2</v>
      </c>
      <c r="C1293" s="105">
        <v>0.010380344678068316</v>
      </c>
      <c r="D1293" s="80" t="s">
        <v>3199</v>
      </c>
      <c r="E1293" s="80" t="b">
        <v>0</v>
      </c>
      <c r="F1293" s="80" t="b">
        <v>0</v>
      </c>
      <c r="G1293" s="80" t="b">
        <v>0</v>
      </c>
    </row>
    <row r="1294" spans="1:7" ht="15">
      <c r="A1294" s="81" t="s">
        <v>3762</v>
      </c>
      <c r="B1294" s="80">
        <v>2</v>
      </c>
      <c r="C1294" s="105">
        <v>0.010380344678068316</v>
      </c>
      <c r="D1294" s="80" t="s">
        <v>3199</v>
      </c>
      <c r="E1294" s="80" t="b">
        <v>0</v>
      </c>
      <c r="F1294" s="80" t="b">
        <v>0</v>
      </c>
      <c r="G1294" s="80" t="b">
        <v>0</v>
      </c>
    </row>
    <row r="1295" spans="1:7" ht="15">
      <c r="A1295" s="81" t="s">
        <v>3763</v>
      </c>
      <c r="B1295" s="80">
        <v>2</v>
      </c>
      <c r="C1295" s="105">
        <v>0.010380344678068316</v>
      </c>
      <c r="D1295" s="80" t="s">
        <v>3199</v>
      </c>
      <c r="E1295" s="80" t="b">
        <v>0</v>
      </c>
      <c r="F1295" s="80" t="b">
        <v>0</v>
      </c>
      <c r="G1295" s="80" t="b">
        <v>0</v>
      </c>
    </row>
    <row r="1296" spans="1:7" ht="15">
      <c r="A1296" s="81" t="s">
        <v>3764</v>
      </c>
      <c r="B1296" s="80">
        <v>2</v>
      </c>
      <c r="C1296" s="105">
        <v>0.010380344678068316</v>
      </c>
      <c r="D1296" s="80" t="s">
        <v>3199</v>
      </c>
      <c r="E1296" s="80" t="b">
        <v>0</v>
      </c>
      <c r="F1296" s="80" t="b">
        <v>0</v>
      </c>
      <c r="G1296" s="80" t="b">
        <v>0</v>
      </c>
    </row>
    <row r="1297" spans="1:7" ht="15">
      <c r="A1297" s="81" t="s">
        <v>3290</v>
      </c>
      <c r="B1297" s="80">
        <v>2</v>
      </c>
      <c r="C1297" s="105">
        <v>0.010380344678068316</v>
      </c>
      <c r="D1297" s="80" t="s">
        <v>3199</v>
      </c>
      <c r="E1297" s="80" t="b">
        <v>0</v>
      </c>
      <c r="F1297" s="80" t="b">
        <v>0</v>
      </c>
      <c r="G1297" s="80" t="b">
        <v>0</v>
      </c>
    </row>
    <row r="1298" spans="1:7" ht="15">
      <c r="A1298" s="81" t="s">
        <v>3765</v>
      </c>
      <c r="B1298" s="80">
        <v>2</v>
      </c>
      <c r="C1298" s="105">
        <v>0.010380344678068316</v>
      </c>
      <c r="D1298" s="80" t="s">
        <v>3199</v>
      </c>
      <c r="E1298" s="80" t="b">
        <v>0</v>
      </c>
      <c r="F1298" s="80" t="b">
        <v>0</v>
      </c>
      <c r="G1298" s="80" t="b">
        <v>0</v>
      </c>
    </row>
    <row r="1299" spans="1:7" ht="15">
      <c r="A1299" s="81" t="s">
        <v>3766</v>
      </c>
      <c r="B1299" s="80">
        <v>2</v>
      </c>
      <c r="C1299" s="105">
        <v>0.010380344678068316</v>
      </c>
      <c r="D1299" s="80" t="s">
        <v>3199</v>
      </c>
      <c r="E1299" s="80" t="b">
        <v>0</v>
      </c>
      <c r="F1299" s="80" t="b">
        <v>0</v>
      </c>
      <c r="G1299" s="80" t="b">
        <v>0</v>
      </c>
    </row>
    <row r="1300" spans="1:7" ht="15">
      <c r="A1300" s="81" t="s">
        <v>3767</v>
      </c>
      <c r="B1300" s="80">
        <v>2</v>
      </c>
      <c r="C1300" s="105">
        <v>0.010380344678068316</v>
      </c>
      <c r="D1300" s="80" t="s">
        <v>3199</v>
      </c>
      <c r="E1300" s="80" t="b">
        <v>0</v>
      </c>
      <c r="F1300" s="80" t="b">
        <v>0</v>
      </c>
      <c r="G1300" s="80" t="b">
        <v>0</v>
      </c>
    </row>
    <row r="1301" spans="1:7" ht="15">
      <c r="A1301" s="81" t="s">
        <v>3262</v>
      </c>
      <c r="B1301" s="80">
        <v>6</v>
      </c>
      <c r="C1301" s="105">
        <v>0</v>
      </c>
      <c r="D1301" s="80" t="s">
        <v>3201</v>
      </c>
      <c r="E1301" s="80" t="b">
        <v>0</v>
      </c>
      <c r="F1301" s="80" t="b">
        <v>0</v>
      </c>
      <c r="G1301" s="80" t="b">
        <v>0</v>
      </c>
    </row>
    <row r="1302" spans="1:7" ht="15">
      <c r="A1302" s="81" t="s">
        <v>3774</v>
      </c>
      <c r="B1302" s="80">
        <v>2</v>
      </c>
      <c r="C1302" s="105">
        <v>0</v>
      </c>
      <c r="D1302" s="80" t="s">
        <v>3201</v>
      </c>
      <c r="E1302" s="80" t="b">
        <v>0</v>
      </c>
      <c r="F1302" s="80" t="b">
        <v>0</v>
      </c>
      <c r="G1302" s="80" t="b">
        <v>0</v>
      </c>
    </row>
    <row r="1303" spans="1:7" ht="15">
      <c r="A1303" s="81" t="s">
        <v>3320</v>
      </c>
      <c r="B1303" s="80">
        <v>2</v>
      </c>
      <c r="C1303" s="105">
        <v>0</v>
      </c>
      <c r="D1303" s="80" t="s">
        <v>3201</v>
      </c>
      <c r="E1303" s="80" t="b">
        <v>0</v>
      </c>
      <c r="F1303" s="80" t="b">
        <v>0</v>
      </c>
      <c r="G1303" s="80" t="b">
        <v>0</v>
      </c>
    </row>
    <row r="1304" spans="1:7" ht="15">
      <c r="A1304" s="81" t="s">
        <v>3260</v>
      </c>
      <c r="B1304" s="80">
        <v>5</v>
      </c>
      <c r="C1304" s="105">
        <v>0</v>
      </c>
      <c r="D1304" s="80" t="s">
        <v>3202</v>
      </c>
      <c r="E1304" s="80" t="b">
        <v>0</v>
      </c>
      <c r="F1304" s="80" t="b">
        <v>0</v>
      </c>
      <c r="G1304" s="80" t="b">
        <v>0</v>
      </c>
    </row>
    <row r="1305" spans="1:7" ht="15">
      <c r="A1305" s="81" t="s">
        <v>3497</v>
      </c>
      <c r="B1305" s="80">
        <v>4</v>
      </c>
      <c r="C1305" s="105">
        <v>0.004507442465490996</v>
      </c>
      <c r="D1305" s="80" t="s">
        <v>3202</v>
      </c>
      <c r="E1305" s="80" t="b">
        <v>0</v>
      </c>
      <c r="F1305" s="80" t="b">
        <v>0</v>
      </c>
      <c r="G1305" s="80" t="b">
        <v>0</v>
      </c>
    </row>
    <row r="1306" spans="1:7" ht="15">
      <c r="A1306" s="81" t="s">
        <v>3312</v>
      </c>
      <c r="B1306" s="80">
        <v>4</v>
      </c>
      <c r="C1306" s="105">
        <v>0.004507442465490996</v>
      </c>
      <c r="D1306" s="80" t="s">
        <v>3202</v>
      </c>
      <c r="E1306" s="80" t="b">
        <v>0</v>
      </c>
      <c r="F1306" s="80" t="b">
        <v>0</v>
      </c>
      <c r="G1306" s="80" t="b">
        <v>0</v>
      </c>
    </row>
    <row r="1307" spans="1:7" ht="15">
      <c r="A1307" s="81" t="s">
        <v>3498</v>
      </c>
      <c r="B1307" s="80">
        <v>4</v>
      </c>
      <c r="C1307" s="105">
        <v>0.004507442465490996</v>
      </c>
      <c r="D1307" s="80" t="s">
        <v>3202</v>
      </c>
      <c r="E1307" s="80" t="b">
        <v>0</v>
      </c>
      <c r="F1307" s="80" t="b">
        <v>0</v>
      </c>
      <c r="G1307" s="80" t="b">
        <v>0</v>
      </c>
    </row>
    <row r="1308" spans="1:7" ht="15">
      <c r="A1308" s="81" t="s">
        <v>3499</v>
      </c>
      <c r="B1308" s="80">
        <v>4</v>
      </c>
      <c r="C1308" s="105">
        <v>0.004507442465490996</v>
      </c>
      <c r="D1308" s="80" t="s">
        <v>3202</v>
      </c>
      <c r="E1308" s="80" t="b">
        <v>0</v>
      </c>
      <c r="F1308" s="80" t="b">
        <v>0</v>
      </c>
      <c r="G1308" s="80" t="b">
        <v>0</v>
      </c>
    </row>
    <row r="1309" spans="1:7" ht="15">
      <c r="A1309" s="81" t="s">
        <v>3500</v>
      </c>
      <c r="B1309" s="80">
        <v>4</v>
      </c>
      <c r="C1309" s="105">
        <v>0.004507442465490996</v>
      </c>
      <c r="D1309" s="80" t="s">
        <v>3202</v>
      </c>
      <c r="E1309" s="80" t="b">
        <v>0</v>
      </c>
      <c r="F1309" s="80" t="b">
        <v>0</v>
      </c>
      <c r="G1309" s="80" t="b">
        <v>0</v>
      </c>
    </row>
    <row r="1310" spans="1:7" ht="15">
      <c r="A1310" s="81" t="s">
        <v>3501</v>
      </c>
      <c r="B1310" s="80">
        <v>4</v>
      </c>
      <c r="C1310" s="105">
        <v>0.004507442465490996</v>
      </c>
      <c r="D1310" s="80" t="s">
        <v>3202</v>
      </c>
      <c r="E1310" s="80" t="b">
        <v>0</v>
      </c>
      <c r="F1310" s="80" t="b">
        <v>0</v>
      </c>
      <c r="G1310" s="80" t="b">
        <v>0</v>
      </c>
    </row>
    <row r="1311" spans="1:7" ht="15">
      <c r="A1311" s="81" t="s">
        <v>3502</v>
      </c>
      <c r="B1311" s="80">
        <v>4</v>
      </c>
      <c r="C1311" s="105">
        <v>0.004507442465490996</v>
      </c>
      <c r="D1311" s="80" t="s">
        <v>3202</v>
      </c>
      <c r="E1311" s="80" t="b">
        <v>0</v>
      </c>
      <c r="F1311" s="80" t="b">
        <v>0</v>
      </c>
      <c r="G1311" s="80" t="b">
        <v>0</v>
      </c>
    </row>
    <row r="1312" spans="1:7" ht="15">
      <c r="A1312" s="81" t="s">
        <v>3375</v>
      </c>
      <c r="B1312" s="80">
        <v>4</v>
      </c>
      <c r="C1312" s="105">
        <v>0.004507442465490996</v>
      </c>
      <c r="D1312" s="80" t="s">
        <v>3202</v>
      </c>
      <c r="E1312" s="80" t="b">
        <v>0</v>
      </c>
      <c r="F1312" s="80" t="b">
        <v>0</v>
      </c>
      <c r="G1312" s="80" t="b">
        <v>0</v>
      </c>
    </row>
    <row r="1313" spans="1:7" ht="15">
      <c r="A1313" s="81" t="s">
        <v>3400</v>
      </c>
      <c r="B1313" s="80">
        <v>4</v>
      </c>
      <c r="C1313" s="105">
        <v>0.004507442465490996</v>
      </c>
      <c r="D1313" s="80" t="s">
        <v>3202</v>
      </c>
      <c r="E1313" s="80" t="b">
        <v>0</v>
      </c>
      <c r="F1313" s="80" t="b">
        <v>0</v>
      </c>
      <c r="G1313" s="80" t="b">
        <v>0</v>
      </c>
    </row>
    <row r="1314" spans="1:7" ht="15">
      <c r="A1314" s="81" t="s">
        <v>3503</v>
      </c>
      <c r="B1314" s="80">
        <v>4</v>
      </c>
      <c r="C1314" s="105">
        <v>0.004507442465490996</v>
      </c>
      <c r="D1314" s="80" t="s">
        <v>3202</v>
      </c>
      <c r="E1314" s="80" t="b">
        <v>0</v>
      </c>
      <c r="F1314" s="80" t="b">
        <v>0</v>
      </c>
      <c r="G1314" s="80" t="b">
        <v>0</v>
      </c>
    </row>
    <row r="1315" spans="1:7" ht="15">
      <c r="A1315" s="81" t="s">
        <v>3504</v>
      </c>
      <c r="B1315" s="80">
        <v>4</v>
      </c>
      <c r="C1315" s="105">
        <v>0.004507442465490996</v>
      </c>
      <c r="D1315" s="80" t="s">
        <v>3202</v>
      </c>
      <c r="E1315" s="80" t="b">
        <v>0</v>
      </c>
      <c r="F1315" s="80" t="b">
        <v>0</v>
      </c>
      <c r="G1315" s="80" t="b">
        <v>0</v>
      </c>
    </row>
    <row r="1316" spans="1:7" ht="15">
      <c r="A1316" s="81" t="s">
        <v>3505</v>
      </c>
      <c r="B1316" s="80">
        <v>4</v>
      </c>
      <c r="C1316" s="105">
        <v>0.004507442465490996</v>
      </c>
      <c r="D1316" s="80" t="s">
        <v>3202</v>
      </c>
      <c r="E1316" s="80" t="b">
        <v>0</v>
      </c>
      <c r="F1316" s="80" t="b">
        <v>0</v>
      </c>
      <c r="G1316" s="80" t="b">
        <v>0</v>
      </c>
    </row>
    <row r="1317" spans="1:7" ht="15">
      <c r="A1317" s="81" t="s">
        <v>3506</v>
      </c>
      <c r="B1317" s="80">
        <v>4</v>
      </c>
      <c r="C1317" s="105">
        <v>0.004507442465490996</v>
      </c>
      <c r="D1317" s="80" t="s">
        <v>3202</v>
      </c>
      <c r="E1317" s="80" t="b">
        <v>0</v>
      </c>
      <c r="F1317" s="80" t="b">
        <v>0</v>
      </c>
      <c r="G1317" s="80" t="b">
        <v>0</v>
      </c>
    </row>
    <row r="1318" spans="1:7" ht="15">
      <c r="A1318" s="81" t="s">
        <v>3507</v>
      </c>
      <c r="B1318" s="80">
        <v>4</v>
      </c>
      <c r="C1318" s="105">
        <v>0.004507442465490996</v>
      </c>
      <c r="D1318" s="80" t="s">
        <v>3202</v>
      </c>
      <c r="E1318" s="80" t="b">
        <v>0</v>
      </c>
      <c r="F1318" s="80" t="b">
        <v>0</v>
      </c>
      <c r="G1318" s="80" t="b">
        <v>0</v>
      </c>
    </row>
    <row r="1319" spans="1:7" ht="15">
      <c r="A1319" s="81" t="s">
        <v>3508</v>
      </c>
      <c r="B1319" s="80">
        <v>4</v>
      </c>
      <c r="C1319" s="105">
        <v>0.004507442465490996</v>
      </c>
      <c r="D1319" s="80" t="s">
        <v>3202</v>
      </c>
      <c r="E1319" s="80" t="b">
        <v>0</v>
      </c>
      <c r="F1319" s="80" t="b">
        <v>0</v>
      </c>
      <c r="G1319" s="80" t="b">
        <v>0</v>
      </c>
    </row>
    <row r="1320" spans="1:7" ht="15">
      <c r="A1320" s="81" t="s">
        <v>3509</v>
      </c>
      <c r="B1320" s="80">
        <v>4</v>
      </c>
      <c r="C1320" s="105">
        <v>0.004507442465490996</v>
      </c>
      <c r="D1320" s="80" t="s">
        <v>3202</v>
      </c>
      <c r="E1320" s="80" t="b">
        <v>0</v>
      </c>
      <c r="F1320" s="80" t="b">
        <v>0</v>
      </c>
      <c r="G1320" s="80" t="b">
        <v>0</v>
      </c>
    </row>
    <row r="1321" spans="1:7" ht="15">
      <c r="A1321" s="81" t="s">
        <v>3510</v>
      </c>
      <c r="B1321" s="80">
        <v>4</v>
      </c>
      <c r="C1321" s="105">
        <v>0.004507442465490996</v>
      </c>
      <c r="D1321" s="80" t="s">
        <v>3202</v>
      </c>
      <c r="E1321" s="80" t="b">
        <v>0</v>
      </c>
      <c r="F1321" s="80" t="b">
        <v>0</v>
      </c>
      <c r="G1321" s="80" t="b">
        <v>0</v>
      </c>
    </row>
    <row r="1322" spans="1:7" ht="15">
      <c r="A1322" s="81" t="s">
        <v>3511</v>
      </c>
      <c r="B1322" s="80">
        <v>4</v>
      </c>
      <c r="C1322" s="105">
        <v>0.004507442465490996</v>
      </c>
      <c r="D1322" s="80" t="s">
        <v>3202</v>
      </c>
      <c r="E1322" s="80" t="b">
        <v>0</v>
      </c>
      <c r="F1322" s="80" t="b">
        <v>0</v>
      </c>
      <c r="G1322" s="80" t="b">
        <v>0</v>
      </c>
    </row>
    <row r="1323" spans="1:7" ht="15">
      <c r="A1323" s="81" t="s">
        <v>3512</v>
      </c>
      <c r="B1323" s="80">
        <v>4</v>
      </c>
      <c r="C1323" s="105">
        <v>0.004507442465490996</v>
      </c>
      <c r="D1323" s="80" t="s">
        <v>3202</v>
      </c>
      <c r="E1323" s="80" t="b">
        <v>0</v>
      </c>
      <c r="F1323" s="80" t="b">
        <v>0</v>
      </c>
      <c r="G1323" s="80" t="b">
        <v>0</v>
      </c>
    </row>
    <row r="1324" spans="1:7" ht="15">
      <c r="A1324" s="81" t="s">
        <v>3410</v>
      </c>
      <c r="B1324" s="80">
        <v>4</v>
      </c>
      <c r="C1324" s="105">
        <v>0</v>
      </c>
      <c r="D1324" s="80" t="s">
        <v>3203</v>
      </c>
      <c r="E1324" s="80" t="b">
        <v>0</v>
      </c>
      <c r="F1324" s="80" t="b">
        <v>0</v>
      </c>
      <c r="G1324" s="80" t="b">
        <v>0</v>
      </c>
    </row>
    <row r="1325" spans="1:7" ht="15">
      <c r="A1325" s="81" t="s">
        <v>3409</v>
      </c>
      <c r="B1325" s="80">
        <v>4</v>
      </c>
      <c r="C1325" s="105">
        <v>0</v>
      </c>
      <c r="D1325" s="80" t="s">
        <v>3203</v>
      </c>
      <c r="E1325" s="80" t="b">
        <v>0</v>
      </c>
      <c r="F1325" s="80" t="b">
        <v>0</v>
      </c>
      <c r="G1325" s="80" t="b">
        <v>0</v>
      </c>
    </row>
    <row r="1326" spans="1:7" ht="15">
      <c r="A1326" s="81" t="s">
        <v>3513</v>
      </c>
      <c r="B1326" s="80">
        <v>4</v>
      </c>
      <c r="C1326" s="105">
        <v>0</v>
      </c>
      <c r="D1326" s="80" t="s">
        <v>3203</v>
      </c>
      <c r="E1326" s="80" t="b">
        <v>0</v>
      </c>
      <c r="F1326" s="80" t="b">
        <v>0</v>
      </c>
      <c r="G1326" s="80" t="b">
        <v>0</v>
      </c>
    </row>
    <row r="1327" spans="1:7" ht="15">
      <c r="A1327" s="81" t="s">
        <v>3341</v>
      </c>
      <c r="B1327" s="80">
        <v>4</v>
      </c>
      <c r="C1327" s="105">
        <v>0</v>
      </c>
      <c r="D1327" s="80" t="s">
        <v>3203</v>
      </c>
      <c r="E1327" s="80" t="b">
        <v>0</v>
      </c>
      <c r="F1327" s="80" t="b">
        <v>0</v>
      </c>
      <c r="G1327" s="80" t="b">
        <v>0</v>
      </c>
    </row>
    <row r="1328" spans="1:7" ht="15">
      <c r="A1328" s="81" t="s">
        <v>3514</v>
      </c>
      <c r="B1328" s="80">
        <v>4</v>
      </c>
      <c r="C1328" s="105">
        <v>0</v>
      </c>
      <c r="D1328" s="80" t="s">
        <v>3203</v>
      </c>
      <c r="E1328" s="80" t="b">
        <v>0</v>
      </c>
      <c r="F1328" s="80" t="b">
        <v>0</v>
      </c>
      <c r="G1328" s="80" t="b">
        <v>0</v>
      </c>
    </row>
    <row r="1329" spans="1:7" ht="15">
      <c r="A1329" s="81" t="s">
        <v>3515</v>
      </c>
      <c r="B1329" s="80">
        <v>4</v>
      </c>
      <c r="C1329" s="105">
        <v>0</v>
      </c>
      <c r="D1329" s="80" t="s">
        <v>3203</v>
      </c>
      <c r="E1329" s="80" t="b">
        <v>0</v>
      </c>
      <c r="F1329" s="80" t="b">
        <v>0</v>
      </c>
      <c r="G1329" s="80" t="b">
        <v>0</v>
      </c>
    </row>
    <row r="1330" spans="1:7" ht="15">
      <c r="A1330" s="81" t="s">
        <v>3516</v>
      </c>
      <c r="B1330" s="80">
        <v>4</v>
      </c>
      <c r="C1330" s="105">
        <v>0</v>
      </c>
      <c r="D1330" s="80" t="s">
        <v>3203</v>
      </c>
      <c r="E1330" s="80" t="b">
        <v>0</v>
      </c>
      <c r="F1330" s="80" t="b">
        <v>0</v>
      </c>
      <c r="G1330" s="80" t="b">
        <v>0</v>
      </c>
    </row>
    <row r="1331" spans="1:7" ht="15">
      <c r="A1331" s="81" t="s">
        <v>3517</v>
      </c>
      <c r="B1331" s="80">
        <v>4</v>
      </c>
      <c r="C1331" s="105">
        <v>0</v>
      </c>
      <c r="D1331" s="80" t="s">
        <v>3203</v>
      </c>
      <c r="E1331" s="80" t="b">
        <v>0</v>
      </c>
      <c r="F1331" s="80" t="b">
        <v>0</v>
      </c>
      <c r="G1331" s="80" t="b">
        <v>0</v>
      </c>
    </row>
    <row r="1332" spans="1:7" ht="15">
      <c r="A1332" s="81" t="s">
        <v>3518</v>
      </c>
      <c r="B1332" s="80">
        <v>4</v>
      </c>
      <c r="C1332" s="105">
        <v>0</v>
      </c>
      <c r="D1332" s="80" t="s">
        <v>3203</v>
      </c>
      <c r="E1332" s="80" t="b">
        <v>0</v>
      </c>
      <c r="F1332" s="80" t="b">
        <v>0</v>
      </c>
      <c r="G1332" s="80" t="b">
        <v>0</v>
      </c>
    </row>
    <row r="1333" spans="1:7" ht="15">
      <c r="A1333" s="81" t="s">
        <v>3319</v>
      </c>
      <c r="B1333" s="80">
        <v>4</v>
      </c>
      <c r="C1333" s="105">
        <v>0</v>
      </c>
      <c r="D1333" s="80" t="s">
        <v>3203</v>
      </c>
      <c r="E1333" s="80" t="b">
        <v>0</v>
      </c>
      <c r="F1333" s="80" t="b">
        <v>0</v>
      </c>
      <c r="G1333" s="80" t="b">
        <v>0</v>
      </c>
    </row>
    <row r="1334" spans="1:7" ht="15">
      <c r="A1334" s="81" t="s">
        <v>3519</v>
      </c>
      <c r="B1334" s="80">
        <v>4</v>
      </c>
      <c r="C1334" s="105">
        <v>0</v>
      </c>
      <c r="D1334" s="80" t="s">
        <v>3203</v>
      </c>
      <c r="E1334" s="80" t="b">
        <v>0</v>
      </c>
      <c r="F1334" s="80" t="b">
        <v>0</v>
      </c>
      <c r="G1334" s="80" t="b">
        <v>0</v>
      </c>
    </row>
    <row r="1335" spans="1:7" ht="15">
      <c r="A1335" s="81" t="s">
        <v>3520</v>
      </c>
      <c r="B1335" s="80">
        <v>4</v>
      </c>
      <c r="C1335" s="105">
        <v>0</v>
      </c>
      <c r="D1335" s="80" t="s">
        <v>3203</v>
      </c>
      <c r="E1335" s="80" t="b">
        <v>0</v>
      </c>
      <c r="F1335" s="80" t="b">
        <v>0</v>
      </c>
      <c r="G1335" s="80" t="b">
        <v>0</v>
      </c>
    </row>
    <row r="1336" spans="1:7" ht="15">
      <c r="A1336" s="81" t="s">
        <v>3521</v>
      </c>
      <c r="B1336" s="80">
        <v>4</v>
      </c>
      <c r="C1336" s="105">
        <v>0</v>
      </c>
      <c r="D1336" s="80" t="s">
        <v>3203</v>
      </c>
      <c r="E1336" s="80" t="b">
        <v>0</v>
      </c>
      <c r="F1336" s="80" t="b">
        <v>0</v>
      </c>
      <c r="G1336" s="80" t="b">
        <v>0</v>
      </c>
    </row>
    <row r="1337" spans="1:7" ht="15">
      <c r="A1337" s="81" t="s">
        <v>3522</v>
      </c>
      <c r="B1337" s="80">
        <v>4</v>
      </c>
      <c r="C1337" s="105">
        <v>0</v>
      </c>
      <c r="D1337" s="80" t="s">
        <v>3203</v>
      </c>
      <c r="E1337" s="80" t="b">
        <v>0</v>
      </c>
      <c r="F1337" s="80" t="b">
        <v>0</v>
      </c>
      <c r="G1337" s="80" t="b">
        <v>0</v>
      </c>
    </row>
    <row r="1338" spans="1:7" ht="15">
      <c r="A1338" s="81" t="s">
        <v>3523</v>
      </c>
      <c r="B1338" s="80">
        <v>4</v>
      </c>
      <c r="C1338" s="105">
        <v>0</v>
      </c>
      <c r="D1338" s="80" t="s">
        <v>3203</v>
      </c>
      <c r="E1338" s="80" t="b">
        <v>0</v>
      </c>
      <c r="F1338" s="80" t="b">
        <v>0</v>
      </c>
      <c r="G1338" s="80" t="b">
        <v>0</v>
      </c>
    </row>
    <row r="1339" spans="1:7" ht="15">
      <c r="A1339" s="81" t="s">
        <v>3261</v>
      </c>
      <c r="B1339" s="80">
        <v>4</v>
      </c>
      <c r="C1339" s="105">
        <v>0</v>
      </c>
      <c r="D1339" s="80" t="s">
        <v>3203</v>
      </c>
      <c r="E1339" s="80" t="b">
        <v>0</v>
      </c>
      <c r="F1339" s="80" t="b">
        <v>0</v>
      </c>
      <c r="G1339" s="80" t="b">
        <v>0</v>
      </c>
    </row>
    <row r="1340" spans="1:7" ht="15">
      <c r="A1340" s="81" t="s">
        <v>3260</v>
      </c>
      <c r="B1340" s="80">
        <v>4</v>
      </c>
      <c r="C1340" s="105">
        <v>0</v>
      </c>
      <c r="D1340" s="80" t="s">
        <v>3203</v>
      </c>
      <c r="E1340" s="80" t="b">
        <v>0</v>
      </c>
      <c r="F1340" s="80" t="b">
        <v>0</v>
      </c>
      <c r="G1340" s="80" t="b">
        <v>0</v>
      </c>
    </row>
    <row r="1341" spans="1:7" ht="15">
      <c r="A1341" s="81" t="s">
        <v>3260</v>
      </c>
      <c r="B1341" s="80">
        <v>3</v>
      </c>
      <c r="C1341" s="105">
        <v>0</v>
      </c>
      <c r="D1341" s="80" t="s">
        <v>3204</v>
      </c>
      <c r="E1341" s="80" t="b">
        <v>0</v>
      </c>
      <c r="F1341" s="80" t="b">
        <v>0</v>
      </c>
      <c r="G1341" s="80" t="b">
        <v>0</v>
      </c>
    </row>
    <row r="1342" spans="1:7" ht="15">
      <c r="A1342" s="81" t="s">
        <v>3289</v>
      </c>
      <c r="B1342" s="80">
        <v>3</v>
      </c>
      <c r="C1342" s="105">
        <v>0</v>
      </c>
      <c r="D1342" s="80" t="s">
        <v>3207</v>
      </c>
      <c r="E1342" s="80" t="b">
        <v>0</v>
      </c>
      <c r="F1342" s="80" t="b">
        <v>1</v>
      </c>
      <c r="G1342" s="80" t="b">
        <v>0</v>
      </c>
    </row>
    <row r="1343" spans="1:7" ht="15">
      <c r="A1343" s="81" t="s">
        <v>3768</v>
      </c>
      <c r="B1343" s="80">
        <v>2</v>
      </c>
      <c r="C1343" s="105">
        <v>0</v>
      </c>
      <c r="D1343" s="80" t="s">
        <v>3207</v>
      </c>
      <c r="E1343" s="80" t="b">
        <v>0</v>
      </c>
      <c r="F1343" s="80" t="b">
        <v>0</v>
      </c>
      <c r="G1343" s="80" t="b">
        <v>0</v>
      </c>
    </row>
    <row r="1344" spans="1:7" ht="15">
      <c r="A1344" s="81" t="s">
        <v>3260</v>
      </c>
      <c r="B1344" s="80">
        <v>2</v>
      </c>
      <c r="C1344" s="105">
        <v>0</v>
      </c>
      <c r="D1344" s="80" t="s">
        <v>3207</v>
      </c>
      <c r="E1344" s="80" t="b">
        <v>0</v>
      </c>
      <c r="F1344" s="80" t="b">
        <v>0</v>
      </c>
      <c r="G1344" s="80" t="b">
        <v>0</v>
      </c>
    </row>
    <row r="1345" spans="1:7" ht="15">
      <c r="A1345" s="81" t="s">
        <v>3769</v>
      </c>
      <c r="B1345" s="80">
        <v>2</v>
      </c>
      <c r="C1345" s="105">
        <v>0.01308826068104266</v>
      </c>
      <c r="D1345" s="80" t="s">
        <v>3207</v>
      </c>
      <c r="E1345" s="80" t="b">
        <v>0</v>
      </c>
      <c r="F1345" s="80" t="b">
        <v>0</v>
      </c>
      <c r="G1345" s="80" t="b">
        <v>0</v>
      </c>
    </row>
    <row r="1346" spans="1:7" ht="15">
      <c r="A1346" s="81" t="s">
        <v>3262</v>
      </c>
      <c r="B1346" s="80">
        <v>6</v>
      </c>
      <c r="C1346" s="105">
        <v>0</v>
      </c>
      <c r="D1346" s="80" t="s">
        <v>3208</v>
      </c>
      <c r="E1346" s="80" t="b">
        <v>0</v>
      </c>
      <c r="F1346" s="80" t="b">
        <v>0</v>
      </c>
      <c r="G1346" s="80" t="b">
        <v>0</v>
      </c>
    </row>
    <row r="1347" spans="1:7" ht="15">
      <c r="A1347" s="81" t="s">
        <v>3771</v>
      </c>
      <c r="B1347" s="80">
        <v>2</v>
      </c>
      <c r="C1347" s="105">
        <v>0</v>
      </c>
      <c r="D1347" s="80" t="s">
        <v>3209</v>
      </c>
      <c r="E1347" s="80" t="b">
        <v>0</v>
      </c>
      <c r="F1347" s="80" t="b">
        <v>0</v>
      </c>
      <c r="G1347" s="80" t="b">
        <v>0</v>
      </c>
    </row>
    <row r="1348" spans="1:7" ht="15">
      <c r="A1348" s="81" t="s">
        <v>542</v>
      </c>
      <c r="B1348" s="80">
        <v>2</v>
      </c>
      <c r="C1348" s="105">
        <v>0</v>
      </c>
      <c r="D1348" s="80" t="s">
        <v>3209</v>
      </c>
      <c r="E1348" s="80" t="b">
        <v>0</v>
      </c>
      <c r="F1348" s="80" t="b">
        <v>0</v>
      </c>
      <c r="G1348" s="80" t="b">
        <v>0</v>
      </c>
    </row>
    <row r="1349" spans="1:7" ht="15">
      <c r="A1349" s="81" t="s">
        <v>3478</v>
      </c>
      <c r="B1349" s="80">
        <v>2</v>
      </c>
      <c r="C1349" s="105">
        <v>0</v>
      </c>
      <c r="D1349" s="80" t="s">
        <v>3209</v>
      </c>
      <c r="E1349" s="80" t="b">
        <v>0</v>
      </c>
      <c r="F1349" s="80" t="b">
        <v>0</v>
      </c>
      <c r="G1349" s="80" t="b">
        <v>0</v>
      </c>
    </row>
    <row r="1350" spans="1:7" ht="15">
      <c r="A1350" s="81" t="s">
        <v>3772</v>
      </c>
      <c r="B1350" s="80">
        <v>2</v>
      </c>
      <c r="C1350" s="105">
        <v>0</v>
      </c>
      <c r="D1350" s="80" t="s">
        <v>3209</v>
      </c>
      <c r="E1350" s="80" t="b">
        <v>0</v>
      </c>
      <c r="F1350" s="80" t="b">
        <v>0</v>
      </c>
      <c r="G1350" s="80" t="b">
        <v>0</v>
      </c>
    </row>
    <row r="1351" spans="1:7" ht="15">
      <c r="A1351" s="81" t="s">
        <v>462</v>
      </c>
      <c r="B1351" s="80">
        <v>2</v>
      </c>
      <c r="C1351" s="105">
        <v>0</v>
      </c>
      <c r="D1351" s="80" t="s">
        <v>3212</v>
      </c>
      <c r="E1351" s="80" t="b">
        <v>0</v>
      </c>
      <c r="F1351" s="80" t="b">
        <v>0</v>
      </c>
      <c r="G1351" s="80" t="b">
        <v>0</v>
      </c>
    </row>
    <row r="1352" spans="1:7" ht="15">
      <c r="A1352" s="81" t="s">
        <v>3260</v>
      </c>
      <c r="B1352" s="80">
        <v>2</v>
      </c>
      <c r="C1352" s="105">
        <v>0</v>
      </c>
      <c r="D1352" s="80" t="s">
        <v>3212</v>
      </c>
      <c r="E1352" s="80" t="b">
        <v>0</v>
      </c>
      <c r="F1352" s="80" t="b">
        <v>0</v>
      </c>
      <c r="G1352" s="80" t="b">
        <v>0</v>
      </c>
    </row>
    <row r="1353" spans="1:7" ht="15">
      <c r="A1353" s="81" t="s">
        <v>461</v>
      </c>
      <c r="B1353" s="80">
        <v>2</v>
      </c>
      <c r="C1353" s="105">
        <v>0</v>
      </c>
      <c r="D1353" s="80" t="s">
        <v>3213</v>
      </c>
      <c r="E1353" s="80" t="b">
        <v>0</v>
      </c>
      <c r="F1353" s="80" t="b">
        <v>0</v>
      </c>
      <c r="G1353" s="80" t="b">
        <v>0</v>
      </c>
    </row>
    <row r="1354" spans="1:7" ht="15">
      <c r="A1354" s="81" t="s">
        <v>3850</v>
      </c>
      <c r="B1354" s="80">
        <v>2</v>
      </c>
      <c r="C1354" s="105">
        <v>0</v>
      </c>
      <c r="D1354" s="80" t="s">
        <v>3213</v>
      </c>
      <c r="E1354" s="80" t="b">
        <v>0</v>
      </c>
      <c r="F1354" s="80" t="b">
        <v>0</v>
      </c>
      <c r="G1354" s="80" t="b">
        <v>0</v>
      </c>
    </row>
    <row r="1355" spans="1:7" ht="15">
      <c r="A1355" s="81" t="s">
        <v>3851</v>
      </c>
      <c r="B1355" s="80">
        <v>2</v>
      </c>
      <c r="C1355" s="105">
        <v>0</v>
      </c>
      <c r="D1355" s="80" t="s">
        <v>3213</v>
      </c>
      <c r="E1355" s="80" t="b">
        <v>0</v>
      </c>
      <c r="F1355" s="80" t="b">
        <v>0</v>
      </c>
      <c r="G1355" s="80" t="b">
        <v>0</v>
      </c>
    </row>
    <row r="1356" spans="1:7" ht="15">
      <c r="A1356" s="81" t="s">
        <v>3852</v>
      </c>
      <c r="B1356" s="80">
        <v>2</v>
      </c>
      <c r="C1356" s="105">
        <v>0</v>
      </c>
      <c r="D1356" s="80" t="s">
        <v>3213</v>
      </c>
      <c r="E1356" s="80" t="b">
        <v>0</v>
      </c>
      <c r="F1356" s="80" t="b">
        <v>0</v>
      </c>
      <c r="G1356" s="80" t="b">
        <v>0</v>
      </c>
    </row>
    <row r="1357" spans="1:7" ht="15">
      <c r="A1357" s="81" t="s">
        <v>3853</v>
      </c>
      <c r="B1357" s="80">
        <v>2</v>
      </c>
      <c r="C1357" s="105">
        <v>0</v>
      </c>
      <c r="D1357" s="80" t="s">
        <v>3213</v>
      </c>
      <c r="E1357" s="80" t="b">
        <v>0</v>
      </c>
      <c r="F1357" s="80" t="b">
        <v>0</v>
      </c>
      <c r="G1357" s="80" t="b">
        <v>0</v>
      </c>
    </row>
    <row r="1358" spans="1:7" ht="15">
      <c r="A1358" s="81" t="s">
        <v>3854</v>
      </c>
      <c r="B1358" s="80">
        <v>2</v>
      </c>
      <c r="C1358" s="105">
        <v>0</v>
      </c>
      <c r="D1358" s="80" t="s">
        <v>3213</v>
      </c>
      <c r="E1358" s="80" t="b">
        <v>0</v>
      </c>
      <c r="F1358" s="80" t="b">
        <v>0</v>
      </c>
      <c r="G1358" s="80" t="b">
        <v>0</v>
      </c>
    </row>
    <row r="1359" spans="1:7" ht="15">
      <c r="A1359" s="81" t="s">
        <v>3855</v>
      </c>
      <c r="B1359" s="80">
        <v>2</v>
      </c>
      <c r="C1359" s="105">
        <v>0</v>
      </c>
      <c r="D1359" s="80" t="s">
        <v>3213</v>
      </c>
      <c r="E1359" s="80" t="b">
        <v>0</v>
      </c>
      <c r="F1359" s="80" t="b">
        <v>0</v>
      </c>
      <c r="G1359" s="80" t="b">
        <v>0</v>
      </c>
    </row>
    <row r="1360" spans="1:7" ht="15">
      <c r="A1360" s="81" t="s">
        <v>3856</v>
      </c>
      <c r="B1360" s="80">
        <v>2</v>
      </c>
      <c r="C1360" s="105">
        <v>0</v>
      </c>
      <c r="D1360" s="80" t="s">
        <v>3213</v>
      </c>
      <c r="E1360" s="80" t="b">
        <v>0</v>
      </c>
      <c r="F1360" s="80" t="b">
        <v>0</v>
      </c>
      <c r="G1360" s="80" t="b">
        <v>0</v>
      </c>
    </row>
    <row r="1361" spans="1:7" ht="15">
      <c r="A1361" s="81" t="s">
        <v>3857</v>
      </c>
      <c r="B1361" s="80">
        <v>2</v>
      </c>
      <c r="C1361" s="105">
        <v>0</v>
      </c>
      <c r="D1361" s="80" t="s">
        <v>3213</v>
      </c>
      <c r="E1361" s="80" t="b">
        <v>0</v>
      </c>
      <c r="F1361" s="80" t="b">
        <v>0</v>
      </c>
      <c r="G1361" s="80" t="b">
        <v>0</v>
      </c>
    </row>
    <row r="1362" spans="1:7" ht="15">
      <c r="A1362" s="81" t="s">
        <v>3858</v>
      </c>
      <c r="B1362" s="80">
        <v>2</v>
      </c>
      <c r="C1362" s="105">
        <v>0</v>
      </c>
      <c r="D1362" s="80" t="s">
        <v>3213</v>
      </c>
      <c r="E1362" s="80" t="b">
        <v>0</v>
      </c>
      <c r="F1362" s="80" t="b">
        <v>0</v>
      </c>
      <c r="G1362" s="80" t="b">
        <v>0</v>
      </c>
    </row>
    <row r="1363" spans="1:7" ht="15">
      <c r="A1363" s="81" t="s">
        <v>3260</v>
      </c>
      <c r="B1363" s="80">
        <v>2</v>
      </c>
      <c r="C1363" s="105">
        <v>0</v>
      </c>
      <c r="D1363" s="80" t="s">
        <v>3213</v>
      </c>
      <c r="E1363" s="80" t="b">
        <v>0</v>
      </c>
      <c r="F1363" s="80" t="b">
        <v>0</v>
      </c>
      <c r="G1363" s="80" t="b">
        <v>0</v>
      </c>
    </row>
    <row r="1364" spans="1:7" ht="15">
      <c r="A1364" s="81" t="s">
        <v>3859</v>
      </c>
      <c r="B1364" s="80">
        <v>2</v>
      </c>
      <c r="C1364" s="105">
        <v>0</v>
      </c>
      <c r="D1364" s="80" t="s">
        <v>3213</v>
      </c>
      <c r="E1364" s="80" t="b">
        <v>0</v>
      </c>
      <c r="F1364" s="80" t="b">
        <v>0</v>
      </c>
      <c r="G1364" s="80" t="b">
        <v>0</v>
      </c>
    </row>
    <row r="1365" spans="1:7" ht="15">
      <c r="A1365" s="81" t="s">
        <v>3720</v>
      </c>
      <c r="B1365" s="80">
        <v>2</v>
      </c>
      <c r="C1365" s="105">
        <v>0</v>
      </c>
      <c r="D1365" s="80" t="s">
        <v>3215</v>
      </c>
      <c r="E1365" s="80" t="b">
        <v>0</v>
      </c>
      <c r="F1365" s="80" t="b">
        <v>0</v>
      </c>
      <c r="G1365" s="80" t="b">
        <v>0</v>
      </c>
    </row>
    <row r="1366" spans="1:7" ht="15">
      <c r="A1366" s="81" t="s">
        <v>3721</v>
      </c>
      <c r="B1366" s="80">
        <v>2</v>
      </c>
      <c r="C1366" s="105">
        <v>0</v>
      </c>
      <c r="D1366" s="80" t="s">
        <v>3215</v>
      </c>
      <c r="E1366" s="80" t="b">
        <v>0</v>
      </c>
      <c r="F1366" s="80" t="b">
        <v>0</v>
      </c>
      <c r="G1366" s="80" t="b">
        <v>0</v>
      </c>
    </row>
    <row r="1367" spans="1:7" ht="15">
      <c r="A1367" s="81" t="s">
        <v>3401</v>
      </c>
      <c r="B1367" s="80">
        <v>2</v>
      </c>
      <c r="C1367" s="105">
        <v>0</v>
      </c>
      <c r="D1367" s="80" t="s">
        <v>3216</v>
      </c>
      <c r="E1367" s="80" t="b">
        <v>1</v>
      </c>
      <c r="F1367" s="80" t="b">
        <v>0</v>
      </c>
      <c r="G1367" s="80" t="b">
        <v>0</v>
      </c>
    </row>
    <row r="1368" spans="1:7" ht="15">
      <c r="A1368" s="81" t="s">
        <v>3628</v>
      </c>
      <c r="B1368" s="80">
        <v>2</v>
      </c>
      <c r="C1368" s="105">
        <v>0</v>
      </c>
      <c r="D1368" s="80" t="s">
        <v>3216</v>
      </c>
      <c r="E1368" s="80" t="b">
        <v>1</v>
      </c>
      <c r="F1368" s="80" t="b">
        <v>0</v>
      </c>
      <c r="G1368" s="80" t="b">
        <v>0</v>
      </c>
    </row>
    <row r="1369" spans="1:7" ht="15">
      <c r="A1369" s="81" t="s">
        <v>3729</v>
      </c>
      <c r="B1369" s="80">
        <v>2</v>
      </c>
      <c r="C1369" s="105">
        <v>0</v>
      </c>
      <c r="D1369" s="80" t="s">
        <v>3216</v>
      </c>
      <c r="E1369" s="80" t="b">
        <v>0</v>
      </c>
      <c r="F1369" s="80" t="b">
        <v>0</v>
      </c>
      <c r="G1369" s="80" t="b">
        <v>0</v>
      </c>
    </row>
    <row r="1370" spans="1:7" ht="15">
      <c r="A1370" s="81" t="s">
        <v>3305</v>
      </c>
      <c r="B1370" s="80">
        <v>2</v>
      </c>
      <c r="C1370" s="105">
        <v>0</v>
      </c>
      <c r="D1370" s="80" t="s">
        <v>3216</v>
      </c>
      <c r="E1370" s="80" t="b">
        <v>0</v>
      </c>
      <c r="F1370" s="80" t="b">
        <v>0</v>
      </c>
      <c r="G1370" s="80" t="b">
        <v>0</v>
      </c>
    </row>
    <row r="1371" spans="1:7" ht="15">
      <c r="A1371" s="81" t="s">
        <v>3260</v>
      </c>
      <c r="B1371" s="80">
        <v>2</v>
      </c>
      <c r="C1371" s="105">
        <v>0</v>
      </c>
      <c r="D1371" s="80" t="s">
        <v>3216</v>
      </c>
      <c r="E1371" s="80" t="b">
        <v>0</v>
      </c>
      <c r="F1371" s="80" t="b">
        <v>0</v>
      </c>
      <c r="G1371" s="80" t="b">
        <v>0</v>
      </c>
    </row>
    <row r="1372" spans="1:7" ht="15">
      <c r="A1372" s="81" t="s">
        <v>3730</v>
      </c>
      <c r="B1372" s="80">
        <v>2</v>
      </c>
      <c r="C1372" s="105">
        <v>0</v>
      </c>
      <c r="D1372" s="80" t="s">
        <v>3216</v>
      </c>
      <c r="E1372" s="80" t="b">
        <v>0</v>
      </c>
      <c r="F1372" s="80" t="b">
        <v>0</v>
      </c>
      <c r="G1372" s="80" t="b">
        <v>0</v>
      </c>
    </row>
    <row r="1373" spans="1:7" ht="15">
      <c r="A1373" s="81" t="s">
        <v>3731</v>
      </c>
      <c r="B1373" s="80">
        <v>2</v>
      </c>
      <c r="C1373" s="105">
        <v>0</v>
      </c>
      <c r="D1373" s="80" t="s">
        <v>3216</v>
      </c>
      <c r="E1373" s="80" t="b">
        <v>0</v>
      </c>
      <c r="F1373" s="80" t="b">
        <v>0</v>
      </c>
      <c r="G1373" s="80" t="b">
        <v>0</v>
      </c>
    </row>
    <row r="1374" spans="1:7" ht="15">
      <c r="A1374" s="81" t="s">
        <v>3739</v>
      </c>
      <c r="B1374" s="80">
        <v>2</v>
      </c>
      <c r="C1374" s="105">
        <v>0</v>
      </c>
      <c r="D1374" s="80" t="s">
        <v>3218</v>
      </c>
      <c r="E1374" s="80" t="b">
        <v>0</v>
      </c>
      <c r="F1374" s="80" t="b">
        <v>0</v>
      </c>
      <c r="G1374" s="80" t="b">
        <v>0</v>
      </c>
    </row>
    <row r="1375" spans="1:7" ht="15">
      <c r="A1375" s="81" t="s">
        <v>3740</v>
      </c>
      <c r="B1375" s="80">
        <v>2</v>
      </c>
      <c r="C1375" s="105">
        <v>0</v>
      </c>
      <c r="D1375" s="80" t="s">
        <v>3218</v>
      </c>
      <c r="E1375" s="80" t="b">
        <v>0</v>
      </c>
      <c r="F1375" s="80" t="b">
        <v>0</v>
      </c>
      <c r="G1375" s="80" t="b">
        <v>0</v>
      </c>
    </row>
    <row r="1376" spans="1:7" ht="15">
      <c r="A1376" s="81" t="s">
        <v>3741</v>
      </c>
      <c r="B1376" s="80">
        <v>2</v>
      </c>
      <c r="C1376" s="105">
        <v>0</v>
      </c>
      <c r="D1376" s="80" t="s">
        <v>3218</v>
      </c>
      <c r="E1376" s="80" t="b">
        <v>0</v>
      </c>
      <c r="F1376" s="80" t="b">
        <v>0</v>
      </c>
      <c r="G1376" s="80" t="b">
        <v>0</v>
      </c>
    </row>
    <row r="1377" spans="1:7" ht="15">
      <c r="A1377" s="81" t="s">
        <v>3742</v>
      </c>
      <c r="B1377" s="80">
        <v>2</v>
      </c>
      <c r="C1377" s="105">
        <v>0</v>
      </c>
      <c r="D1377" s="80" t="s">
        <v>3218</v>
      </c>
      <c r="E1377" s="80" t="b">
        <v>0</v>
      </c>
      <c r="F1377" s="80" t="b">
        <v>0</v>
      </c>
      <c r="G1377" s="80" t="b">
        <v>0</v>
      </c>
    </row>
    <row r="1378" spans="1:7" ht="15">
      <c r="A1378" s="81" t="s">
        <v>1783</v>
      </c>
      <c r="B1378" s="80">
        <v>2</v>
      </c>
      <c r="C1378" s="105">
        <v>0</v>
      </c>
      <c r="D1378" s="80" t="s">
        <v>3218</v>
      </c>
      <c r="E1378" s="80" t="b">
        <v>0</v>
      </c>
      <c r="F1378" s="80" t="b">
        <v>0</v>
      </c>
      <c r="G1378" s="80" t="b">
        <v>0</v>
      </c>
    </row>
    <row r="1379" spans="1:7" ht="15">
      <c r="A1379" s="81" t="s">
        <v>3743</v>
      </c>
      <c r="B1379" s="80">
        <v>2</v>
      </c>
      <c r="C1379" s="105">
        <v>0</v>
      </c>
      <c r="D1379" s="80" t="s">
        <v>3218</v>
      </c>
      <c r="E1379" s="80" t="b">
        <v>0</v>
      </c>
      <c r="F1379" s="80" t="b">
        <v>0</v>
      </c>
      <c r="G1379" s="80" t="b">
        <v>0</v>
      </c>
    </row>
    <row r="1380" spans="1:7" ht="15">
      <c r="A1380" s="81" t="s">
        <v>3744</v>
      </c>
      <c r="B1380" s="80">
        <v>2</v>
      </c>
      <c r="C1380" s="105">
        <v>0</v>
      </c>
      <c r="D1380" s="80" t="s">
        <v>3218</v>
      </c>
      <c r="E1380" s="80" t="b">
        <v>0</v>
      </c>
      <c r="F1380" s="80" t="b">
        <v>0</v>
      </c>
      <c r="G1380" s="80" t="b">
        <v>0</v>
      </c>
    </row>
    <row r="1381" spans="1:7" ht="15">
      <c r="A1381" s="81" t="s">
        <v>3745</v>
      </c>
      <c r="B1381" s="80">
        <v>2</v>
      </c>
      <c r="C1381" s="105">
        <v>0</v>
      </c>
      <c r="D1381" s="80" t="s">
        <v>3218</v>
      </c>
      <c r="E1381" s="80" t="b">
        <v>0</v>
      </c>
      <c r="F1381" s="80" t="b">
        <v>0</v>
      </c>
      <c r="G1381" s="80" t="b">
        <v>0</v>
      </c>
    </row>
    <row r="1382" spans="1:7" ht="15">
      <c r="A1382" s="81" t="s">
        <v>3746</v>
      </c>
      <c r="B1382" s="80">
        <v>2</v>
      </c>
      <c r="C1382" s="105">
        <v>0</v>
      </c>
      <c r="D1382" s="80" t="s">
        <v>3218</v>
      </c>
      <c r="E1382" s="80" t="b">
        <v>0</v>
      </c>
      <c r="F1382" s="80" t="b">
        <v>0</v>
      </c>
      <c r="G1382" s="80" t="b">
        <v>0</v>
      </c>
    </row>
    <row r="1383" spans="1:7" ht="15">
      <c r="A1383" s="81" t="s">
        <v>3310</v>
      </c>
      <c r="B1383" s="80">
        <v>2</v>
      </c>
      <c r="C1383" s="105">
        <v>0</v>
      </c>
      <c r="D1383" s="80" t="s">
        <v>3218</v>
      </c>
      <c r="E1383" s="80" t="b">
        <v>0</v>
      </c>
      <c r="F1383" s="80" t="b">
        <v>0</v>
      </c>
      <c r="G1383" s="80" t="b">
        <v>0</v>
      </c>
    </row>
    <row r="1384" spans="1:7" ht="15">
      <c r="A1384" s="81" t="s">
        <v>3747</v>
      </c>
      <c r="B1384" s="80">
        <v>2</v>
      </c>
      <c r="C1384" s="105">
        <v>0</v>
      </c>
      <c r="D1384" s="80" t="s">
        <v>3218</v>
      </c>
      <c r="E1384" s="80" t="b">
        <v>0</v>
      </c>
      <c r="F1384" s="80" t="b">
        <v>0</v>
      </c>
      <c r="G1384" s="80" t="b">
        <v>0</v>
      </c>
    </row>
    <row r="1385" spans="1:7" ht="15">
      <c r="A1385" s="81" t="s">
        <v>3748</v>
      </c>
      <c r="B1385" s="80">
        <v>2</v>
      </c>
      <c r="C1385" s="105">
        <v>0</v>
      </c>
      <c r="D1385" s="80" t="s">
        <v>3218</v>
      </c>
      <c r="E1385" s="80" t="b">
        <v>0</v>
      </c>
      <c r="F1385" s="80" t="b">
        <v>0</v>
      </c>
      <c r="G1385" s="80" t="b">
        <v>0</v>
      </c>
    </row>
    <row r="1386" spans="1:7" ht="15">
      <c r="A1386" s="81" t="s">
        <v>3749</v>
      </c>
      <c r="B1386" s="80">
        <v>2</v>
      </c>
      <c r="C1386" s="105">
        <v>0</v>
      </c>
      <c r="D1386" s="80" t="s">
        <v>3218</v>
      </c>
      <c r="E1386" s="80" t="b">
        <v>0</v>
      </c>
      <c r="F1386" s="80" t="b">
        <v>0</v>
      </c>
      <c r="G1386" s="80" t="b">
        <v>0</v>
      </c>
    </row>
    <row r="1387" spans="1:7" ht="15">
      <c r="A1387" s="81" t="s">
        <v>3750</v>
      </c>
      <c r="B1387" s="80">
        <v>2</v>
      </c>
      <c r="C1387" s="105">
        <v>0</v>
      </c>
      <c r="D1387" s="80" t="s">
        <v>3218</v>
      </c>
      <c r="E1387" s="80" t="b">
        <v>0</v>
      </c>
      <c r="F1387" s="80" t="b">
        <v>0</v>
      </c>
      <c r="G1387" s="80" t="b">
        <v>0</v>
      </c>
    </row>
    <row r="1388" spans="1:7" ht="15">
      <c r="A1388" s="81" t="s">
        <v>3260</v>
      </c>
      <c r="B1388" s="80">
        <v>2</v>
      </c>
      <c r="C1388" s="105">
        <v>0</v>
      </c>
      <c r="D1388" s="80" t="s">
        <v>3218</v>
      </c>
      <c r="E1388" s="80" t="b">
        <v>0</v>
      </c>
      <c r="F1388" s="80" t="b">
        <v>0</v>
      </c>
      <c r="G1388" s="80" t="b">
        <v>0</v>
      </c>
    </row>
    <row r="1389" spans="1:7" ht="15">
      <c r="A1389" s="81" t="s">
        <v>3262</v>
      </c>
      <c r="B1389" s="80">
        <v>12</v>
      </c>
      <c r="C1389" s="105">
        <v>0</v>
      </c>
      <c r="D1389" s="80" t="s">
        <v>3223</v>
      </c>
      <c r="E1389" s="80" t="b">
        <v>0</v>
      </c>
      <c r="F1389" s="80" t="b">
        <v>0</v>
      </c>
      <c r="G1389" s="80" t="b">
        <v>0</v>
      </c>
    </row>
    <row r="1390" spans="1:7" ht="15">
      <c r="A1390" s="81" t="s">
        <v>3495</v>
      </c>
      <c r="B1390" s="80">
        <v>4</v>
      </c>
      <c r="C1390" s="105">
        <v>0</v>
      </c>
      <c r="D1390" s="80" t="s">
        <v>3223</v>
      </c>
      <c r="E1390" s="80" t="b">
        <v>0</v>
      </c>
      <c r="F1390" s="80" t="b">
        <v>0</v>
      </c>
      <c r="G1390" s="80" t="b">
        <v>0</v>
      </c>
    </row>
    <row r="1391" spans="1:7" ht="15">
      <c r="A1391" s="81" t="s">
        <v>3794</v>
      </c>
      <c r="B1391" s="80">
        <v>2</v>
      </c>
      <c r="C1391" s="105">
        <v>0</v>
      </c>
      <c r="D1391" s="80" t="s">
        <v>3223</v>
      </c>
      <c r="E1391" s="80" t="b">
        <v>0</v>
      </c>
      <c r="F1391" s="80" t="b">
        <v>0</v>
      </c>
      <c r="G1391" s="80" t="b">
        <v>0</v>
      </c>
    </row>
    <row r="1392" spans="1:7" ht="15">
      <c r="A1392" s="81" t="s">
        <v>3795</v>
      </c>
      <c r="B1392" s="80">
        <v>2</v>
      </c>
      <c r="C1392" s="105">
        <v>0</v>
      </c>
      <c r="D1392" s="80" t="s">
        <v>3223</v>
      </c>
      <c r="E1392" s="80" t="b">
        <v>0</v>
      </c>
      <c r="F1392" s="80" t="b">
        <v>0</v>
      </c>
      <c r="G1392" s="80" t="b">
        <v>0</v>
      </c>
    </row>
    <row r="1393" spans="1:7" ht="15">
      <c r="A1393" s="81" t="s">
        <v>3796</v>
      </c>
      <c r="B1393" s="80">
        <v>2</v>
      </c>
      <c r="C1393" s="105">
        <v>0</v>
      </c>
      <c r="D1393" s="80" t="s">
        <v>3223</v>
      </c>
      <c r="E1393" s="80" t="b">
        <v>0</v>
      </c>
      <c r="F1393" s="80" t="b">
        <v>0</v>
      </c>
      <c r="G1393" s="80" t="b">
        <v>0</v>
      </c>
    </row>
    <row r="1394" spans="1:7" ht="15">
      <c r="A1394" s="81" t="s">
        <v>3362</v>
      </c>
      <c r="B1394" s="80">
        <v>2</v>
      </c>
      <c r="C1394" s="105">
        <v>0</v>
      </c>
      <c r="D1394" s="80" t="s">
        <v>3223</v>
      </c>
      <c r="E1394" s="80" t="b">
        <v>0</v>
      </c>
      <c r="F1394" s="80" t="b">
        <v>0</v>
      </c>
      <c r="G1394" s="80" t="b">
        <v>0</v>
      </c>
    </row>
    <row r="1395" spans="1:7" ht="15">
      <c r="A1395" s="81" t="s">
        <v>3363</v>
      </c>
      <c r="B1395" s="80">
        <v>2</v>
      </c>
      <c r="C1395" s="105">
        <v>0</v>
      </c>
      <c r="D1395" s="80" t="s">
        <v>3223</v>
      </c>
      <c r="E1395" s="80" t="b">
        <v>0</v>
      </c>
      <c r="F1395" s="80" t="b">
        <v>0</v>
      </c>
      <c r="G1395" s="80" t="b">
        <v>0</v>
      </c>
    </row>
    <row r="1396" spans="1:7" ht="15">
      <c r="A1396" s="81" t="s">
        <v>3797</v>
      </c>
      <c r="B1396" s="80">
        <v>2</v>
      </c>
      <c r="C1396" s="105">
        <v>0</v>
      </c>
      <c r="D1396" s="80" t="s">
        <v>3223</v>
      </c>
      <c r="E1396" s="80" t="b">
        <v>0</v>
      </c>
      <c r="F1396" s="80" t="b">
        <v>0</v>
      </c>
      <c r="G1396" s="80" t="b">
        <v>0</v>
      </c>
    </row>
    <row r="1397" spans="1:7" ht="15">
      <c r="A1397" s="81" t="s">
        <v>3798</v>
      </c>
      <c r="B1397" s="80">
        <v>2</v>
      </c>
      <c r="C1397" s="105">
        <v>0</v>
      </c>
      <c r="D1397" s="80" t="s">
        <v>3223</v>
      </c>
      <c r="E1397" s="80" t="b">
        <v>0</v>
      </c>
      <c r="F1397" s="80" t="b">
        <v>0</v>
      </c>
      <c r="G1397" s="80" t="b">
        <v>0</v>
      </c>
    </row>
    <row r="1398" spans="1:7" ht="15">
      <c r="A1398" s="81" t="s">
        <v>3322</v>
      </c>
      <c r="B1398" s="80">
        <v>2</v>
      </c>
      <c r="C1398" s="105">
        <v>0</v>
      </c>
      <c r="D1398" s="80" t="s">
        <v>3223</v>
      </c>
      <c r="E1398" s="80" t="b">
        <v>0</v>
      </c>
      <c r="F1398" s="80" t="b">
        <v>0</v>
      </c>
      <c r="G1398" s="80" t="b">
        <v>0</v>
      </c>
    </row>
    <row r="1399" spans="1:7" ht="15">
      <c r="A1399" s="81" t="s">
        <v>795</v>
      </c>
      <c r="B1399" s="80">
        <v>2</v>
      </c>
      <c r="C1399" s="105">
        <v>0</v>
      </c>
      <c r="D1399" s="80" t="s">
        <v>3223</v>
      </c>
      <c r="E1399" s="80" t="b">
        <v>0</v>
      </c>
      <c r="F1399" s="80" t="b">
        <v>0</v>
      </c>
      <c r="G1399" s="80" t="b">
        <v>0</v>
      </c>
    </row>
    <row r="1400" spans="1:7" ht="15">
      <c r="A1400" s="81" t="s">
        <v>3320</v>
      </c>
      <c r="B1400" s="80">
        <v>2</v>
      </c>
      <c r="C1400" s="105">
        <v>0</v>
      </c>
      <c r="D1400" s="80" t="s">
        <v>3223</v>
      </c>
      <c r="E1400" s="80" t="b">
        <v>0</v>
      </c>
      <c r="F1400" s="80" t="b">
        <v>0</v>
      </c>
      <c r="G1400" s="80" t="b">
        <v>0</v>
      </c>
    </row>
    <row r="1401" spans="1:7" ht="15">
      <c r="A1401" s="81" t="s">
        <v>3323</v>
      </c>
      <c r="B1401" s="80">
        <v>2</v>
      </c>
      <c r="C1401" s="105">
        <v>0</v>
      </c>
      <c r="D1401" s="80" t="s">
        <v>3223</v>
      </c>
      <c r="E1401" s="80" t="b">
        <v>0</v>
      </c>
      <c r="F1401" s="80" t="b">
        <v>0</v>
      </c>
      <c r="G1401" s="80" t="b">
        <v>0</v>
      </c>
    </row>
    <row r="1402" spans="1:7" ht="15">
      <c r="A1402" s="81" t="s">
        <v>3358</v>
      </c>
      <c r="B1402" s="80">
        <v>2</v>
      </c>
      <c r="C1402" s="105">
        <v>0</v>
      </c>
      <c r="D1402" s="80" t="s">
        <v>3223</v>
      </c>
      <c r="E1402" s="80" t="b">
        <v>0</v>
      </c>
      <c r="F1402" s="80" t="b">
        <v>0</v>
      </c>
      <c r="G1402" s="80" t="b">
        <v>0</v>
      </c>
    </row>
    <row r="1403" spans="1:7" ht="15">
      <c r="A1403" s="81" t="s">
        <v>3359</v>
      </c>
      <c r="B1403" s="80">
        <v>2</v>
      </c>
      <c r="C1403" s="105">
        <v>0</v>
      </c>
      <c r="D1403" s="80" t="s">
        <v>3223</v>
      </c>
      <c r="E1403" s="80" t="b">
        <v>0</v>
      </c>
      <c r="F1403" s="80" t="b">
        <v>0</v>
      </c>
      <c r="G1403" s="80" t="b">
        <v>0</v>
      </c>
    </row>
    <row r="1404" spans="1:7" ht="15">
      <c r="A1404" s="81" t="s">
        <v>3799</v>
      </c>
      <c r="B1404" s="80">
        <v>2</v>
      </c>
      <c r="C1404" s="105">
        <v>0</v>
      </c>
      <c r="D1404" s="80" t="s">
        <v>3223</v>
      </c>
      <c r="E1404" s="80" t="b">
        <v>0</v>
      </c>
      <c r="F1404" s="80" t="b">
        <v>0</v>
      </c>
      <c r="G1404" s="80" t="b">
        <v>0</v>
      </c>
    </row>
    <row r="1405" spans="1:7" ht="15">
      <c r="A1405" s="81" t="s">
        <v>3800</v>
      </c>
      <c r="B1405" s="80">
        <v>2</v>
      </c>
      <c r="C1405" s="105">
        <v>0</v>
      </c>
      <c r="D1405" s="80" t="s">
        <v>3223</v>
      </c>
      <c r="E1405" s="80" t="b">
        <v>0</v>
      </c>
      <c r="F1405" s="80" t="b">
        <v>0</v>
      </c>
      <c r="G1405" s="80" t="b">
        <v>0</v>
      </c>
    </row>
    <row r="1406" spans="1:7" ht="15">
      <c r="A1406" s="81" t="s">
        <v>3801</v>
      </c>
      <c r="B1406" s="80">
        <v>2</v>
      </c>
      <c r="C1406" s="105">
        <v>0</v>
      </c>
      <c r="D1406" s="80" t="s">
        <v>3223</v>
      </c>
      <c r="E1406" s="80" t="b">
        <v>0</v>
      </c>
      <c r="F1406" s="80" t="b">
        <v>0</v>
      </c>
      <c r="G1406" s="80" t="b">
        <v>0</v>
      </c>
    </row>
    <row r="1407" spans="1:7" ht="15">
      <c r="A1407" s="81" t="s">
        <v>3386</v>
      </c>
      <c r="B1407" s="80">
        <v>2</v>
      </c>
      <c r="C1407" s="105">
        <v>0</v>
      </c>
      <c r="D1407" s="80" t="s">
        <v>3223</v>
      </c>
      <c r="E1407" s="80" t="b">
        <v>0</v>
      </c>
      <c r="F1407" s="80" t="b">
        <v>0</v>
      </c>
      <c r="G1407" s="80" t="b">
        <v>0</v>
      </c>
    </row>
    <row r="1408" spans="1:7" ht="15">
      <c r="A1408" s="81" t="s">
        <v>3802</v>
      </c>
      <c r="B1408" s="80">
        <v>2</v>
      </c>
      <c r="C1408" s="105">
        <v>0</v>
      </c>
      <c r="D1408" s="80" t="s">
        <v>3223</v>
      </c>
      <c r="E1408" s="80" t="b">
        <v>0</v>
      </c>
      <c r="F1408" s="80" t="b">
        <v>0</v>
      </c>
      <c r="G1408" s="80" t="b">
        <v>0</v>
      </c>
    </row>
    <row r="1409" spans="1:7" ht="15">
      <c r="A1409" s="81" t="s">
        <v>3803</v>
      </c>
      <c r="B1409" s="80">
        <v>2</v>
      </c>
      <c r="C1409" s="105">
        <v>0</v>
      </c>
      <c r="D1409" s="80" t="s">
        <v>3223</v>
      </c>
      <c r="E1409" s="80" t="b">
        <v>0</v>
      </c>
      <c r="F1409" s="80" t="b">
        <v>0</v>
      </c>
      <c r="G1409" s="80" t="b">
        <v>0</v>
      </c>
    </row>
    <row r="1410" spans="1:7" ht="15">
      <c r="A1410" s="81" t="s">
        <v>3804</v>
      </c>
      <c r="B1410" s="80">
        <v>2</v>
      </c>
      <c r="C1410" s="105">
        <v>0</v>
      </c>
      <c r="D1410" s="80" t="s">
        <v>3223</v>
      </c>
      <c r="E1410" s="80" t="b">
        <v>0</v>
      </c>
      <c r="F1410" s="80" t="b">
        <v>0</v>
      </c>
      <c r="G1410" s="80" t="b">
        <v>0</v>
      </c>
    </row>
    <row r="1411" spans="1:7" ht="15">
      <c r="A1411" s="81" t="s">
        <v>3805</v>
      </c>
      <c r="B1411" s="80">
        <v>2</v>
      </c>
      <c r="C1411" s="105">
        <v>0</v>
      </c>
      <c r="D1411" s="80" t="s">
        <v>3223</v>
      </c>
      <c r="E1411" s="80" t="b">
        <v>0</v>
      </c>
      <c r="F1411" s="80" t="b">
        <v>0</v>
      </c>
      <c r="G1411" s="80" t="b">
        <v>0</v>
      </c>
    </row>
    <row r="1412" spans="1:7" ht="15">
      <c r="A1412" s="81" t="s">
        <v>3806</v>
      </c>
      <c r="B1412" s="80">
        <v>2</v>
      </c>
      <c r="C1412" s="105">
        <v>0</v>
      </c>
      <c r="D1412" s="80" t="s">
        <v>3223</v>
      </c>
      <c r="E1412" s="80" t="b">
        <v>0</v>
      </c>
      <c r="F1412" s="80" t="b">
        <v>0</v>
      </c>
      <c r="G1412" s="80" t="b">
        <v>0</v>
      </c>
    </row>
    <row r="1413" spans="1:7" ht="15">
      <c r="A1413" s="81" t="s">
        <v>3290</v>
      </c>
      <c r="B1413" s="80">
        <v>3</v>
      </c>
      <c r="C1413" s="105">
        <v>0</v>
      </c>
      <c r="D1413" s="80" t="s">
        <v>3226</v>
      </c>
      <c r="E1413" s="80" t="b">
        <v>0</v>
      </c>
      <c r="F1413" s="80" t="b">
        <v>0</v>
      </c>
      <c r="G1413" s="80" t="b">
        <v>0</v>
      </c>
    </row>
    <row r="1414" spans="1:7" ht="15">
      <c r="A1414" s="81" t="s">
        <v>3262</v>
      </c>
      <c r="B1414" s="80">
        <v>4</v>
      </c>
      <c r="C1414" s="105">
        <v>0</v>
      </c>
      <c r="D1414" s="80" t="s">
        <v>3227</v>
      </c>
      <c r="E1414" s="80" t="b">
        <v>0</v>
      </c>
      <c r="F1414" s="80" t="b">
        <v>0</v>
      </c>
      <c r="G1414" s="80" t="b">
        <v>0</v>
      </c>
    </row>
    <row r="1415" spans="1:7" ht="15">
      <c r="A1415" s="81" t="s">
        <v>3835</v>
      </c>
      <c r="B1415" s="80">
        <v>2</v>
      </c>
      <c r="C1415" s="105">
        <v>0</v>
      </c>
      <c r="D1415" s="80" t="s">
        <v>3227</v>
      </c>
      <c r="E1415" s="80" t="b">
        <v>0</v>
      </c>
      <c r="F1415" s="80" t="b">
        <v>0</v>
      </c>
      <c r="G1415" s="80" t="b">
        <v>0</v>
      </c>
    </row>
    <row r="1416" spans="1:7" ht="15">
      <c r="A1416" s="81" t="s">
        <v>3844</v>
      </c>
      <c r="B1416" s="80">
        <v>2</v>
      </c>
      <c r="C1416" s="105">
        <v>0</v>
      </c>
      <c r="D1416" s="80" t="s">
        <v>3230</v>
      </c>
      <c r="E1416" s="80" t="b">
        <v>0</v>
      </c>
      <c r="F1416" s="80" t="b">
        <v>0</v>
      </c>
      <c r="G1416" s="80" t="b">
        <v>0</v>
      </c>
    </row>
    <row r="1417" spans="1:7" ht="15">
      <c r="A1417" s="81" t="s">
        <v>3845</v>
      </c>
      <c r="B1417" s="80">
        <v>2</v>
      </c>
      <c r="C1417" s="105">
        <v>0</v>
      </c>
      <c r="D1417" s="80" t="s">
        <v>3230</v>
      </c>
      <c r="E1417" s="80" t="b">
        <v>0</v>
      </c>
      <c r="F1417" s="80" t="b">
        <v>0</v>
      </c>
      <c r="G1417" s="80" t="b">
        <v>0</v>
      </c>
    </row>
    <row r="1418" spans="1:7" ht="15">
      <c r="A1418" s="81" t="s">
        <v>3846</v>
      </c>
      <c r="B1418" s="80">
        <v>2</v>
      </c>
      <c r="C1418" s="105">
        <v>0</v>
      </c>
      <c r="D1418" s="80" t="s">
        <v>3230</v>
      </c>
      <c r="E1418" s="80" t="b">
        <v>0</v>
      </c>
      <c r="F1418" s="80" t="b">
        <v>0</v>
      </c>
      <c r="G1418" s="80" t="b">
        <v>0</v>
      </c>
    </row>
    <row r="1419" spans="1:7" ht="15">
      <c r="A1419" s="81" t="s">
        <v>3847</v>
      </c>
      <c r="B1419" s="80">
        <v>2</v>
      </c>
      <c r="C1419" s="105">
        <v>0</v>
      </c>
      <c r="D1419" s="80" t="s">
        <v>3230</v>
      </c>
      <c r="E1419" s="80" t="b">
        <v>0</v>
      </c>
      <c r="F1419" s="80" t="b">
        <v>0</v>
      </c>
      <c r="G1419" s="80" t="b">
        <v>0</v>
      </c>
    </row>
    <row r="1420" spans="1:7" ht="15">
      <c r="A1420" s="81" t="s">
        <v>3848</v>
      </c>
      <c r="B1420" s="80">
        <v>2</v>
      </c>
      <c r="C1420" s="105">
        <v>0</v>
      </c>
      <c r="D1420" s="80" t="s">
        <v>3230</v>
      </c>
      <c r="E1420" s="80" t="b">
        <v>0</v>
      </c>
      <c r="F1420" s="80" t="b">
        <v>0</v>
      </c>
      <c r="G1420" s="80" t="b">
        <v>0</v>
      </c>
    </row>
    <row r="1421" spans="1:7" ht="15">
      <c r="A1421" s="81" t="s">
        <v>3260</v>
      </c>
      <c r="B1421" s="80">
        <v>2</v>
      </c>
      <c r="C1421" s="105">
        <v>0</v>
      </c>
      <c r="D1421" s="80" t="s">
        <v>3230</v>
      </c>
      <c r="E1421" s="80" t="b">
        <v>0</v>
      </c>
      <c r="F1421" s="80" t="b">
        <v>0</v>
      </c>
      <c r="G1421" s="80" t="b">
        <v>0</v>
      </c>
    </row>
    <row r="1422" spans="1:7" ht="15">
      <c r="A1422" s="81" t="s">
        <v>3849</v>
      </c>
      <c r="B1422" s="80">
        <v>2</v>
      </c>
      <c r="C1422" s="105">
        <v>0</v>
      </c>
      <c r="D1422" s="80" t="s">
        <v>3230</v>
      </c>
      <c r="E1422" s="80" t="b">
        <v>0</v>
      </c>
      <c r="F1422" s="80" t="b">
        <v>0</v>
      </c>
      <c r="G1422" s="80" t="b">
        <v>0</v>
      </c>
    </row>
    <row r="1423" spans="1:7" ht="15">
      <c r="A1423" s="81" t="s">
        <v>3262</v>
      </c>
      <c r="B1423" s="80">
        <v>3</v>
      </c>
      <c r="C1423" s="105">
        <v>0</v>
      </c>
      <c r="D1423" s="80" t="s">
        <v>3232</v>
      </c>
      <c r="E1423" s="80" t="b">
        <v>0</v>
      </c>
      <c r="F1423" s="80" t="b">
        <v>0</v>
      </c>
      <c r="G1423" s="80" t="b">
        <v>0</v>
      </c>
    </row>
    <row r="1424" spans="1:7" ht="15">
      <c r="A1424" s="81" t="s">
        <v>3260</v>
      </c>
      <c r="B1424" s="80">
        <v>9</v>
      </c>
      <c r="C1424" s="105">
        <v>0</v>
      </c>
      <c r="D1424" s="80" t="s">
        <v>3234</v>
      </c>
      <c r="E1424" s="80" t="b">
        <v>0</v>
      </c>
      <c r="F1424" s="80" t="b">
        <v>0</v>
      </c>
      <c r="G1424" s="80" t="b">
        <v>0</v>
      </c>
    </row>
    <row r="1425" spans="1:7" ht="15">
      <c r="A1425" s="81" t="s">
        <v>3375</v>
      </c>
      <c r="B1425" s="80">
        <v>3</v>
      </c>
      <c r="C1425" s="105">
        <v>0.00894602352599367</v>
      </c>
      <c r="D1425" s="80" t="s">
        <v>3234</v>
      </c>
      <c r="E1425" s="80" t="b">
        <v>0</v>
      </c>
      <c r="F1425" s="80" t="b">
        <v>0</v>
      </c>
      <c r="G1425" s="80" t="b">
        <v>0</v>
      </c>
    </row>
    <row r="1426" spans="1:7" ht="15">
      <c r="A1426" s="81" t="s">
        <v>3317</v>
      </c>
      <c r="B1426" s="80">
        <v>3</v>
      </c>
      <c r="C1426" s="105">
        <v>0.012247734633287695</v>
      </c>
      <c r="D1426" s="80" t="s">
        <v>3234</v>
      </c>
      <c r="E1426" s="80" t="b">
        <v>0</v>
      </c>
      <c r="F1426" s="80" t="b">
        <v>0</v>
      </c>
      <c r="G1426" s="80" t="b">
        <v>0</v>
      </c>
    </row>
    <row r="1427" spans="1:7" ht="15">
      <c r="A1427" s="81" t="s">
        <v>3879</v>
      </c>
      <c r="B1427" s="80">
        <v>2</v>
      </c>
      <c r="C1427" s="105">
        <v>0.008165156422191797</v>
      </c>
      <c r="D1427" s="80" t="s">
        <v>3234</v>
      </c>
      <c r="E1427" s="80" t="b">
        <v>0</v>
      </c>
      <c r="F1427" s="80" t="b">
        <v>1</v>
      </c>
      <c r="G1427" s="80" t="b">
        <v>0</v>
      </c>
    </row>
    <row r="1428" spans="1:7" ht="15">
      <c r="A1428" s="81" t="s">
        <v>3880</v>
      </c>
      <c r="B1428" s="80">
        <v>2</v>
      </c>
      <c r="C1428" s="105">
        <v>0.008165156422191797</v>
      </c>
      <c r="D1428" s="80" t="s">
        <v>3234</v>
      </c>
      <c r="E1428" s="80" t="b">
        <v>0</v>
      </c>
      <c r="F1428" s="80" t="b">
        <v>0</v>
      </c>
      <c r="G1428" s="80" t="b">
        <v>0</v>
      </c>
    </row>
    <row r="1429" spans="1:7" ht="15">
      <c r="A1429" s="81" t="s">
        <v>3261</v>
      </c>
      <c r="B1429" s="80">
        <v>2</v>
      </c>
      <c r="C1429" s="105">
        <v>0.008165156422191797</v>
      </c>
      <c r="D1429" s="80" t="s">
        <v>3234</v>
      </c>
      <c r="E1429" s="80" t="b">
        <v>0</v>
      </c>
      <c r="F1429" s="80" t="b">
        <v>0</v>
      </c>
      <c r="G1429" s="80" t="b">
        <v>0</v>
      </c>
    </row>
    <row r="1430" spans="1:7" ht="15">
      <c r="A1430" s="81" t="s">
        <v>3890</v>
      </c>
      <c r="B1430" s="80">
        <v>2</v>
      </c>
      <c r="C1430" s="105">
        <v>0.011928031367991561</v>
      </c>
      <c r="D1430" s="80" t="s">
        <v>3234</v>
      </c>
      <c r="E1430" s="80" t="b">
        <v>0</v>
      </c>
      <c r="F1430" s="80" t="b">
        <v>0</v>
      </c>
      <c r="G1430" s="80" t="b">
        <v>0</v>
      </c>
    </row>
    <row r="1431" spans="1:7" ht="15">
      <c r="A1431" s="81" t="s">
        <v>3883</v>
      </c>
      <c r="B1431" s="80">
        <v>2</v>
      </c>
      <c r="C1431" s="105">
        <v>0.008165156422191797</v>
      </c>
      <c r="D1431" s="80" t="s">
        <v>3234</v>
      </c>
      <c r="E1431" s="80" t="b">
        <v>0</v>
      </c>
      <c r="F1431" s="80" t="b">
        <v>1</v>
      </c>
      <c r="G1431" s="80" t="b">
        <v>0</v>
      </c>
    </row>
    <row r="1432" spans="1:7" ht="15">
      <c r="A1432" s="81" t="s">
        <v>3303</v>
      </c>
      <c r="B1432" s="80">
        <v>2</v>
      </c>
      <c r="C1432" s="105">
        <v>0.008165156422191797</v>
      </c>
      <c r="D1432" s="80" t="s">
        <v>3234</v>
      </c>
      <c r="E1432" s="80" t="b">
        <v>0</v>
      </c>
      <c r="F1432" s="80" t="b">
        <v>0</v>
      </c>
      <c r="G1432" s="80" t="b">
        <v>0</v>
      </c>
    </row>
    <row r="1433" spans="1:7" ht="15">
      <c r="A1433" s="81" t="s">
        <v>3882</v>
      </c>
      <c r="B1433" s="80">
        <v>2</v>
      </c>
      <c r="C1433" s="105">
        <v>0.008165156422191797</v>
      </c>
      <c r="D1433" s="80" t="s">
        <v>3234</v>
      </c>
      <c r="E1433" s="80" t="b">
        <v>0</v>
      </c>
      <c r="F1433" s="80" t="b">
        <v>0</v>
      </c>
      <c r="G1433" s="80" t="b">
        <v>0</v>
      </c>
    </row>
    <row r="1434" spans="1:7" ht="15">
      <c r="A1434" s="81" t="s">
        <v>3361</v>
      </c>
      <c r="B1434" s="80">
        <v>2</v>
      </c>
      <c r="C1434" s="105">
        <v>0.008165156422191797</v>
      </c>
      <c r="D1434" s="80" t="s">
        <v>3234</v>
      </c>
      <c r="E1434" s="80" t="b">
        <v>0</v>
      </c>
      <c r="F1434" s="80" t="b">
        <v>0</v>
      </c>
      <c r="G1434" s="80" t="b">
        <v>0</v>
      </c>
    </row>
    <row r="1435" spans="1:7" ht="15">
      <c r="A1435" s="81" t="s">
        <v>3887</v>
      </c>
      <c r="B1435" s="80">
        <v>2</v>
      </c>
      <c r="C1435" s="105">
        <v>0.011928031367991561</v>
      </c>
      <c r="D1435" s="80" t="s">
        <v>3234</v>
      </c>
      <c r="E1435" s="80" t="b">
        <v>0</v>
      </c>
      <c r="F1435" s="80" t="b">
        <v>1</v>
      </c>
      <c r="G1435" s="80" t="b">
        <v>0</v>
      </c>
    </row>
    <row r="1436" spans="1:7" ht="15">
      <c r="A1436" s="81" t="s">
        <v>3888</v>
      </c>
      <c r="B1436" s="80">
        <v>2</v>
      </c>
      <c r="C1436" s="105">
        <v>0.011928031367991561</v>
      </c>
      <c r="D1436" s="80" t="s">
        <v>3234</v>
      </c>
      <c r="E1436" s="80" t="b">
        <v>0</v>
      </c>
      <c r="F1436" s="80" t="b">
        <v>1</v>
      </c>
      <c r="G1436" s="80" t="b">
        <v>0</v>
      </c>
    </row>
    <row r="1437" spans="1:7" ht="15">
      <c r="A1437" s="81" t="s">
        <v>3889</v>
      </c>
      <c r="B1437" s="80">
        <v>2</v>
      </c>
      <c r="C1437" s="105">
        <v>0.008165156422191797</v>
      </c>
      <c r="D1437" s="80" t="s">
        <v>3234</v>
      </c>
      <c r="E1437" s="80" t="b">
        <v>0</v>
      </c>
      <c r="F1437" s="80" t="b">
        <v>0</v>
      </c>
      <c r="G1437" s="80" t="b">
        <v>0</v>
      </c>
    </row>
    <row r="1438" spans="1:7" ht="15">
      <c r="A1438" s="81" t="s">
        <v>3886</v>
      </c>
      <c r="B1438" s="80">
        <v>2</v>
      </c>
      <c r="C1438" s="105">
        <v>0.011928031367991561</v>
      </c>
      <c r="D1438" s="80" t="s">
        <v>3234</v>
      </c>
      <c r="E1438" s="80" t="b">
        <v>0</v>
      </c>
      <c r="F1438" s="80" t="b">
        <v>1</v>
      </c>
      <c r="G1438" s="80" t="b">
        <v>0</v>
      </c>
    </row>
    <row r="1439" spans="1:7" ht="15">
      <c r="A1439" s="81" t="s">
        <v>3885</v>
      </c>
      <c r="B1439" s="80">
        <v>2</v>
      </c>
      <c r="C1439" s="105">
        <v>0.011928031367991561</v>
      </c>
      <c r="D1439" s="80" t="s">
        <v>3234</v>
      </c>
      <c r="E1439" s="80" t="b">
        <v>0</v>
      </c>
      <c r="F1439" s="80" t="b">
        <v>0</v>
      </c>
      <c r="G1439" s="80" t="b">
        <v>0</v>
      </c>
    </row>
    <row r="1440" spans="1:7" ht="15">
      <c r="A1440" s="81" t="s">
        <v>3884</v>
      </c>
      <c r="B1440" s="80">
        <v>2</v>
      </c>
      <c r="C1440" s="105">
        <v>0.011928031367991561</v>
      </c>
      <c r="D1440" s="80" t="s">
        <v>3234</v>
      </c>
      <c r="E1440" s="80" t="b">
        <v>0</v>
      </c>
      <c r="F1440" s="80" t="b">
        <v>1</v>
      </c>
      <c r="G1440" s="80" t="b">
        <v>0</v>
      </c>
    </row>
    <row r="1441" spans="1:7" ht="15">
      <c r="A1441" s="81" t="s">
        <v>3881</v>
      </c>
      <c r="B1441" s="80">
        <v>2</v>
      </c>
      <c r="C1441" s="105">
        <v>0.011928031367991561</v>
      </c>
      <c r="D1441" s="80" t="s">
        <v>3234</v>
      </c>
      <c r="E1441" s="80" t="b">
        <v>0</v>
      </c>
      <c r="F1441" s="80" t="b">
        <v>0</v>
      </c>
      <c r="G1441"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42F46-A700-4E8F-8C93-CA2B03E5073C}">
  <dimension ref="A1:L1435"/>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3900</v>
      </c>
      <c r="B1" s="7" t="s">
        <v>3901</v>
      </c>
      <c r="C1" s="7" t="s">
        <v>3891</v>
      </c>
      <c r="D1" s="7" t="s">
        <v>3895</v>
      </c>
      <c r="E1" s="7" t="s">
        <v>3902</v>
      </c>
      <c r="F1" s="7" t="s">
        <v>144</v>
      </c>
      <c r="G1" s="7" t="s">
        <v>3903</v>
      </c>
      <c r="H1" s="7" t="s">
        <v>3904</v>
      </c>
      <c r="I1" s="7" t="s">
        <v>3905</v>
      </c>
      <c r="J1" s="7" t="s">
        <v>3906</v>
      </c>
      <c r="K1" s="7" t="s">
        <v>3907</v>
      </c>
      <c r="L1" s="7" t="s">
        <v>3908</v>
      </c>
    </row>
    <row r="2" spans="1:12" ht="15">
      <c r="A2" s="80" t="s">
        <v>3260</v>
      </c>
      <c r="B2" s="80" t="s">
        <v>3261</v>
      </c>
      <c r="C2" s="80">
        <v>37</v>
      </c>
      <c r="D2" s="105">
        <v>0.007376979283530617</v>
      </c>
      <c r="E2" s="105">
        <v>1.0720138997146087</v>
      </c>
      <c r="F2" s="80" t="s">
        <v>3896</v>
      </c>
      <c r="G2" s="80" t="b">
        <v>0</v>
      </c>
      <c r="H2" s="80" t="b">
        <v>0</v>
      </c>
      <c r="I2" s="80" t="b">
        <v>0</v>
      </c>
      <c r="J2" s="80" t="b">
        <v>0</v>
      </c>
      <c r="K2" s="80" t="b">
        <v>0</v>
      </c>
      <c r="L2" s="80" t="b">
        <v>0</v>
      </c>
    </row>
    <row r="3" spans="1:12" ht="15">
      <c r="A3" s="81" t="s">
        <v>3260</v>
      </c>
      <c r="B3" s="80" t="s">
        <v>3263</v>
      </c>
      <c r="C3" s="80">
        <v>26</v>
      </c>
      <c r="D3" s="105">
        <v>0.006009509866536553</v>
      </c>
      <c r="E3" s="105">
        <v>1.1829441593292864</v>
      </c>
      <c r="F3" s="80" t="s">
        <v>3896</v>
      </c>
      <c r="G3" s="80" t="b">
        <v>0</v>
      </c>
      <c r="H3" s="80" t="b">
        <v>0</v>
      </c>
      <c r="I3" s="80" t="b">
        <v>0</v>
      </c>
      <c r="J3" s="80" t="b">
        <v>0</v>
      </c>
      <c r="K3" s="80" t="b">
        <v>0</v>
      </c>
      <c r="L3" s="80" t="b">
        <v>0</v>
      </c>
    </row>
    <row r="4" spans="1:12" ht="15">
      <c r="A4" s="81" t="s">
        <v>3270</v>
      </c>
      <c r="B4" s="80" t="s">
        <v>3271</v>
      </c>
      <c r="C4" s="80">
        <v>25</v>
      </c>
      <c r="D4" s="105">
        <v>0.005866630515704895</v>
      </c>
      <c r="E4" s="105">
        <v>2.253919260574911</v>
      </c>
      <c r="F4" s="80" t="s">
        <v>3896</v>
      </c>
      <c r="G4" s="80" t="b">
        <v>0</v>
      </c>
      <c r="H4" s="80" t="b">
        <v>0</v>
      </c>
      <c r="I4" s="80" t="b">
        <v>0</v>
      </c>
      <c r="J4" s="80" t="b">
        <v>0</v>
      </c>
      <c r="K4" s="80" t="b">
        <v>0</v>
      </c>
      <c r="L4" s="80" t="b">
        <v>0</v>
      </c>
    </row>
    <row r="5" spans="1:12" ht="15">
      <c r="A5" s="81" t="s">
        <v>3271</v>
      </c>
      <c r="B5" s="80" t="s">
        <v>3272</v>
      </c>
      <c r="C5" s="80">
        <v>25</v>
      </c>
      <c r="D5" s="105">
        <v>0.005866630515704895</v>
      </c>
      <c r="E5" s="105">
        <v>2.253919260574911</v>
      </c>
      <c r="F5" s="80" t="s">
        <v>3896</v>
      </c>
      <c r="G5" s="80" t="b">
        <v>0</v>
      </c>
      <c r="H5" s="80" t="b">
        <v>0</v>
      </c>
      <c r="I5" s="80" t="b">
        <v>0</v>
      </c>
      <c r="J5" s="80" t="b">
        <v>0</v>
      </c>
      <c r="K5" s="80" t="b">
        <v>0</v>
      </c>
      <c r="L5" s="80" t="b">
        <v>0</v>
      </c>
    </row>
    <row r="6" spans="1:12" ht="15">
      <c r="A6" s="81" t="s">
        <v>3272</v>
      </c>
      <c r="B6" s="80" t="s">
        <v>3273</v>
      </c>
      <c r="C6" s="80">
        <v>25</v>
      </c>
      <c r="D6" s="105">
        <v>0.005866630515704895</v>
      </c>
      <c r="E6" s="105">
        <v>2.253919260574911</v>
      </c>
      <c r="F6" s="80" t="s">
        <v>3896</v>
      </c>
      <c r="G6" s="80" t="b">
        <v>0</v>
      </c>
      <c r="H6" s="80" t="b">
        <v>0</v>
      </c>
      <c r="I6" s="80" t="b">
        <v>0</v>
      </c>
      <c r="J6" s="80" t="b">
        <v>0</v>
      </c>
      <c r="K6" s="80" t="b">
        <v>0</v>
      </c>
      <c r="L6" s="80" t="b">
        <v>0</v>
      </c>
    </row>
    <row r="7" spans="1:12" ht="15">
      <c r="A7" s="81" t="s">
        <v>3273</v>
      </c>
      <c r="B7" s="80" t="s">
        <v>3274</v>
      </c>
      <c r="C7" s="80">
        <v>25</v>
      </c>
      <c r="D7" s="105">
        <v>0.005866630515704895</v>
      </c>
      <c r="E7" s="105">
        <v>2.253919260574911</v>
      </c>
      <c r="F7" s="80" t="s">
        <v>3896</v>
      </c>
      <c r="G7" s="80" t="b">
        <v>0</v>
      </c>
      <c r="H7" s="80" t="b">
        <v>0</v>
      </c>
      <c r="I7" s="80" t="b">
        <v>0</v>
      </c>
      <c r="J7" s="80" t="b">
        <v>0</v>
      </c>
      <c r="K7" s="80" t="b">
        <v>0</v>
      </c>
      <c r="L7" s="80" t="b">
        <v>0</v>
      </c>
    </row>
    <row r="8" spans="1:12" ht="15">
      <c r="A8" s="81" t="s">
        <v>3274</v>
      </c>
      <c r="B8" s="80" t="s">
        <v>3261</v>
      </c>
      <c r="C8" s="80">
        <v>25</v>
      </c>
      <c r="D8" s="105">
        <v>0.005866630515704895</v>
      </c>
      <c r="E8" s="105">
        <v>1.7542321779565075</v>
      </c>
      <c r="F8" s="80" t="s">
        <v>3896</v>
      </c>
      <c r="G8" s="80" t="b">
        <v>0</v>
      </c>
      <c r="H8" s="80" t="b">
        <v>0</v>
      </c>
      <c r="I8" s="80" t="b">
        <v>0</v>
      </c>
      <c r="J8" s="80" t="b">
        <v>0</v>
      </c>
      <c r="K8" s="80" t="b">
        <v>0</v>
      </c>
      <c r="L8" s="80" t="b">
        <v>0</v>
      </c>
    </row>
    <row r="9" spans="1:12" ht="15">
      <c r="A9" s="81" t="s">
        <v>3275</v>
      </c>
      <c r="B9" s="80" t="s">
        <v>3260</v>
      </c>
      <c r="C9" s="80">
        <v>25</v>
      </c>
      <c r="D9" s="105">
        <v>0.005866630515704895</v>
      </c>
      <c r="E9" s="105">
        <v>1.1440033975511181</v>
      </c>
      <c r="F9" s="80" t="s">
        <v>3896</v>
      </c>
      <c r="G9" s="80" t="b">
        <v>0</v>
      </c>
      <c r="H9" s="80" t="b">
        <v>0</v>
      </c>
      <c r="I9" s="80" t="b">
        <v>0</v>
      </c>
      <c r="J9" s="80" t="b">
        <v>0</v>
      </c>
      <c r="K9" s="80" t="b">
        <v>0</v>
      </c>
      <c r="L9" s="80" t="b">
        <v>0</v>
      </c>
    </row>
    <row r="10" spans="1:12" ht="15">
      <c r="A10" s="81" t="s">
        <v>3276</v>
      </c>
      <c r="B10" s="80" t="s">
        <v>3277</v>
      </c>
      <c r="C10" s="80">
        <v>25</v>
      </c>
      <c r="D10" s="105">
        <v>0.005866630515704895</v>
      </c>
      <c r="E10" s="105">
        <v>2.253919260574911</v>
      </c>
      <c r="F10" s="80" t="s">
        <v>3896</v>
      </c>
      <c r="G10" s="80" t="b">
        <v>0</v>
      </c>
      <c r="H10" s="80" t="b">
        <v>0</v>
      </c>
      <c r="I10" s="80" t="b">
        <v>0</v>
      </c>
      <c r="J10" s="80" t="b">
        <v>0</v>
      </c>
      <c r="K10" s="80" t="b">
        <v>0</v>
      </c>
      <c r="L10" s="80" t="b">
        <v>0</v>
      </c>
    </row>
    <row r="11" spans="1:12" ht="15">
      <c r="A11" s="81" t="s">
        <v>3263</v>
      </c>
      <c r="B11" s="80" t="s">
        <v>3264</v>
      </c>
      <c r="C11" s="80">
        <v>25</v>
      </c>
      <c r="D11" s="105">
        <v>0.005866630515704895</v>
      </c>
      <c r="E11" s="105">
        <v>1.7828623667598136</v>
      </c>
      <c r="F11" s="80" t="s">
        <v>3896</v>
      </c>
      <c r="G11" s="80" t="b">
        <v>0</v>
      </c>
      <c r="H11" s="80" t="b">
        <v>0</v>
      </c>
      <c r="I11" s="80" t="b">
        <v>0</v>
      </c>
      <c r="J11" s="80" t="b">
        <v>0</v>
      </c>
      <c r="K11" s="80" t="b">
        <v>0</v>
      </c>
      <c r="L11" s="80" t="b">
        <v>0</v>
      </c>
    </row>
    <row r="12" spans="1:12" ht="15">
      <c r="A12" s="81" t="s">
        <v>3261</v>
      </c>
      <c r="B12" s="80" t="s">
        <v>3269</v>
      </c>
      <c r="C12" s="80">
        <v>19</v>
      </c>
      <c r="D12" s="105">
        <v>0.004927974268964728</v>
      </c>
      <c r="E12" s="105">
        <v>1.699908556587209</v>
      </c>
      <c r="F12" s="80" t="s">
        <v>3896</v>
      </c>
      <c r="G12" s="80" t="b">
        <v>0</v>
      </c>
      <c r="H12" s="80" t="b">
        <v>0</v>
      </c>
      <c r="I12" s="80" t="b">
        <v>0</v>
      </c>
      <c r="J12" s="80" t="b">
        <v>0</v>
      </c>
      <c r="K12" s="80" t="b">
        <v>0</v>
      </c>
      <c r="L12" s="80" t="b">
        <v>0</v>
      </c>
    </row>
    <row r="13" spans="1:12" ht="15">
      <c r="A13" s="81" t="s">
        <v>3282</v>
      </c>
      <c r="B13" s="80" t="s">
        <v>3283</v>
      </c>
      <c r="C13" s="80">
        <v>18</v>
      </c>
      <c r="D13" s="105">
        <v>0.004756205072703828</v>
      </c>
      <c r="E13" s="105">
        <v>2.396586764143643</v>
      </c>
      <c r="F13" s="80" t="s">
        <v>3896</v>
      </c>
      <c r="G13" s="80" t="b">
        <v>0</v>
      </c>
      <c r="H13" s="80" t="b">
        <v>0</v>
      </c>
      <c r="I13" s="80" t="b">
        <v>0</v>
      </c>
      <c r="J13" s="80" t="b">
        <v>0</v>
      </c>
      <c r="K13" s="80" t="b">
        <v>0</v>
      </c>
      <c r="L13" s="80" t="b">
        <v>0</v>
      </c>
    </row>
    <row r="14" spans="1:12" ht="15">
      <c r="A14" s="81" t="s">
        <v>3283</v>
      </c>
      <c r="B14" s="80" t="s">
        <v>3284</v>
      </c>
      <c r="C14" s="80">
        <v>18</v>
      </c>
      <c r="D14" s="105">
        <v>0.004756205072703828</v>
      </c>
      <c r="E14" s="105">
        <v>2.396586764143643</v>
      </c>
      <c r="F14" s="80" t="s">
        <v>3896</v>
      </c>
      <c r="G14" s="80" t="b">
        <v>0</v>
      </c>
      <c r="H14" s="80" t="b">
        <v>0</v>
      </c>
      <c r="I14" s="80" t="b">
        <v>0</v>
      </c>
      <c r="J14" s="80" t="b">
        <v>0</v>
      </c>
      <c r="K14" s="80" t="b">
        <v>0</v>
      </c>
      <c r="L14" s="80" t="b">
        <v>0</v>
      </c>
    </row>
    <row r="15" spans="1:12" ht="15">
      <c r="A15" s="81" t="s">
        <v>3284</v>
      </c>
      <c r="B15" s="80" t="s">
        <v>3260</v>
      </c>
      <c r="C15" s="80">
        <v>18</v>
      </c>
      <c r="D15" s="105">
        <v>0.004756205072703828</v>
      </c>
      <c r="E15" s="105">
        <v>1.1440033975511181</v>
      </c>
      <c r="F15" s="80" t="s">
        <v>3896</v>
      </c>
      <c r="G15" s="80" t="b">
        <v>0</v>
      </c>
      <c r="H15" s="80" t="b">
        <v>0</v>
      </c>
      <c r="I15" s="80" t="b">
        <v>0</v>
      </c>
      <c r="J15" s="80" t="b">
        <v>0</v>
      </c>
      <c r="K15" s="80" t="b">
        <v>0</v>
      </c>
      <c r="L15" s="80" t="b">
        <v>0</v>
      </c>
    </row>
    <row r="16" spans="1:12" ht="15">
      <c r="A16" s="81" t="s">
        <v>3263</v>
      </c>
      <c r="B16" s="80" t="s">
        <v>3265</v>
      </c>
      <c r="C16" s="80">
        <v>18</v>
      </c>
      <c r="D16" s="105">
        <v>0.004756205072703828</v>
      </c>
      <c r="E16" s="105">
        <v>1.6401948631910819</v>
      </c>
      <c r="F16" s="80" t="s">
        <v>3896</v>
      </c>
      <c r="G16" s="80" t="b">
        <v>0</v>
      </c>
      <c r="H16" s="80" t="b">
        <v>0</v>
      </c>
      <c r="I16" s="80" t="b">
        <v>0</v>
      </c>
      <c r="J16" s="80" t="b">
        <v>0</v>
      </c>
      <c r="K16" s="80" t="b">
        <v>0</v>
      </c>
      <c r="L16" s="80" t="b">
        <v>0</v>
      </c>
    </row>
    <row r="17" spans="1:12" ht="15">
      <c r="A17" s="81" t="s">
        <v>3265</v>
      </c>
      <c r="B17" s="80" t="s">
        <v>3264</v>
      </c>
      <c r="C17" s="80">
        <v>18</v>
      </c>
      <c r="D17" s="105">
        <v>0.004756205072703828</v>
      </c>
      <c r="E17" s="105">
        <v>1.7421844017284134</v>
      </c>
      <c r="F17" s="80" t="s">
        <v>3896</v>
      </c>
      <c r="G17" s="80" t="b">
        <v>0</v>
      </c>
      <c r="H17" s="80" t="b">
        <v>0</v>
      </c>
      <c r="I17" s="80" t="b">
        <v>0</v>
      </c>
      <c r="J17" s="80" t="b">
        <v>0</v>
      </c>
      <c r="K17" s="80" t="b">
        <v>0</v>
      </c>
      <c r="L17" s="80" t="b">
        <v>0</v>
      </c>
    </row>
    <row r="18" spans="1:12" ht="15">
      <c r="A18" s="81" t="s">
        <v>3261</v>
      </c>
      <c r="B18" s="80" t="s">
        <v>3275</v>
      </c>
      <c r="C18" s="80">
        <v>17</v>
      </c>
      <c r="D18" s="105">
        <v>0.004579432788812796</v>
      </c>
      <c r="E18" s="105">
        <v>1.6850276324996034</v>
      </c>
      <c r="F18" s="80" t="s">
        <v>3896</v>
      </c>
      <c r="G18" s="80" t="b">
        <v>0</v>
      </c>
      <c r="H18" s="80" t="b">
        <v>0</v>
      </c>
      <c r="I18" s="80" t="b">
        <v>0</v>
      </c>
      <c r="J18" s="80" t="b">
        <v>0</v>
      </c>
      <c r="K18" s="80" t="b">
        <v>0</v>
      </c>
      <c r="L18" s="80" t="b">
        <v>0</v>
      </c>
    </row>
    <row r="19" spans="1:12" ht="15">
      <c r="A19" s="81" t="s">
        <v>3260</v>
      </c>
      <c r="B19" s="80" t="s">
        <v>3276</v>
      </c>
      <c r="C19" s="80">
        <v>17</v>
      </c>
      <c r="D19" s="105">
        <v>0.004579432788812796</v>
      </c>
      <c r="E19" s="105">
        <v>1.2339481796442913</v>
      </c>
      <c r="F19" s="80" t="s">
        <v>3896</v>
      </c>
      <c r="G19" s="80" t="b">
        <v>0</v>
      </c>
      <c r="H19" s="80" t="b">
        <v>0</v>
      </c>
      <c r="I19" s="80" t="b">
        <v>0</v>
      </c>
      <c r="J19" s="80" t="b">
        <v>0</v>
      </c>
      <c r="K19" s="80" t="b">
        <v>0</v>
      </c>
      <c r="L19" s="80" t="b">
        <v>0</v>
      </c>
    </row>
    <row r="20" spans="1:12" ht="15">
      <c r="A20" s="81" t="s">
        <v>3291</v>
      </c>
      <c r="B20" s="80" t="s">
        <v>3279</v>
      </c>
      <c r="C20" s="80">
        <v>17</v>
      </c>
      <c r="D20" s="105">
        <v>0.004579432788812796</v>
      </c>
      <c r="E20" s="105">
        <v>2.350829273582968</v>
      </c>
      <c r="F20" s="80" t="s">
        <v>3896</v>
      </c>
      <c r="G20" s="80" t="b">
        <v>0</v>
      </c>
      <c r="H20" s="80" t="b">
        <v>0</v>
      </c>
      <c r="I20" s="80" t="b">
        <v>0</v>
      </c>
      <c r="J20" s="80" t="b">
        <v>0</v>
      </c>
      <c r="K20" s="80" t="b">
        <v>0</v>
      </c>
      <c r="L20" s="80" t="b">
        <v>0</v>
      </c>
    </row>
    <row r="21" spans="1:12" ht="15">
      <c r="A21" s="81" t="s">
        <v>3279</v>
      </c>
      <c r="B21" s="80" t="s">
        <v>3278</v>
      </c>
      <c r="C21" s="80">
        <v>17</v>
      </c>
      <c r="D21" s="105">
        <v>0.004579432788812796</v>
      </c>
      <c r="E21" s="105">
        <v>2.183338186289204</v>
      </c>
      <c r="F21" s="80" t="s">
        <v>3896</v>
      </c>
      <c r="G21" s="80" t="b">
        <v>0</v>
      </c>
      <c r="H21" s="80" t="b">
        <v>0</v>
      </c>
      <c r="I21" s="80" t="b">
        <v>0</v>
      </c>
      <c r="J21" s="80" t="b">
        <v>0</v>
      </c>
      <c r="K21" s="80" t="b">
        <v>0</v>
      </c>
      <c r="L21" s="80" t="b">
        <v>0</v>
      </c>
    </row>
    <row r="22" spans="1:12" ht="15">
      <c r="A22" s="81" t="s">
        <v>3278</v>
      </c>
      <c r="B22" s="80" t="s">
        <v>3292</v>
      </c>
      <c r="C22" s="80">
        <v>17</v>
      </c>
      <c r="D22" s="105">
        <v>0.004579432788812796</v>
      </c>
      <c r="E22" s="105">
        <v>2.271648027535343</v>
      </c>
      <c r="F22" s="80" t="s">
        <v>3896</v>
      </c>
      <c r="G22" s="80" t="b">
        <v>0</v>
      </c>
      <c r="H22" s="80" t="b">
        <v>0</v>
      </c>
      <c r="I22" s="80" t="b">
        <v>0</v>
      </c>
      <c r="J22" s="80" t="b">
        <v>0</v>
      </c>
      <c r="K22" s="80" t="b">
        <v>0</v>
      </c>
      <c r="L22" s="80" t="b">
        <v>0</v>
      </c>
    </row>
    <row r="23" spans="1:12" ht="15">
      <c r="A23" s="81" t="s">
        <v>3292</v>
      </c>
      <c r="B23" s="80" t="s">
        <v>3293</v>
      </c>
      <c r="C23" s="80">
        <v>17</v>
      </c>
      <c r="D23" s="105">
        <v>0.004579432788812796</v>
      </c>
      <c r="E23" s="105">
        <v>2.421410347868675</v>
      </c>
      <c r="F23" s="80" t="s">
        <v>3896</v>
      </c>
      <c r="G23" s="80" t="b">
        <v>0</v>
      </c>
      <c r="H23" s="80" t="b">
        <v>0</v>
      </c>
      <c r="I23" s="80" t="b">
        <v>0</v>
      </c>
      <c r="J23" s="80" t="b">
        <v>0</v>
      </c>
      <c r="K23" s="80" t="b">
        <v>0</v>
      </c>
      <c r="L23" s="80" t="b">
        <v>0</v>
      </c>
    </row>
    <row r="24" spans="1:12" ht="15">
      <c r="A24" s="81" t="s">
        <v>3293</v>
      </c>
      <c r="B24" s="80" t="s">
        <v>3286</v>
      </c>
      <c r="C24" s="80">
        <v>17</v>
      </c>
      <c r="D24" s="105">
        <v>0.004579432788812796</v>
      </c>
      <c r="E24" s="105">
        <v>2.3965867641436427</v>
      </c>
      <c r="F24" s="80" t="s">
        <v>3896</v>
      </c>
      <c r="G24" s="80" t="b">
        <v>0</v>
      </c>
      <c r="H24" s="80" t="b">
        <v>0</v>
      </c>
      <c r="I24" s="80" t="b">
        <v>0</v>
      </c>
      <c r="J24" s="80" t="b">
        <v>0</v>
      </c>
      <c r="K24" s="80" t="b">
        <v>0</v>
      </c>
      <c r="L24" s="80" t="b">
        <v>0</v>
      </c>
    </row>
    <row r="25" spans="1:12" ht="15">
      <c r="A25" s="81" t="s">
        <v>3286</v>
      </c>
      <c r="B25" s="80" t="s">
        <v>3287</v>
      </c>
      <c r="C25" s="80">
        <v>17</v>
      </c>
      <c r="D25" s="105">
        <v>0.004579432788812796</v>
      </c>
      <c r="E25" s="105">
        <v>2.371763180418611</v>
      </c>
      <c r="F25" s="80" t="s">
        <v>3896</v>
      </c>
      <c r="G25" s="80" t="b">
        <v>0</v>
      </c>
      <c r="H25" s="80" t="b">
        <v>0</v>
      </c>
      <c r="I25" s="80" t="b">
        <v>0</v>
      </c>
      <c r="J25" s="80" t="b">
        <v>0</v>
      </c>
      <c r="K25" s="80" t="b">
        <v>0</v>
      </c>
      <c r="L25" s="80" t="b">
        <v>0</v>
      </c>
    </row>
    <row r="26" spans="1:12" ht="15">
      <c r="A26" s="81" t="s">
        <v>3287</v>
      </c>
      <c r="B26" s="80" t="s">
        <v>3294</v>
      </c>
      <c r="C26" s="80">
        <v>17</v>
      </c>
      <c r="D26" s="105">
        <v>0.004579432788812796</v>
      </c>
      <c r="E26" s="105">
        <v>2.3965867641436427</v>
      </c>
      <c r="F26" s="80" t="s">
        <v>3896</v>
      </c>
      <c r="G26" s="80" t="b">
        <v>0</v>
      </c>
      <c r="H26" s="80" t="b">
        <v>0</v>
      </c>
      <c r="I26" s="80" t="b">
        <v>0</v>
      </c>
      <c r="J26" s="80" t="b">
        <v>0</v>
      </c>
      <c r="K26" s="80" t="b">
        <v>0</v>
      </c>
      <c r="L26" s="80" t="b">
        <v>0</v>
      </c>
    </row>
    <row r="27" spans="1:12" ht="15">
      <c r="A27" s="81" t="s">
        <v>3294</v>
      </c>
      <c r="B27" s="80" t="s">
        <v>3295</v>
      </c>
      <c r="C27" s="80">
        <v>17</v>
      </c>
      <c r="D27" s="105">
        <v>0.004579432788812796</v>
      </c>
      <c r="E27" s="105">
        <v>2.421410347868675</v>
      </c>
      <c r="F27" s="80" t="s">
        <v>3896</v>
      </c>
      <c r="G27" s="80" t="b">
        <v>0</v>
      </c>
      <c r="H27" s="80" t="b">
        <v>0</v>
      </c>
      <c r="I27" s="80" t="b">
        <v>0</v>
      </c>
      <c r="J27" s="80" t="b">
        <v>0</v>
      </c>
      <c r="K27" s="80" t="b">
        <v>0</v>
      </c>
      <c r="L27" s="80" t="b">
        <v>0</v>
      </c>
    </row>
    <row r="28" spans="1:12" ht="15">
      <c r="A28" s="81" t="s">
        <v>3295</v>
      </c>
      <c r="B28" s="80" t="s">
        <v>3268</v>
      </c>
      <c r="C28" s="80">
        <v>17</v>
      </c>
      <c r="D28" s="105">
        <v>0.004579432788812796</v>
      </c>
      <c r="E28" s="105">
        <v>2.120380352204694</v>
      </c>
      <c r="F28" s="80" t="s">
        <v>3896</v>
      </c>
      <c r="G28" s="80" t="b">
        <v>0</v>
      </c>
      <c r="H28" s="80" t="b">
        <v>0</v>
      </c>
      <c r="I28" s="80" t="b">
        <v>0</v>
      </c>
      <c r="J28" s="80" t="b">
        <v>0</v>
      </c>
      <c r="K28" s="80" t="b">
        <v>0</v>
      </c>
      <c r="L28" s="80" t="b">
        <v>0</v>
      </c>
    </row>
    <row r="29" spans="1:12" ht="15">
      <c r="A29" s="81" t="s">
        <v>3268</v>
      </c>
      <c r="B29" s="80" t="s">
        <v>3281</v>
      </c>
      <c r="C29" s="80">
        <v>17</v>
      </c>
      <c r="D29" s="105">
        <v>0.004579432788812796</v>
      </c>
      <c r="E29" s="105">
        <v>2.0720756726301386</v>
      </c>
      <c r="F29" s="80" t="s">
        <v>3896</v>
      </c>
      <c r="G29" s="80" t="b">
        <v>0</v>
      </c>
      <c r="H29" s="80" t="b">
        <v>0</v>
      </c>
      <c r="I29" s="80" t="b">
        <v>0</v>
      </c>
      <c r="J29" s="80" t="b">
        <v>0</v>
      </c>
      <c r="K29" s="80" t="b">
        <v>0</v>
      </c>
      <c r="L29" s="80" t="b">
        <v>0</v>
      </c>
    </row>
    <row r="30" spans="1:12" ht="15">
      <c r="A30" s="81" t="s">
        <v>3281</v>
      </c>
      <c r="B30" s="80" t="s">
        <v>3296</v>
      </c>
      <c r="C30" s="80">
        <v>17</v>
      </c>
      <c r="D30" s="105">
        <v>0.004579432788812796</v>
      </c>
      <c r="E30" s="105">
        <v>2.37310566829412</v>
      </c>
      <c r="F30" s="80" t="s">
        <v>3896</v>
      </c>
      <c r="G30" s="80" t="b">
        <v>0</v>
      </c>
      <c r="H30" s="80" t="b">
        <v>0</v>
      </c>
      <c r="I30" s="80" t="b">
        <v>0</v>
      </c>
      <c r="J30" s="80" t="b">
        <v>0</v>
      </c>
      <c r="K30" s="80" t="b">
        <v>0</v>
      </c>
      <c r="L30" s="80" t="b">
        <v>0</v>
      </c>
    </row>
    <row r="31" spans="1:12" ht="15">
      <c r="A31" s="81" t="s">
        <v>3296</v>
      </c>
      <c r="B31" s="80" t="s">
        <v>3297</v>
      </c>
      <c r="C31" s="80">
        <v>17</v>
      </c>
      <c r="D31" s="105">
        <v>0.004579432788812796</v>
      </c>
      <c r="E31" s="105">
        <v>2.421410347868675</v>
      </c>
      <c r="F31" s="80" t="s">
        <v>3896</v>
      </c>
      <c r="G31" s="80" t="b">
        <v>0</v>
      </c>
      <c r="H31" s="80" t="b">
        <v>0</v>
      </c>
      <c r="I31" s="80" t="b">
        <v>0</v>
      </c>
      <c r="J31" s="80" t="b">
        <v>0</v>
      </c>
      <c r="K31" s="80" t="b">
        <v>0</v>
      </c>
      <c r="L31" s="80" t="b">
        <v>0</v>
      </c>
    </row>
    <row r="32" spans="1:12" ht="15">
      <c r="A32" s="81" t="s">
        <v>3297</v>
      </c>
      <c r="B32" s="80" t="s">
        <v>3267</v>
      </c>
      <c r="C32" s="80">
        <v>17</v>
      </c>
      <c r="D32" s="105">
        <v>0.004579432788812796</v>
      </c>
      <c r="E32" s="105">
        <v>2.1077912248966735</v>
      </c>
      <c r="F32" s="80" t="s">
        <v>3896</v>
      </c>
      <c r="G32" s="80" t="b">
        <v>0</v>
      </c>
      <c r="H32" s="80" t="b">
        <v>0</v>
      </c>
      <c r="I32" s="80" t="b">
        <v>0</v>
      </c>
      <c r="J32" s="80" t="b">
        <v>0</v>
      </c>
      <c r="K32" s="80" t="b">
        <v>0</v>
      </c>
      <c r="L32" s="80" t="b">
        <v>0</v>
      </c>
    </row>
    <row r="33" spans="1:12" ht="15">
      <c r="A33" s="81" t="s">
        <v>3267</v>
      </c>
      <c r="B33" s="80" t="s">
        <v>3280</v>
      </c>
      <c r="C33" s="80">
        <v>17</v>
      </c>
      <c r="D33" s="105">
        <v>0.004579432788812796</v>
      </c>
      <c r="E33" s="105">
        <v>2.0594865453221183</v>
      </c>
      <c r="F33" s="80" t="s">
        <v>3896</v>
      </c>
      <c r="G33" s="80" t="b">
        <v>0</v>
      </c>
      <c r="H33" s="80" t="b">
        <v>0</v>
      </c>
      <c r="I33" s="80" t="b">
        <v>0</v>
      </c>
      <c r="J33" s="80" t="b">
        <v>0</v>
      </c>
      <c r="K33" s="80" t="b">
        <v>0</v>
      </c>
      <c r="L33" s="80" t="b">
        <v>0</v>
      </c>
    </row>
    <row r="34" spans="1:12" ht="15">
      <c r="A34" s="81" t="s">
        <v>3280</v>
      </c>
      <c r="B34" s="80" t="s">
        <v>3298</v>
      </c>
      <c r="C34" s="80">
        <v>17</v>
      </c>
      <c r="D34" s="105">
        <v>0.004579432788812796</v>
      </c>
      <c r="E34" s="105">
        <v>2.37310566829412</v>
      </c>
      <c r="F34" s="80" t="s">
        <v>3896</v>
      </c>
      <c r="G34" s="80" t="b">
        <v>0</v>
      </c>
      <c r="H34" s="80" t="b">
        <v>0</v>
      </c>
      <c r="I34" s="80" t="b">
        <v>0</v>
      </c>
      <c r="J34" s="80" t="b">
        <v>1</v>
      </c>
      <c r="K34" s="80" t="b">
        <v>0</v>
      </c>
      <c r="L34" s="80" t="b">
        <v>0</v>
      </c>
    </row>
    <row r="35" spans="1:12" ht="15">
      <c r="A35" s="81" t="s">
        <v>3298</v>
      </c>
      <c r="B35" s="80" t="s">
        <v>3267</v>
      </c>
      <c r="C35" s="80">
        <v>17</v>
      </c>
      <c r="D35" s="105">
        <v>0.004579432788812796</v>
      </c>
      <c r="E35" s="105">
        <v>2.1077912248966735</v>
      </c>
      <c r="F35" s="80" t="s">
        <v>3896</v>
      </c>
      <c r="G35" s="80" t="b">
        <v>1</v>
      </c>
      <c r="H35" s="80" t="b">
        <v>0</v>
      </c>
      <c r="I35" s="80" t="b">
        <v>0</v>
      </c>
      <c r="J35" s="80" t="b">
        <v>0</v>
      </c>
      <c r="K35" s="80" t="b">
        <v>0</v>
      </c>
      <c r="L35" s="80" t="b">
        <v>0</v>
      </c>
    </row>
    <row r="36" spans="1:12" ht="15">
      <c r="A36" s="81" t="s">
        <v>3267</v>
      </c>
      <c r="B36" s="80" t="s">
        <v>3299</v>
      </c>
      <c r="C36" s="80">
        <v>17</v>
      </c>
      <c r="D36" s="105">
        <v>0.004579432788812796</v>
      </c>
      <c r="E36" s="105">
        <v>2.1077912248966735</v>
      </c>
      <c r="F36" s="80" t="s">
        <v>3896</v>
      </c>
      <c r="G36" s="80" t="b">
        <v>0</v>
      </c>
      <c r="H36" s="80" t="b">
        <v>0</v>
      </c>
      <c r="I36" s="80" t="b">
        <v>0</v>
      </c>
      <c r="J36" s="80" t="b">
        <v>0</v>
      </c>
      <c r="K36" s="80" t="b">
        <v>0</v>
      </c>
      <c r="L36" s="80" t="b">
        <v>0</v>
      </c>
    </row>
    <row r="37" spans="1:12" ht="15">
      <c r="A37" s="81" t="s">
        <v>3299</v>
      </c>
      <c r="B37" s="80" t="s">
        <v>3300</v>
      </c>
      <c r="C37" s="80">
        <v>17</v>
      </c>
      <c r="D37" s="105">
        <v>0.004579432788812796</v>
      </c>
      <c r="E37" s="105">
        <v>2.421410347868675</v>
      </c>
      <c r="F37" s="80" t="s">
        <v>3896</v>
      </c>
      <c r="G37" s="80" t="b">
        <v>0</v>
      </c>
      <c r="H37" s="80" t="b">
        <v>0</v>
      </c>
      <c r="I37" s="80" t="b">
        <v>0</v>
      </c>
      <c r="J37" s="80" t="b">
        <v>0</v>
      </c>
      <c r="K37" s="80" t="b">
        <v>0</v>
      </c>
      <c r="L37" s="80" t="b">
        <v>0</v>
      </c>
    </row>
    <row r="38" spans="1:12" ht="15">
      <c r="A38" s="81" t="s">
        <v>3300</v>
      </c>
      <c r="B38" s="80" t="s">
        <v>3268</v>
      </c>
      <c r="C38" s="80">
        <v>17</v>
      </c>
      <c r="D38" s="105">
        <v>0.004579432788812796</v>
      </c>
      <c r="E38" s="105">
        <v>2.120380352204694</v>
      </c>
      <c r="F38" s="80" t="s">
        <v>3896</v>
      </c>
      <c r="G38" s="80" t="b">
        <v>0</v>
      </c>
      <c r="H38" s="80" t="b">
        <v>0</v>
      </c>
      <c r="I38" s="80" t="b">
        <v>0</v>
      </c>
      <c r="J38" s="80" t="b">
        <v>0</v>
      </c>
      <c r="K38" s="80" t="b">
        <v>0</v>
      </c>
      <c r="L38" s="80" t="b">
        <v>0</v>
      </c>
    </row>
    <row r="39" spans="1:12" ht="15">
      <c r="A39" s="81" t="s">
        <v>3268</v>
      </c>
      <c r="B39" s="80" t="s">
        <v>3301</v>
      </c>
      <c r="C39" s="80">
        <v>17</v>
      </c>
      <c r="D39" s="105">
        <v>0.004579432788812796</v>
      </c>
      <c r="E39" s="105">
        <v>2.120380352204694</v>
      </c>
      <c r="F39" s="80" t="s">
        <v>3896</v>
      </c>
      <c r="G39" s="80" t="b">
        <v>0</v>
      </c>
      <c r="H39" s="80" t="b">
        <v>0</v>
      </c>
      <c r="I39" s="80" t="b">
        <v>0</v>
      </c>
      <c r="J39" s="80" t="b">
        <v>0</v>
      </c>
      <c r="K39" s="80" t="b">
        <v>0</v>
      </c>
      <c r="L39" s="80" t="b">
        <v>0</v>
      </c>
    </row>
    <row r="40" spans="1:12" ht="15">
      <c r="A40" s="81" t="s">
        <v>3301</v>
      </c>
      <c r="B40" s="80" t="s">
        <v>3260</v>
      </c>
      <c r="C40" s="80">
        <v>17</v>
      </c>
      <c r="D40" s="105">
        <v>0.004579432788812796</v>
      </c>
      <c r="E40" s="105">
        <v>1.144003397551118</v>
      </c>
      <c r="F40" s="80" t="s">
        <v>3896</v>
      </c>
      <c r="G40" s="80" t="b">
        <v>0</v>
      </c>
      <c r="H40" s="80" t="b">
        <v>0</v>
      </c>
      <c r="I40" s="80" t="b">
        <v>0</v>
      </c>
      <c r="J40" s="80" t="b">
        <v>0</v>
      </c>
      <c r="K40" s="80" t="b">
        <v>0</v>
      </c>
      <c r="L40" s="80" t="b">
        <v>0</v>
      </c>
    </row>
    <row r="41" spans="1:12" ht="15">
      <c r="A41" s="81" t="s">
        <v>3277</v>
      </c>
      <c r="B41" s="80" t="s">
        <v>3265</v>
      </c>
      <c r="C41" s="80">
        <v>16</v>
      </c>
      <c r="D41" s="105">
        <v>0.004397362787306636</v>
      </c>
      <c r="E41" s="105">
        <v>1.8245707876512496</v>
      </c>
      <c r="F41" s="80" t="s">
        <v>3896</v>
      </c>
      <c r="G41" s="80" t="b">
        <v>0</v>
      </c>
      <c r="H41" s="80" t="b">
        <v>0</v>
      </c>
      <c r="I41" s="80" t="b">
        <v>0</v>
      </c>
      <c r="J41" s="80" t="b">
        <v>0</v>
      </c>
      <c r="K41" s="80" t="b">
        <v>0</v>
      </c>
      <c r="L41" s="80" t="b">
        <v>0</v>
      </c>
    </row>
    <row r="42" spans="1:12" ht="15">
      <c r="A42" s="81" t="s">
        <v>3309</v>
      </c>
      <c r="B42" s="80" t="s">
        <v>3316</v>
      </c>
      <c r="C42" s="80">
        <v>13</v>
      </c>
      <c r="D42" s="105">
        <v>0.003815820206559832</v>
      </c>
      <c r="E42" s="105">
        <v>2.505731233568711</v>
      </c>
      <c r="F42" s="80" t="s">
        <v>3896</v>
      </c>
      <c r="G42" s="80" t="b">
        <v>0</v>
      </c>
      <c r="H42" s="80" t="b">
        <v>0</v>
      </c>
      <c r="I42" s="80" t="b">
        <v>0</v>
      </c>
      <c r="J42" s="80" t="b">
        <v>0</v>
      </c>
      <c r="K42" s="80" t="b">
        <v>0</v>
      </c>
      <c r="L42" s="80" t="b">
        <v>0</v>
      </c>
    </row>
    <row r="43" spans="1:12" ht="15">
      <c r="A43" s="81" t="s">
        <v>3324</v>
      </c>
      <c r="B43" s="80" t="s">
        <v>3325</v>
      </c>
      <c r="C43" s="80">
        <v>11</v>
      </c>
      <c r="D43" s="105">
        <v>0.0033941714287033017</v>
      </c>
      <c r="E43" s="105">
        <v>2.610466584088724</v>
      </c>
      <c r="F43" s="80" t="s">
        <v>3896</v>
      </c>
      <c r="G43" s="80" t="b">
        <v>0</v>
      </c>
      <c r="H43" s="80" t="b">
        <v>0</v>
      </c>
      <c r="I43" s="80" t="b">
        <v>0</v>
      </c>
      <c r="J43" s="80" t="b">
        <v>0</v>
      </c>
      <c r="K43" s="80" t="b">
        <v>0</v>
      </c>
      <c r="L43" s="80" t="b">
        <v>0</v>
      </c>
    </row>
    <row r="44" spans="1:12" ht="15">
      <c r="A44" s="81" t="s">
        <v>3325</v>
      </c>
      <c r="B44" s="80" t="s">
        <v>3326</v>
      </c>
      <c r="C44" s="80">
        <v>11</v>
      </c>
      <c r="D44" s="105">
        <v>0.0033941714287033017</v>
      </c>
      <c r="E44" s="105">
        <v>2.610466584088724</v>
      </c>
      <c r="F44" s="80" t="s">
        <v>3896</v>
      </c>
      <c r="G44" s="80" t="b">
        <v>0</v>
      </c>
      <c r="H44" s="80" t="b">
        <v>0</v>
      </c>
      <c r="I44" s="80" t="b">
        <v>0</v>
      </c>
      <c r="J44" s="80" t="b">
        <v>0</v>
      </c>
      <c r="K44" s="80" t="b">
        <v>0</v>
      </c>
      <c r="L44" s="80" t="b">
        <v>0</v>
      </c>
    </row>
    <row r="45" spans="1:12" ht="15">
      <c r="A45" s="81" t="s">
        <v>3326</v>
      </c>
      <c r="B45" s="80" t="s">
        <v>3327</v>
      </c>
      <c r="C45" s="80">
        <v>11</v>
      </c>
      <c r="D45" s="105">
        <v>0.0033941714287033017</v>
      </c>
      <c r="E45" s="105">
        <v>2.610466584088724</v>
      </c>
      <c r="F45" s="80" t="s">
        <v>3896</v>
      </c>
      <c r="G45" s="80" t="b">
        <v>0</v>
      </c>
      <c r="H45" s="80" t="b">
        <v>0</v>
      </c>
      <c r="I45" s="80" t="b">
        <v>0</v>
      </c>
      <c r="J45" s="80" t="b">
        <v>0</v>
      </c>
      <c r="K45" s="80" t="b">
        <v>0</v>
      </c>
      <c r="L45" s="80" t="b">
        <v>0</v>
      </c>
    </row>
    <row r="46" spans="1:12" ht="15">
      <c r="A46" s="81" t="s">
        <v>3327</v>
      </c>
      <c r="B46" s="80" t="s">
        <v>3328</v>
      </c>
      <c r="C46" s="80">
        <v>11</v>
      </c>
      <c r="D46" s="105">
        <v>0.0033941714287033017</v>
      </c>
      <c r="E46" s="105">
        <v>2.610466584088724</v>
      </c>
      <c r="F46" s="80" t="s">
        <v>3896</v>
      </c>
      <c r="G46" s="80" t="b">
        <v>0</v>
      </c>
      <c r="H46" s="80" t="b">
        <v>0</v>
      </c>
      <c r="I46" s="80" t="b">
        <v>0</v>
      </c>
      <c r="J46" s="80" t="b">
        <v>0</v>
      </c>
      <c r="K46" s="80" t="b">
        <v>0</v>
      </c>
      <c r="L46" s="80" t="b">
        <v>0</v>
      </c>
    </row>
    <row r="47" spans="1:12" ht="15">
      <c r="A47" s="81" t="s">
        <v>3328</v>
      </c>
      <c r="B47" s="80" t="s">
        <v>3309</v>
      </c>
      <c r="C47" s="80">
        <v>11</v>
      </c>
      <c r="D47" s="105">
        <v>0.0033941714287033017</v>
      </c>
      <c r="E47" s="105">
        <v>2.505731233568711</v>
      </c>
      <c r="F47" s="80" t="s">
        <v>3896</v>
      </c>
      <c r="G47" s="80" t="b">
        <v>0</v>
      </c>
      <c r="H47" s="80" t="b">
        <v>0</v>
      </c>
      <c r="I47" s="80" t="b">
        <v>0</v>
      </c>
      <c r="J47" s="80" t="b">
        <v>0</v>
      </c>
      <c r="K47" s="80" t="b">
        <v>0</v>
      </c>
      <c r="L47" s="80" t="b">
        <v>0</v>
      </c>
    </row>
    <row r="48" spans="1:12" ht="15">
      <c r="A48" s="81" t="s">
        <v>3316</v>
      </c>
      <c r="B48" s="80" t="s">
        <v>3329</v>
      </c>
      <c r="C48" s="80">
        <v>11</v>
      </c>
      <c r="D48" s="105">
        <v>0.0033941714287033017</v>
      </c>
      <c r="E48" s="105">
        <v>2.537915916940112</v>
      </c>
      <c r="F48" s="80" t="s">
        <v>3896</v>
      </c>
      <c r="G48" s="80" t="b">
        <v>0</v>
      </c>
      <c r="H48" s="80" t="b">
        <v>0</v>
      </c>
      <c r="I48" s="80" t="b">
        <v>0</v>
      </c>
      <c r="J48" s="80" t="b">
        <v>0</v>
      </c>
      <c r="K48" s="80" t="b">
        <v>0</v>
      </c>
      <c r="L48" s="80" t="b">
        <v>0</v>
      </c>
    </row>
    <row r="49" spans="1:12" ht="15">
      <c r="A49" s="81" t="s">
        <v>3329</v>
      </c>
      <c r="B49" s="80" t="s">
        <v>3330</v>
      </c>
      <c r="C49" s="80">
        <v>11</v>
      </c>
      <c r="D49" s="105">
        <v>0.0033941714287033017</v>
      </c>
      <c r="E49" s="105">
        <v>2.610466584088724</v>
      </c>
      <c r="F49" s="80" t="s">
        <v>3896</v>
      </c>
      <c r="G49" s="80" t="b">
        <v>0</v>
      </c>
      <c r="H49" s="80" t="b">
        <v>0</v>
      </c>
      <c r="I49" s="80" t="b">
        <v>0</v>
      </c>
      <c r="J49" s="80" t="b">
        <v>0</v>
      </c>
      <c r="K49" s="80" t="b">
        <v>0</v>
      </c>
      <c r="L49" s="80" t="b">
        <v>0</v>
      </c>
    </row>
    <row r="50" spans="1:12" ht="15">
      <c r="A50" s="81" t="s">
        <v>3330</v>
      </c>
      <c r="B50" s="80" t="s">
        <v>3331</v>
      </c>
      <c r="C50" s="80">
        <v>11</v>
      </c>
      <c r="D50" s="105">
        <v>0.0033941714287033017</v>
      </c>
      <c r="E50" s="105">
        <v>2.610466584088724</v>
      </c>
      <c r="F50" s="80" t="s">
        <v>3896</v>
      </c>
      <c r="G50" s="80" t="b">
        <v>0</v>
      </c>
      <c r="H50" s="80" t="b">
        <v>0</v>
      </c>
      <c r="I50" s="80" t="b">
        <v>0</v>
      </c>
      <c r="J50" s="80" t="b">
        <v>0</v>
      </c>
      <c r="K50" s="80" t="b">
        <v>0</v>
      </c>
      <c r="L50" s="80" t="b">
        <v>0</v>
      </c>
    </row>
    <row r="51" spans="1:12" ht="15">
      <c r="A51" s="81" t="s">
        <v>3331</v>
      </c>
      <c r="B51" s="80" t="s">
        <v>3321</v>
      </c>
      <c r="C51" s="80">
        <v>11</v>
      </c>
      <c r="D51" s="105">
        <v>0.0033941714287033017</v>
      </c>
      <c r="E51" s="105">
        <v>2.572678023199324</v>
      </c>
      <c r="F51" s="80" t="s">
        <v>3896</v>
      </c>
      <c r="G51" s="80" t="b">
        <v>0</v>
      </c>
      <c r="H51" s="80" t="b">
        <v>0</v>
      </c>
      <c r="I51" s="80" t="b">
        <v>0</v>
      </c>
      <c r="J51" s="80" t="b">
        <v>0</v>
      </c>
      <c r="K51" s="80" t="b">
        <v>0</v>
      </c>
      <c r="L51" s="80" t="b">
        <v>0</v>
      </c>
    </row>
    <row r="52" spans="1:12" ht="15">
      <c r="A52" s="81" t="s">
        <v>3321</v>
      </c>
      <c r="B52" s="80" t="s">
        <v>3332</v>
      </c>
      <c r="C52" s="80">
        <v>11</v>
      </c>
      <c r="D52" s="105">
        <v>0.0033941714287033017</v>
      </c>
      <c r="E52" s="105">
        <v>2.572678023199324</v>
      </c>
      <c r="F52" s="80" t="s">
        <v>3896</v>
      </c>
      <c r="G52" s="80" t="b">
        <v>0</v>
      </c>
      <c r="H52" s="80" t="b">
        <v>0</v>
      </c>
      <c r="I52" s="80" t="b">
        <v>0</v>
      </c>
      <c r="J52" s="80" t="b">
        <v>0</v>
      </c>
      <c r="K52" s="80" t="b">
        <v>0</v>
      </c>
      <c r="L52" s="80" t="b">
        <v>0</v>
      </c>
    </row>
    <row r="53" spans="1:12" ht="15">
      <c r="A53" s="81" t="s">
        <v>3332</v>
      </c>
      <c r="B53" s="80" t="s">
        <v>3333</v>
      </c>
      <c r="C53" s="80">
        <v>11</v>
      </c>
      <c r="D53" s="105">
        <v>0.0033941714287033017</v>
      </c>
      <c r="E53" s="105">
        <v>2.610466584088724</v>
      </c>
      <c r="F53" s="80" t="s">
        <v>3896</v>
      </c>
      <c r="G53" s="80" t="b">
        <v>0</v>
      </c>
      <c r="H53" s="80" t="b">
        <v>0</v>
      </c>
      <c r="I53" s="80" t="b">
        <v>0</v>
      </c>
      <c r="J53" s="80" t="b">
        <v>0</v>
      </c>
      <c r="K53" s="80" t="b">
        <v>0</v>
      </c>
      <c r="L53" s="80" t="b">
        <v>0</v>
      </c>
    </row>
    <row r="54" spans="1:12" ht="15">
      <c r="A54" s="81" t="s">
        <v>3333</v>
      </c>
      <c r="B54" s="80" t="s">
        <v>3290</v>
      </c>
      <c r="C54" s="80">
        <v>11</v>
      </c>
      <c r="D54" s="105">
        <v>0.0033941714287033017</v>
      </c>
      <c r="E54" s="105">
        <v>2.421410347868675</v>
      </c>
      <c r="F54" s="80" t="s">
        <v>3896</v>
      </c>
      <c r="G54" s="80" t="b">
        <v>0</v>
      </c>
      <c r="H54" s="80" t="b">
        <v>0</v>
      </c>
      <c r="I54" s="80" t="b">
        <v>0</v>
      </c>
      <c r="J54" s="80" t="b">
        <v>0</v>
      </c>
      <c r="K54" s="80" t="b">
        <v>0</v>
      </c>
      <c r="L54" s="80" t="b">
        <v>0</v>
      </c>
    </row>
    <row r="55" spans="1:12" ht="15">
      <c r="A55" s="81" t="s">
        <v>3290</v>
      </c>
      <c r="B55" s="80" t="s">
        <v>3334</v>
      </c>
      <c r="C55" s="80">
        <v>11</v>
      </c>
      <c r="D55" s="105">
        <v>0.0033941714287033017</v>
      </c>
      <c r="E55" s="105">
        <v>2.421410347868675</v>
      </c>
      <c r="F55" s="80" t="s">
        <v>3896</v>
      </c>
      <c r="G55" s="80" t="b">
        <v>0</v>
      </c>
      <c r="H55" s="80" t="b">
        <v>0</v>
      </c>
      <c r="I55" s="80" t="b">
        <v>0</v>
      </c>
      <c r="J55" s="80" t="b">
        <v>0</v>
      </c>
      <c r="K55" s="80" t="b">
        <v>0</v>
      </c>
      <c r="L55" s="80" t="b">
        <v>0</v>
      </c>
    </row>
    <row r="56" spans="1:12" ht="15">
      <c r="A56" s="81" t="s">
        <v>3334</v>
      </c>
      <c r="B56" s="80" t="s">
        <v>3335</v>
      </c>
      <c r="C56" s="80">
        <v>11</v>
      </c>
      <c r="D56" s="105">
        <v>0.0033941714287033017</v>
      </c>
      <c r="E56" s="105">
        <v>2.610466584088724</v>
      </c>
      <c r="F56" s="80" t="s">
        <v>3896</v>
      </c>
      <c r="G56" s="80" t="b">
        <v>0</v>
      </c>
      <c r="H56" s="80" t="b">
        <v>0</v>
      </c>
      <c r="I56" s="80" t="b">
        <v>0</v>
      </c>
      <c r="J56" s="80" t="b">
        <v>0</v>
      </c>
      <c r="K56" s="80" t="b">
        <v>0</v>
      </c>
      <c r="L56" s="80" t="b">
        <v>0</v>
      </c>
    </row>
    <row r="57" spans="1:12" ht="15">
      <c r="A57" s="81" t="s">
        <v>3335</v>
      </c>
      <c r="B57" s="80" t="s">
        <v>3336</v>
      </c>
      <c r="C57" s="80">
        <v>11</v>
      </c>
      <c r="D57" s="105">
        <v>0.0033941714287033017</v>
      </c>
      <c r="E57" s="105">
        <v>2.610466584088724</v>
      </c>
      <c r="F57" s="80" t="s">
        <v>3896</v>
      </c>
      <c r="G57" s="80" t="b">
        <v>0</v>
      </c>
      <c r="H57" s="80" t="b">
        <v>0</v>
      </c>
      <c r="I57" s="80" t="b">
        <v>0</v>
      </c>
      <c r="J57" s="80" t="b">
        <v>0</v>
      </c>
      <c r="K57" s="80" t="b">
        <v>0</v>
      </c>
      <c r="L57" s="80" t="b">
        <v>0</v>
      </c>
    </row>
    <row r="58" spans="1:12" ht="15">
      <c r="A58" s="81" t="s">
        <v>3336</v>
      </c>
      <c r="B58" s="80" t="s">
        <v>3303</v>
      </c>
      <c r="C58" s="80">
        <v>11</v>
      </c>
      <c r="D58" s="105">
        <v>0.0033941714287033017</v>
      </c>
      <c r="E58" s="105">
        <v>2.475768010191268</v>
      </c>
      <c r="F58" s="80" t="s">
        <v>3896</v>
      </c>
      <c r="G58" s="80" t="b">
        <v>0</v>
      </c>
      <c r="H58" s="80" t="b">
        <v>0</v>
      </c>
      <c r="I58" s="80" t="b">
        <v>0</v>
      </c>
      <c r="J58" s="80" t="b">
        <v>0</v>
      </c>
      <c r="K58" s="80" t="b">
        <v>0</v>
      </c>
      <c r="L58" s="80" t="b">
        <v>0</v>
      </c>
    </row>
    <row r="59" spans="1:12" ht="15">
      <c r="A59" s="81" t="s">
        <v>3303</v>
      </c>
      <c r="B59" s="80" t="s">
        <v>3302</v>
      </c>
      <c r="C59" s="80">
        <v>11</v>
      </c>
      <c r="D59" s="105">
        <v>0.0033941714287033017</v>
      </c>
      <c r="E59" s="105">
        <v>2.3130407126935677</v>
      </c>
      <c r="F59" s="80" t="s">
        <v>3896</v>
      </c>
      <c r="G59" s="80" t="b">
        <v>0</v>
      </c>
      <c r="H59" s="80" t="b">
        <v>0</v>
      </c>
      <c r="I59" s="80" t="b">
        <v>0</v>
      </c>
      <c r="J59" s="80" t="b">
        <v>0</v>
      </c>
      <c r="K59" s="80" t="b">
        <v>0</v>
      </c>
      <c r="L59" s="80" t="b">
        <v>0</v>
      </c>
    </row>
    <row r="60" spans="1:12" ht="15">
      <c r="A60" s="81" t="s">
        <v>3302</v>
      </c>
      <c r="B60" s="80" t="s">
        <v>3260</v>
      </c>
      <c r="C60" s="80">
        <v>11</v>
      </c>
      <c r="D60" s="105">
        <v>0.0033941714287033017</v>
      </c>
      <c r="E60" s="105">
        <v>0.9812761000534184</v>
      </c>
      <c r="F60" s="80" t="s">
        <v>3896</v>
      </c>
      <c r="G60" s="80" t="b">
        <v>0</v>
      </c>
      <c r="H60" s="80" t="b">
        <v>0</v>
      </c>
      <c r="I60" s="80" t="b">
        <v>0</v>
      </c>
      <c r="J60" s="80" t="b">
        <v>0</v>
      </c>
      <c r="K60" s="80" t="b">
        <v>0</v>
      </c>
      <c r="L60" s="80" t="b">
        <v>0</v>
      </c>
    </row>
    <row r="61" spans="1:12" ht="15">
      <c r="A61" s="81" t="s">
        <v>3260</v>
      </c>
      <c r="B61" s="80" t="s">
        <v>3305</v>
      </c>
      <c r="C61" s="80">
        <v>10</v>
      </c>
      <c r="D61" s="105">
        <v>0.0031713983382447297</v>
      </c>
      <c r="E61" s="105">
        <v>1.2253480078823737</v>
      </c>
      <c r="F61" s="80" t="s">
        <v>3896</v>
      </c>
      <c r="G61" s="80" t="b">
        <v>0</v>
      </c>
      <c r="H61" s="80" t="b">
        <v>0</v>
      </c>
      <c r="I61" s="80" t="b">
        <v>0</v>
      </c>
      <c r="J61" s="80" t="b">
        <v>0</v>
      </c>
      <c r="K61" s="80" t="b">
        <v>0</v>
      </c>
      <c r="L61" s="80" t="b">
        <v>0</v>
      </c>
    </row>
    <row r="62" spans="1:12" ht="15">
      <c r="A62" s="81" t="s">
        <v>3277</v>
      </c>
      <c r="B62" s="80" t="s">
        <v>3263</v>
      </c>
      <c r="C62" s="80">
        <v>9</v>
      </c>
      <c r="D62" s="105">
        <v>0.0029396092640152985</v>
      </c>
      <c r="E62" s="105">
        <v>1.5746933144346498</v>
      </c>
      <c r="F62" s="80" t="s">
        <v>3896</v>
      </c>
      <c r="G62" s="80" t="b">
        <v>0</v>
      </c>
      <c r="H62" s="80" t="b">
        <v>0</v>
      </c>
      <c r="I62" s="80" t="b">
        <v>0</v>
      </c>
      <c r="J62" s="80" t="b">
        <v>0</v>
      </c>
      <c r="K62" s="80" t="b">
        <v>0</v>
      </c>
      <c r="L62" s="80" t="b">
        <v>0</v>
      </c>
    </row>
    <row r="63" spans="1:12" ht="15">
      <c r="A63" s="81" t="s">
        <v>3264</v>
      </c>
      <c r="B63" s="80" t="s">
        <v>3265</v>
      </c>
      <c r="C63" s="80">
        <v>9</v>
      </c>
      <c r="D63" s="105">
        <v>0.0029396092640152985</v>
      </c>
      <c r="E63" s="105">
        <v>2.0183908136673625</v>
      </c>
      <c r="F63" s="80" t="s">
        <v>3896</v>
      </c>
      <c r="G63" s="80" t="b">
        <v>0</v>
      </c>
      <c r="H63" s="80" t="b">
        <v>0</v>
      </c>
      <c r="I63" s="80" t="b">
        <v>0</v>
      </c>
      <c r="J63" s="80" t="b">
        <v>0</v>
      </c>
      <c r="K63" s="80" t="b">
        <v>0</v>
      </c>
      <c r="L63" s="80" t="b">
        <v>0</v>
      </c>
    </row>
    <row r="64" spans="1:12" ht="15">
      <c r="A64" s="81" t="s">
        <v>3337</v>
      </c>
      <c r="B64" s="80" t="s">
        <v>3342</v>
      </c>
      <c r="C64" s="80">
        <v>9</v>
      </c>
      <c r="D64" s="105">
        <v>0.0029396092640152985</v>
      </c>
      <c r="E64" s="105">
        <v>2.651859269246949</v>
      </c>
      <c r="F64" s="80" t="s">
        <v>3896</v>
      </c>
      <c r="G64" s="80" t="b">
        <v>0</v>
      </c>
      <c r="H64" s="80" t="b">
        <v>0</v>
      </c>
      <c r="I64" s="80" t="b">
        <v>0</v>
      </c>
      <c r="J64" s="80" t="b">
        <v>0</v>
      </c>
      <c r="K64" s="80" t="b">
        <v>0</v>
      </c>
      <c r="L64" s="80" t="b">
        <v>0</v>
      </c>
    </row>
    <row r="65" spans="1:12" ht="15">
      <c r="A65" s="81" t="s">
        <v>3342</v>
      </c>
      <c r="B65" s="80" t="s">
        <v>3312</v>
      </c>
      <c r="C65" s="80">
        <v>9</v>
      </c>
      <c r="D65" s="105">
        <v>0.0029396092640152985</v>
      </c>
      <c r="E65" s="105">
        <v>2.537915916940112</v>
      </c>
      <c r="F65" s="80" t="s">
        <v>3896</v>
      </c>
      <c r="G65" s="80" t="b">
        <v>0</v>
      </c>
      <c r="H65" s="80" t="b">
        <v>0</v>
      </c>
      <c r="I65" s="80" t="b">
        <v>0</v>
      </c>
      <c r="J65" s="80" t="b">
        <v>0</v>
      </c>
      <c r="K65" s="80" t="b">
        <v>0</v>
      </c>
      <c r="L65" s="80" t="b">
        <v>0</v>
      </c>
    </row>
    <row r="66" spans="1:12" ht="15">
      <c r="A66" s="81" t="s">
        <v>3312</v>
      </c>
      <c r="B66" s="80" t="s">
        <v>500</v>
      </c>
      <c r="C66" s="80">
        <v>9</v>
      </c>
      <c r="D66" s="105">
        <v>0.0029396092640152985</v>
      </c>
      <c r="E66" s="105">
        <v>1.8689091359815364</v>
      </c>
      <c r="F66" s="80" t="s">
        <v>3896</v>
      </c>
      <c r="G66" s="80" t="b">
        <v>0</v>
      </c>
      <c r="H66" s="80" t="b">
        <v>0</v>
      </c>
      <c r="I66" s="80" t="b">
        <v>0</v>
      </c>
      <c r="J66" s="80" t="b">
        <v>0</v>
      </c>
      <c r="K66" s="80" t="b">
        <v>0</v>
      </c>
      <c r="L66" s="80" t="b">
        <v>0</v>
      </c>
    </row>
    <row r="67" spans="1:12" ht="15">
      <c r="A67" s="81" t="s">
        <v>500</v>
      </c>
      <c r="B67" s="80" t="s">
        <v>3282</v>
      </c>
      <c r="C67" s="80">
        <v>9</v>
      </c>
      <c r="D67" s="105">
        <v>0.0029396092640152985</v>
      </c>
      <c r="E67" s="105">
        <v>1.7487692822550054</v>
      </c>
      <c r="F67" s="80" t="s">
        <v>3896</v>
      </c>
      <c r="G67" s="80" t="b">
        <v>0</v>
      </c>
      <c r="H67" s="80" t="b">
        <v>0</v>
      </c>
      <c r="I67" s="80" t="b">
        <v>0</v>
      </c>
      <c r="J67" s="80" t="b">
        <v>0</v>
      </c>
      <c r="K67" s="80" t="b">
        <v>0</v>
      </c>
      <c r="L67" s="80" t="b">
        <v>0</v>
      </c>
    </row>
    <row r="68" spans="1:12" ht="15">
      <c r="A68" s="81" t="s">
        <v>3338</v>
      </c>
      <c r="B68" s="80" t="s">
        <v>3306</v>
      </c>
      <c r="C68" s="80">
        <v>9</v>
      </c>
      <c r="D68" s="105">
        <v>0.0029396092640152985</v>
      </c>
      <c r="E68" s="105">
        <v>2.4599737430080357</v>
      </c>
      <c r="F68" s="80" t="s">
        <v>3896</v>
      </c>
      <c r="G68" s="80" t="b">
        <v>0</v>
      </c>
      <c r="H68" s="80" t="b">
        <v>0</v>
      </c>
      <c r="I68" s="80" t="b">
        <v>0</v>
      </c>
      <c r="J68" s="80" t="b">
        <v>1</v>
      </c>
      <c r="K68" s="80" t="b">
        <v>0</v>
      </c>
      <c r="L68" s="80" t="b">
        <v>0</v>
      </c>
    </row>
    <row r="69" spans="1:12" ht="15">
      <c r="A69" s="81" t="s">
        <v>3306</v>
      </c>
      <c r="B69" s="80" t="s">
        <v>3282</v>
      </c>
      <c r="C69" s="80">
        <v>9</v>
      </c>
      <c r="D69" s="105">
        <v>0.0029396092640152985</v>
      </c>
      <c r="E69" s="105">
        <v>2.2047012379047297</v>
      </c>
      <c r="F69" s="80" t="s">
        <v>3896</v>
      </c>
      <c r="G69" s="80" t="b">
        <v>1</v>
      </c>
      <c r="H69" s="80" t="b">
        <v>0</v>
      </c>
      <c r="I69" s="80" t="b">
        <v>0</v>
      </c>
      <c r="J69" s="80" t="b">
        <v>0</v>
      </c>
      <c r="K69" s="80" t="b">
        <v>0</v>
      </c>
      <c r="L69" s="80" t="b">
        <v>0</v>
      </c>
    </row>
    <row r="70" spans="1:12" ht="15">
      <c r="A70" s="81" t="s">
        <v>3345</v>
      </c>
      <c r="B70" s="80" t="s">
        <v>3346</v>
      </c>
      <c r="C70" s="80">
        <v>9</v>
      </c>
      <c r="D70" s="105">
        <v>0.0029396092640152985</v>
      </c>
      <c r="E70" s="105">
        <v>2.697616759807624</v>
      </c>
      <c r="F70" s="80" t="s">
        <v>3896</v>
      </c>
      <c r="G70" s="80" t="b">
        <v>0</v>
      </c>
      <c r="H70" s="80" t="b">
        <v>0</v>
      </c>
      <c r="I70" s="80" t="b">
        <v>0</v>
      </c>
      <c r="J70" s="80" t="b">
        <v>0</v>
      </c>
      <c r="K70" s="80" t="b">
        <v>0</v>
      </c>
      <c r="L70" s="80" t="b">
        <v>0</v>
      </c>
    </row>
    <row r="71" spans="1:12" ht="15">
      <c r="A71" s="81" t="s">
        <v>3346</v>
      </c>
      <c r="B71" s="80" t="s">
        <v>3347</v>
      </c>
      <c r="C71" s="80">
        <v>9</v>
      </c>
      <c r="D71" s="105">
        <v>0.0029396092640152985</v>
      </c>
      <c r="E71" s="105">
        <v>2.697616759807624</v>
      </c>
      <c r="F71" s="80" t="s">
        <v>3896</v>
      </c>
      <c r="G71" s="80" t="b">
        <v>0</v>
      </c>
      <c r="H71" s="80" t="b">
        <v>0</v>
      </c>
      <c r="I71" s="80" t="b">
        <v>0</v>
      </c>
      <c r="J71" s="80" t="b">
        <v>0</v>
      </c>
      <c r="K71" s="80" t="b">
        <v>0</v>
      </c>
      <c r="L71" s="80" t="b">
        <v>0</v>
      </c>
    </row>
    <row r="72" spans="1:12" ht="15">
      <c r="A72" s="81" t="s">
        <v>3347</v>
      </c>
      <c r="B72" s="80" t="s">
        <v>3260</v>
      </c>
      <c r="C72" s="80">
        <v>9</v>
      </c>
      <c r="D72" s="105">
        <v>0.0029396092640152985</v>
      </c>
      <c r="E72" s="105">
        <v>1.1440033975511181</v>
      </c>
      <c r="F72" s="80" t="s">
        <v>3896</v>
      </c>
      <c r="G72" s="80" t="b">
        <v>0</v>
      </c>
      <c r="H72" s="80" t="b">
        <v>0</v>
      </c>
      <c r="I72" s="80" t="b">
        <v>0</v>
      </c>
      <c r="J72" s="80" t="b">
        <v>0</v>
      </c>
      <c r="K72" s="80" t="b">
        <v>0</v>
      </c>
      <c r="L72" s="80" t="b">
        <v>0</v>
      </c>
    </row>
    <row r="73" spans="1:12" ht="15">
      <c r="A73" s="81" t="s">
        <v>3262</v>
      </c>
      <c r="B73" s="80" t="s">
        <v>3322</v>
      </c>
      <c r="C73" s="80">
        <v>9</v>
      </c>
      <c r="D73" s="105">
        <v>0.0029396092640152985</v>
      </c>
      <c r="E73" s="105">
        <v>1.86573908919203</v>
      </c>
      <c r="F73" s="80" t="s">
        <v>3896</v>
      </c>
      <c r="G73" s="80" t="b">
        <v>0</v>
      </c>
      <c r="H73" s="80" t="b">
        <v>0</v>
      </c>
      <c r="I73" s="80" t="b">
        <v>0</v>
      </c>
      <c r="J73" s="80" t="b">
        <v>0</v>
      </c>
      <c r="K73" s="80" t="b">
        <v>0</v>
      </c>
      <c r="L73" s="80" t="b">
        <v>0</v>
      </c>
    </row>
    <row r="74" spans="1:12" ht="15">
      <c r="A74" s="81" t="s">
        <v>3322</v>
      </c>
      <c r="B74" s="80" t="s">
        <v>3262</v>
      </c>
      <c r="C74" s="80">
        <v>9</v>
      </c>
      <c r="D74" s="105">
        <v>0.0029396092640152985</v>
      </c>
      <c r="E74" s="105">
        <v>1.86573908919203</v>
      </c>
      <c r="F74" s="80" t="s">
        <v>3896</v>
      </c>
      <c r="G74" s="80" t="b">
        <v>0</v>
      </c>
      <c r="H74" s="80" t="b">
        <v>0</v>
      </c>
      <c r="I74" s="80" t="b">
        <v>0</v>
      </c>
      <c r="J74" s="80" t="b">
        <v>0</v>
      </c>
      <c r="K74" s="80" t="b">
        <v>0</v>
      </c>
      <c r="L74" s="80" t="b">
        <v>0</v>
      </c>
    </row>
    <row r="75" spans="1:12" ht="15">
      <c r="A75" s="81" t="s">
        <v>3262</v>
      </c>
      <c r="B75" s="80" t="s">
        <v>795</v>
      </c>
      <c r="C75" s="80">
        <v>9</v>
      </c>
      <c r="D75" s="105">
        <v>0.0029396092640152985</v>
      </c>
      <c r="E75" s="105">
        <v>1.82795052830263</v>
      </c>
      <c r="F75" s="80" t="s">
        <v>3896</v>
      </c>
      <c r="G75" s="80" t="b">
        <v>0</v>
      </c>
      <c r="H75" s="80" t="b">
        <v>0</v>
      </c>
      <c r="I75" s="80" t="b">
        <v>0</v>
      </c>
      <c r="J75" s="80" t="b">
        <v>0</v>
      </c>
      <c r="K75" s="80" t="b">
        <v>0</v>
      </c>
      <c r="L75" s="80" t="b">
        <v>0</v>
      </c>
    </row>
    <row r="76" spans="1:12" ht="15">
      <c r="A76" s="81" t="s">
        <v>795</v>
      </c>
      <c r="B76" s="80" t="s">
        <v>3262</v>
      </c>
      <c r="C76" s="80">
        <v>9</v>
      </c>
      <c r="D76" s="105">
        <v>0.0029396092640152985</v>
      </c>
      <c r="E76" s="105">
        <v>1.82795052830263</v>
      </c>
      <c r="F76" s="80" t="s">
        <v>3896</v>
      </c>
      <c r="G76" s="80" t="b">
        <v>0</v>
      </c>
      <c r="H76" s="80" t="b">
        <v>0</v>
      </c>
      <c r="I76" s="80" t="b">
        <v>0</v>
      </c>
      <c r="J76" s="80" t="b">
        <v>0</v>
      </c>
      <c r="K76" s="80" t="b">
        <v>0</v>
      </c>
      <c r="L76" s="80" t="b">
        <v>0</v>
      </c>
    </row>
    <row r="77" spans="1:12" ht="15">
      <c r="A77" s="81" t="s">
        <v>3262</v>
      </c>
      <c r="B77" s="80" t="s">
        <v>3320</v>
      </c>
      <c r="C77" s="80">
        <v>9</v>
      </c>
      <c r="D77" s="105">
        <v>0.0029396092640152985</v>
      </c>
      <c r="E77" s="105">
        <v>1.82795052830263</v>
      </c>
      <c r="F77" s="80" t="s">
        <v>3896</v>
      </c>
      <c r="G77" s="80" t="b">
        <v>0</v>
      </c>
      <c r="H77" s="80" t="b">
        <v>0</v>
      </c>
      <c r="I77" s="80" t="b">
        <v>0</v>
      </c>
      <c r="J77" s="80" t="b">
        <v>0</v>
      </c>
      <c r="K77" s="80" t="b">
        <v>0</v>
      </c>
      <c r="L77" s="80" t="b">
        <v>0</v>
      </c>
    </row>
    <row r="78" spans="1:12" ht="15">
      <c r="A78" s="81" t="s">
        <v>3266</v>
      </c>
      <c r="B78" s="80" t="s">
        <v>3288</v>
      </c>
      <c r="C78" s="80">
        <v>8</v>
      </c>
      <c r="D78" s="105">
        <v>0.0026977984849096597</v>
      </c>
      <c r="E78" s="105">
        <v>1.780432290510343</v>
      </c>
      <c r="F78" s="80" t="s">
        <v>3896</v>
      </c>
      <c r="G78" s="80" t="b">
        <v>0</v>
      </c>
      <c r="H78" s="80" t="b">
        <v>0</v>
      </c>
      <c r="I78" s="80" t="b">
        <v>0</v>
      </c>
      <c r="J78" s="80" t="b">
        <v>0</v>
      </c>
      <c r="K78" s="80" t="b">
        <v>0</v>
      </c>
      <c r="L78" s="80" t="b">
        <v>0</v>
      </c>
    </row>
    <row r="79" spans="1:12" ht="15">
      <c r="A79" s="81" t="s">
        <v>3288</v>
      </c>
      <c r="B79" s="80" t="s">
        <v>3260</v>
      </c>
      <c r="C79" s="80">
        <v>8</v>
      </c>
      <c r="D79" s="105">
        <v>0.0026977984849096597</v>
      </c>
      <c r="E79" s="105">
        <v>0.8166444631647877</v>
      </c>
      <c r="F79" s="80" t="s">
        <v>3896</v>
      </c>
      <c r="G79" s="80" t="b">
        <v>0</v>
      </c>
      <c r="H79" s="80" t="b">
        <v>0</v>
      </c>
      <c r="I79" s="80" t="b">
        <v>0</v>
      </c>
      <c r="J79" s="80" t="b">
        <v>0</v>
      </c>
      <c r="K79" s="80" t="b">
        <v>0</v>
      </c>
      <c r="L79" s="80" t="b">
        <v>0</v>
      </c>
    </row>
    <row r="80" spans="1:12" ht="15">
      <c r="A80" s="81" t="s">
        <v>3261</v>
      </c>
      <c r="B80" s="80" t="s">
        <v>3276</v>
      </c>
      <c r="C80" s="80">
        <v>8</v>
      </c>
      <c r="D80" s="105">
        <v>0.0026977984849096597</v>
      </c>
      <c r="E80" s="105">
        <v>1.357668698113273</v>
      </c>
      <c r="F80" s="80" t="s">
        <v>3896</v>
      </c>
      <c r="G80" s="80" t="b">
        <v>0</v>
      </c>
      <c r="H80" s="80" t="b">
        <v>0</v>
      </c>
      <c r="I80" s="80" t="b">
        <v>0</v>
      </c>
      <c r="J80" s="80" t="b">
        <v>0</v>
      </c>
      <c r="K80" s="80" t="b">
        <v>0</v>
      </c>
      <c r="L80" s="80" t="b">
        <v>0</v>
      </c>
    </row>
    <row r="81" spans="1:12" ht="15">
      <c r="A81" s="81" t="s">
        <v>3265</v>
      </c>
      <c r="B81" s="80" t="s">
        <v>3275</v>
      </c>
      <c r="C81" s="80">
        <v>8</v>
      </c>
      <c r="D81" s="105">
        <v>0.0026977984849096597</v>
      </c>
      <c r="E81" s="105">
        <v>1.6255303305245998</v>
      </c>
      <c r="F81" s="80" t="s">
        <v>3896</v>
      </c>
      <c r="G81" s="80" t="b">
        <v>0</v>
      </c>
      <c r="H81" s="80" t="b">
        <v>0</v>
      </c>
      <c r="I81" s="80" t="b">
        <v>0</v>
      </c>
      <c r="J81" s="80" t="b">
        <v>0</v>
      </c>
      <c r="K81" s="80" t="b">
        <v>0</v>
      </c>
      <c r="L81" s="80" t="b">
        <v>0</v>
      </c>
    </row>
    <row r="82" spans="1:12" ht="15">
      <c r="A82" s="81" t="s">
        <v>3343</v>
      </c>
      <c r="B82" s="80" t="s">
        <v>3350</v>
      </c>
      <c r="C82" s="80">
        <v>8</v>
      </c>
      <c r="D82" s="105">
        <v>0.0026977984849096597</v>
      </c>
      <c r="E82" s="105">
        <v>2.697616759807624</v>
      </c>
      <c r="F82" s="80" t="s">
        <v>3896</v>
      </c>
      <c r="G82" s="80" t="b">
        <v>0</v>
      </c>
      <c r="H82" s="80" t="b">
        <v>0</v>
      </c>
      <c r="I82" s="80" t="b">
        <v>0</v>
      </c>
      <c r="J82" s="80" t="b">
        <v>0</v>
      </c>
      <c r="K82" s="80" t="b">
        <v>0</v>
      </c>
      <c r="L82" s="80" t="b">
        <v>0</v>
      </c>
    </row>
    <row r="83" spans="1:12" ht="15">
      <c r="A83" s="81" t="s">
        <v>3350</v>
      </c>
      <c r="B83" s="80" t="s">
        <v>3344</v>
      </c>
      <c r="C83" s="80">
        <v>8</v>
      </c>
      <c r="D83" s="105">
        <v>0.0026977984849096597</v>
      </c>
      <c r="E83" s="105">
        <v>2.697616759807624</v>
      </c>
      <c r="F83" s="80" t="s">
        <v>3896</v>
      </c>
      <c r="G83" s="80" t="b">
        <v>0</v>
      </c>
      <c r="H83" s="80" t="b">
        <v>0</v>
      </c>
      <c r="I83" s="80" t="b">
        <v>0</v>
      </c>
      <c r="J83" s="80" t="b">
        <v>0</v>
      </c>
      <c r="K83" s="80" t="b">
        <v>0</v>
      </c>
      <c r="L83" s="80" t="b">
        <v>0</v>
      </c>
    </row>
    <row r="84" spans="1:12" ht="15">
      <c r="A84" s="81" t="s">
        <v>3344</v>
      </c>
      <c r="B84" s="80" t="s">
        <v>3270</v>
      </c>
      <c r="C84" s="80">
        <v>8</v>
      </c>
      <c r="D84" s="105">
        <v>0.0026977984849096597</v>
      </c>
      <c r="E84" s="105">
        <v>2.697616759807624</v>
      </c>
      <c r="F84" s="80" t="s">
        <v>3896</v>
      </c>
      <c r="G84" s="80" t="b">
        <v>0</v>
      </c>
      <c r="H84" s="80" t="b">
        <v>0</v>
      </c>
      <c r="I84" s="80" t="b">
        <v>0</v>
      </c>
      <c r="J84" s="80" t="b">
        <v>0</v>
      </c>
      <c r="K84" s="80" t="b">
        <v>0</v>
      </c>
      <c r="L84" s="80" t="b">
        <v>0</v>
      </c>
    </row>
    <row r="85" spans="1:12" ht="15">
      <c r="A85" s="81" t="s">
        <v>3265</v>
      </c>
      <c r="B85" s="80" t="s">
        <v>3263</v>
      </c>
      <c r="C85" s="80">
        <v>8</v>
      </c>
      <c r="D85" s="105">
        <v>0.0026977984849096597</v>
      </c>
      <c r="E85" s="105">
        <v>1.390001883617051</v>
      </c>
      <c r="F85" s="80" t="s">
        <v>3896</v>
      </c>
      <c r="G85" s="80" t="b">
        <v>0</v>
      </c>
      <c r="H85" s="80" t="b">
        <v>0</v>
      </c>
      <c r="I85" s="80" t="b">
        <v>0</v>
      </c>
      <c r="J85" s="80" t="b">
        <v>0</v>
      </c>
      <c r="K85" s="80" t="b">
        <v>0</v>
      </c>
      <c r="L85" s="80" t="b">
        <v>0</v>
      </c>
    </row>
    <row r="86" spans="1:12" ht="15">
      <c r="A86" s="81" t="s">
        <v>3352</v>
      </c>
      <c r="B86" s="80" t="s">
        <v>3307</v>
      </c>
      <c r="C86" s="80">
        <v>8</v>
      </c>
      <c r="D86" s="105">
        <v>0.0026977984849096597</v>
      </c>
      <c r="E86" s="105">
        <v>2.505731233568711</v>
      </c>
      <c r="F86" s="80" t="s">
        <v>3896</v>
      </c>
      <c r="G86" s="80" t="b">
        <v>0</v>
      </c>
      <c r="H86" s="80" t="b">
        <v>0</v>
      </c>
      <c r="I86" s="80" t="b">
        <v>0</v>
      </c>
      <c r="J86" s="80" t="b">
        <v>0</v>
      </c>
      <c r="K86" s="80" t="b">
        <v>0</v>
      </c>
      <c r="L86" s="80" t="b">
        <v>0</v>
      </c>
    </row>
    <row r="87" spans="1:12" ht="15">
      <c r="A87" s="81" t="s">
        <v>3307</v>
      </c>
      <c r="B87" s="80" t="s">
        <v>3353</v>
      </c>
      <c r="C87" s="80">
        <v>8</v>
      </c>
      <c r="D87" s="105">
        <v>0.0026977984849096597</v>
      </c>
      <c r="E87" s="105">
        <v>2.505731233568711</v>
      </c>
      <c r="F87" s="80" t="s">
        <v>3896</v>
      </c>
      <c r="G87" s="80" t="b">
        <v>0</v>
      </c>
      <c r="H87" s="80" t="b">
        <v>0</v>
      </c>
      <c r="I87" s="80" t="b">
        <v>0</v>
      </c>
      <c r="J87" s="80" t="b">
        <v>0</v>
      </c>
      <c r="K87" s="80" t="b">
        <v>0</v>
      </c>
      <c r="L87" s="80" t="b">
        <v>0</v>
      </c>
    </row>
    <row r="88" spans="1:12" ht="15">
      <c r="A88" s="81" t="s">
        <v>3353</v>
      </c>
      <c r="B88" s="80" t="s">
        <v>3354</v>
      </c>
      <c r="C88" s="80">
        <v>8</v>
      </c>
      <c r="D88" s="105">
        <v>0.0026977984849096597</v>
      </c>
      <c r="E88" s="105">
        <v>2.7487692822550054</v>
      </c>
      <c r="F88" s="80" t="s">
        <v>3896</v>
      </c>
      <c r="G88" s="80" t="b">
        <v>0</v>
      </c>
      <c r="H88" s="80" t="b">
        <v>0</v>
      </c>
      <c r="I88" s="80" t="b">
        <v>0</v>
      </c>
      <c r="J88" s="80" t="b">
        <v>0</v>
      </c>
      <c r="K88" s="80" t="b">
        <v>0</v>
      </c>
      <c r="L88" s="80" t="b">
        <v>0</v>
      </c>
    </row>
    <row r="89" spans="1:12" ht="15">
      <c r="A89" s="81" t="s">
        <v>3354</v>
      </c>
      <c r="B89" s="80" t="s">
        <v>3355</v>
      </c>
      <c r="C89" s="80">
        <v>8</v>
      </c>
      <c r="D89" s="105">
        <v>0.0026977984849096597</v>
      </c>
      <c r="E89" s="105">
        <v>2.7487692822550054</v>
      </c>
      <c r="F89" s="80" t="s">
        <v>3896</v>
      </c>
      <c r="G89" s="80" t="b">
        <v>0</v>
      </c>
      <c r="H89" s="80" t="b">
        <v>0</v>
      </c>
      <c r="I89" s="80" t="b">
        <v>0</v>
      </c>
      <c r="J89" s="80" t="b">
        <v>0</v>
      </c>
      <c r="K89" s="80" t="b">
        <v>0</v>
      </c>
      <c r="L89" s="80" t="b">
        <v>0</v>
      </c>
    </row>
    <row r="90" spans="1:12" ht="15">
      <c r="A90" s="81" t="s">
        <v>3355</v>
      </c>
      <c r="B90" s="80" t="s">
        <v>3260</v>
      </c>
      <c r="C90" s="80">
        <v>8</v>
      </c>
      <c r="D90" s="105">
        <v>0.0026977984849096597</v>
      </c>
      <c r="E90" s="105">
        <v>1.1440033975511181</v>
      </c>
      <c r="F90" s="80" t="s">
        <v>3896</v>
      </c>
      <c r="G90" s="80" t="b">
        <v>0</v>
      </c>
      <c r="H90" s="80" t="b">
        <v>0</v>
      </c>
      <c r="I90" s="80" t="b">
        <v>0</v>
      </c>
      <c r="J90" s="80" t="b">
        <v>0</v>
      </c>
      <c r="K90" s="80" t="b">
        <v>0</v>
      </c>
      <c r="L90" s="80" t="b">
        <v>0</v>
      </c>
    </row>
    <row r="91" spans="1:12" ht="15">
      <c r="A91" s="81" t="s">
        <v>3320</v>
      </c>
      <c r="B91" s="80" t="s">
        <v>3262</v>
      </c>
      <c r="C91" s="80">
        <v>8</v>
      </c>
      <c r="D91" s="105">
        <v>0.0026977984849096597</v>
      </c>
      <c r="E91" s="105">
        <v>1.7767980058552488</v>
      </c>
      <c r="F91" s="80" t="s">
        <v>3896</v>
      </c>
      <c r="G91" s="80" t="b">
        <v>0</v>
      </c>
      <c r="H91" s="80" t="b">
        <v>0</v>
      </c>
      <c r="I91" s="80" t="b">
        <v>0</v>
      </c>
      <c r="J91" s="80" t="b">
        <v>0</v>
      </c>
      <c r="K91" s="80" t="b">
        <v>0</v>
      </c>
      <c r="L91" s="80" t="b">
        <v>0</v>
      </c>
    </row>
    <row r="92" spans="1:12" ht="15">
      <c r="A92" s="81" t="s">
        <v>3262</v>
      </c>
      <c r="B92" s="80" t="s">
        <v>3323</v>
      </c>
      <c r="C92" s="80">
        <v>8</v>
      </c>
      <c r="D92" s="105">
        <v>0.0026977984849096597</v>
      </c>
      <c r="E92" s="105">
        <v>1.8145865667446486</v>
      </c>
      <c r="F92" s="80" t="s">
        <v>3896</v>
      </c>
      <c r="G92" s="80" t="b">
        <v>0</v>
      </c>
      <c r="H92" s="80" t="b">
        <v>0</v>
      </c>
      <c r="I92" s="80" t="b">
        <v>0</v>
      </c>
      <c r="J92" s="80" t="b">
        <v>0</v>
      </c>
      <c r="K92" s="80" t="b">
        <v>0</v>
      </c>
      <c r="L92" s="80" t="b">
        <v>0</v>
      </c>
    </row>
    <row r="93" spans="1:12" ht="15">
      <c r="A93" s="81" t="s">
        <v>3362</v>
      </c>
      <c r="B93" s="80" t="s">
        <v>3363</v>
      </c>
      <c r="C93" s="80">
        <v>8</v>
      </c>
      <c r="D93" s="105">
        <v>0.0026977984849096597</v>
      </c>
      <c r="E93" s="105">
        <v>2.7487692822550054</v>
      </c>
      <c r="F93" s="80" t="s">
        <v>3896</v>
      </c>
      <c r="G93" s="80" t="b">
        <v>0</v>
      </c>
      <c r="H93" s="80" t="b">
        <v>0</v>
      </c>
      <c r="I93" s="80" t="b">
        <v>0</v>
      </c>
      <c r="J93" s="80" t="b">
        <v>0</v>
      </c>
      <c r="K93" s="80" t="b">
        <v>0</v>
      </c>
      <c r="L93" s="80" t="b">
        <v>0</v>
      </c>
    </row>
    <row r="94" spans="1:12" ht="15">
      <c r="A94" s="81" t="s">
        <v>3261</v>
      </c>
      <c r="B94" s="80" t="s">
        <v>3260</v>
      </c>
      <c r="C94" s="80">
        <v>8</v>
      </c>
      <c r="D94" s="105">
        <v>0.0026977984849096597</v>
      </c>
      <c r="E94" s="105">
        <v>0.2477528350894799</v>
      </c>
      <c r="F94" s="80" t="s">
        <v>3896</v>
      </c>
      <c r="G94" s="80" t="b">
        <v>0</v>
      </c>
      <c r="H94" s="80" t="b">
        <v>0</v>
      </c>
      <c r="I94" s="80" t="b">
        <v>0</v>
      </c>
      <c r="J94" s="80" t="b">
        <v>0</v>
      </c>
      <c r="K94" s="80" t="b">
        <v>0</v>
      </c>
      <c r="L94" s="80" t="b">
        <v>0</v>
      </c>
    </row>
    <row r="95" spans="1:12" ht="15">
      <c r="A95" s="81" t="s">
        <v>3367</v>
      </c>
      <c r="B95" s="80" t="s">
        <v>3368</v>
      </c>
      <c r="C95" s="80">
        <v>7</v>
      </c>
      <c r="D95" s="105">
        <v>0.0027973011291452517</v>
      </c>
      <c r="E95" s="105">
        <v>2.8067612292326922</v>
      </c>
      <c r="F95" s="80" t="s">
        <v>3896</v>
      </c>
      <c r="G95" s="80" t="b">
        <v>0</v>
      </c>
      <c r="H95" s="80" t="b">
        <v>0</v>
      </c>
      <c r="I95" s="80" t="b">
        <v>0</v>
      </c>
      <c r="J95" s="80" t="b">
        <v>0</v>
      </c>
      <c r="K95" s="80" t="b">
        <v>0</v>
      </c>
      <c r="L95" s="80" t="b">
        <v>0</v>
      </c>
    </row>
    <row r="96" spans="1:12" ht="15">
      <c r="A96" s="81" t="s">
        <v>3266</v>
      </c>
      <c r="B96" s="80" t="s">
        <v>3339</v>
      </c>
      <c r="C96" s="80">
        <v>7</v>
      </c>
      <c r="D96" s="105">
        <v>0.00244470706887498</v>
      </c>
      <c r="E96" s="105">
        <v>1.95288926491093</v>
      </c>
      <c r="F96" s="80" t="s">
        <v>3896</v>
      </c>
      <c r="G96" s="80" t="b">
        <v>0</v>
      </c>
      <c r="H96" s="80" t="b">
        <v>0</v>
      </c>
      <c r="I96" s="80" t="b">
        <v>0</v>
      </c>
      <c r="J96" s="80" t="b">
        <v>0</v>
      </c>
      <c r="K96" s="80" t="b">
        <v>0</v>
      </c>
      <c r="L96" s="80" t="b">
        <v>0</v>
      </c>
    </row>
    <row r="97" spans="1:12" ht="15">
      <c r="A97" s="81" t="s">
        <v>3323</v>
      </c>
      <c r="B97" s="80" t="s">
        <v>3262</v>
      </c>
      <c r="C97" s="80">
        <v>7</v>
      </c>
      <c r="D97" s="105">
        <v>0.00244470706887498</v>
      </c>
      <c r="E97" s="105">
        <v>1.756594619766962</v>
      </c>
      <c r="F97" s="80" t="s">
        <v>3896</v>
      </c>
      <c r="G97" s="80" t="b">
        <v>0</v>
      </c>
      <c r="H97" s="80" t="b">
        <v>0</v>
      </c>
      <c r="I97" s="80" t="b">
        <v>0</v>
      </c>
      <c r="J97" s="80" t="b">
        <v>0</v>
      </c>
      <c r="K97" s="80" t="b">
        <v>0</v>
      </c>
      <c r="L97" s="80" t="b">
        <v>0</v>
      </c>
    </row>
    <row r="98" spans="1:12" ht="15">
      <c r="A98" s="81" t="s">
        <v>3262</v>
      </c>
      <c r="B98" s="80" t="s">
        <v>3358</v>
      </c>
      <c r="C98" s="80">
        <v>7</v>
      </c>
      <c r="D98" s="105">
        <v>0.00244470706887498</v>
      </c>
      <c r="E98" s="105">
        <v>1.8948973179332433</v>
      </c>
      <c r="F98" s="80" t="s">
        <v>3896</v>
      </c>
      <c r="G98" s="80" t="b">
        <v>0</v>
      </c>
      <c r="H98" s="80" t="b">
        <v>0</v>
      </c>
      <c r="I98" s="80" t="b">
        <v>0</v>
      </c>
      <c r="J98" s="80" t="b">
        <v>0</v>
      </c>
      <c r="K98" s="80" t="b">
        <v>0</v>
      </c>
      <c r="L98" s="80" t="b">
        <v>0</v>
      </c>
    </row>
    <row r="99" spans="1:12" ht="15">
      <c r="A99" s="81" t="s">
        <v>3358</v>
      </c>
      <c r="B99" s="80" t="s">
        <v>3262</v>
      </c>
      <c r="C99" s="80">
        <v>7</v>
      </c>
      <c r="D99" s="105">
        <v>0.00244470706887498</v>
      </c>
      <c r="E99" s="105">
        <v>1.8948973179332433</v>
      </c>
      <c r="F99" s="80" t="s">
        <v>3896</v>
      </c>
      <c r="G99" s="80" t="b">
        <v>0</v>
      </c>
      <c r="H99" s="80" t="b">
        <v>0</v>
      </c>
      <c r="I99" s="80" t="b">
        <v>0</v>
      </c>
      <c r="J99" s="80" t="b">
        <v>0</v>
      </c>
      <c r="K99" s="80" t="b">
        <v>0</v>
      </c>
      <c r="L99" s="80" t="b">
        <v>0</v>
      </c>
    </row>
    <row r="100" spans="1:12" ht="15">
      <c r="A100" s="81" t="s">
        <v>3262</v>
      </c>
      <c r="B100" s="80" t="s">
        <v>3359</v>
      </c>
      <c r="C100" s="80">
        <v>7</v>
      </c>
      <c r="D100" s="105">
        <v>0.00244470706887498</v>
      </c>
      <c r="E100" s="105">
        <v>1.8948973179332433</v>
      </c>
      <c r="F100" s="80" t="s">
        <v>3896</v>
      </c>
      <c r="G100" s="80" t="b">
        <v>0</v>
      </c>
      <c r="H100" s="80" t="b">
        <v>0</v>
      </c>
      <c r="I100" s="80" t="b">
        <v>0</v>
      </c>
      <c r="J100" s="80" t="b">
        <v>0</v>
      </c>
      <c r="K100" s="80" t="b">
        <v>0</v>
      </c>
      <c r="L100" s="80" t="b">
        <v>0</v>
      </c>
    </row>
    <row r="101" spans="1:12" ht="15">
      <c r="A101" s="81" t="s">
        <v>3310</v>
      </c>
      <c r="B101" s="80" t="s">
        <v>3311</v>
      </c>
      <c r="C101" s="80">
        <v>6</v>
      </c>
      <c r="D101" s="105">
        <v>0.0021787130957340167</v>
      </c>
      <c r="E101" s="105">
        <v>2.202123815016919</v>
      </c>
      <c r="F101" s="80" t="s">
        <v>3896</v>
      </c>
      <c r="G101" s="80" t="b">
        <v>0</v>
      </c>
      <c r="H101" s="80" t="b">
        <v>0</v>
      </c>
      <c r="I101" s="80" t="b">
        <v>0</v>
      </c>
      <c r="J101" s="80" t="b">
        <v>0</v>
      </c>
      <c r="K101" s="80" t="b">
        <v>0</v>
      </c>
      <c r="L101" s="80" t="b">
        <v>0</v>
      </c>
    </row>
    <row r="102" spans="1:12" ht="15">
      <c r="A102" s="81" t="s">
        <v>3314</v>
      </c>
      <c r="B102" s="80" t="s">
        <v>3318</v>
      </c>
      <c r="C102" s="80">
        <v>6</v>
      </c>
      <c r="D102" s="105">
        <v>0.0021787130957340167</v>
      </c>
      <c r="E102" s="105">
        <v>2.350829273582968</v>
      </c>
      <c r="F102" s="80" t="s">
        <v>3896</v>
      </c>
      <c r="G102" s="80" t="b">
        <v>0</v>
      </c>
      <c r="H102" s="80" t="b">
        <v>0</v>
      </c>
      <c r="I102" s="80" t="b">
        <v>0</v>
      </c>
      <c r="J102" s="80" t="b">
        <v>0</v>
      </c>
      <c r="K102" s="80" t="b">
        <v>0</v>
      </c>
      <c r="L102" s="80" t="b">
        <v>0</v>
      </c>
    </row>
    <row r="103" spans="1:12" ht="15">
      <c r="A103" s="81" t="s">
        <v>3318</v>
      </c>
      <c r="B103" s="80" t="s">
        <v>3260</v>
      </c>
      <c r="C103" s="80">
        <v>6</v>
      </c>
      <c r="D103" s="105">
        <v>0.0021787130957340167</v>
      </c>
      <c r="E103" s="105">
        <v>0.8429734018871369</v>
      </c>
      <c r="F103" s="80" t="s">
        <v>3896</v>
      </c>
      <c r="G103" s="80" t="b">
        <v>0</v>
      </c>
      <c r="H103" s="80" t="b">
        <v>0</v>
      </c>
      <c r="I103" s="80" t="b">
        <v>0</v>
      </c>
      <c r="J103" s="80" t="b">
        <v>0</v>
      </c>
      <c r="K103" s="80" t="b">
        <v>0</v>
      </c>
      <c r="L103" s="80" t="b">
        <v>0</v>
      </c>
    </row>
    <row r="104" spans="1:12" ht="15">
      <c r="A104" s="81" t="s">
        <v>3385</v>
      </c>
      <c r="B104" s="80" t="s">
        <v>3260</v>
      </c>
      <c r="C104" s="80">
        <v>6</v>
      </c>
      <c r="D104" s="105">
        <v>0.0021787130957340167</v>
      </c>
      <c r="E104" s="105">
        <v>1.1440033975511181</v>
      </c>
      <c r="F104" s="80" t="s">
        <v>3896</v>
      </c>
      <c r="G104" s="80" t="b">
        <v>0</v>
      </c>
      <c r="H104" s="80" t="b">
        <v>0</v>
      </c>
      <c r="I104" s="80" t="b">
        <v>0</v>
      </c>
      <c r="J104" s="80" t="b">
        <v>0</v>
      </c>
      <c r="K104" s="80" t="b">
        <v>0</v>
      </c>
      <c r="L104" s="80" t="b">
        <v>0</v>
      </c>
    </row>
    <row r="105" spans="1:12" ht="15">
      <c r="A105" s="81" t="s">
        <v>3266</v>
      </c>
      <c r="B105" s="80" t="s">
        <v>3260</v>
      </c>
      <c r="C105" s="80">
        <v>5</v>
      </c>
      <c r="D105" s="105">
        <v>0.0018976473511575786</v>
      </c>
      <c r="E105" s="105">
        <v>0.2989053575368612</v>
      </c>
      <c r="F105" s="80" t="s">
        <v>3896</v>
      </c>
      <c r="G105" s="80" t="b">
        <v>0</v>
      </c>
      <c r="H105" s="80" t="b">
        <v>0</v>
      </c>
      <c r="I105" s="80" t="b">
        <v>0</v>
      </c>
      <c r="J105" s="80" t="b">
        <v>0</v>
      </c>
      <c r="K105" s="80" t="b">
        <v>0</v>
      </c>
      <c r="L105" s="80" t="b">
        <v>0</v>
      </c>
    </row>
    <row r="106" spans="1:12" ht="15">
      <c r="A106" s="81" t="s">
        <v>3395</v>
      </c>
      <c r="B106" s="80" t="s">
        <v>3369</v>
      </c>
      <c r="C106" s="80">
        <v>5</v>
      </c>
      <c r="D106" s="105">
        <v>0.001998072235103751</v>
      </c>
      <c r="E106" s="105">
        <v>2.8067612292326922</v>
      </c>
      <c r="F106" s="80" t="s">
        <v>3896</v>
      </c>
      <c r="G106" s="80" t="b">
        <v>1</v>
      </c>
      <c r="H106" s="80" t="b">
        <v>0</v>
      </c>
      <c r="I106" s="80" t="b">
        <v>0</v>
      </c>
      <c r="J106" s="80" t="b">
        <v>0</v>
      </c>
      <c r="K106" s="80" t="b">
        <v>0</v>
      </c>
      <c r="L106" s="80" t="b">
        <v>0</v>
      </c>
    </row>
    <row r="107" spans="1:12" ht="15">
      <c r="A107" s="81" t="s">
        <v>3370</v>
      </c>
      <c r="B107" s="80" t="s">
        <v>3266</v>
      </c>
      <c r="C107" s="80">
        <v>5</v>
      </c>
      <c r="D107" s="105">
        <v>0.0018976473511575786</v>
      </c>
      <c r="E107" s="105">
        <v>1.937529509501716</v>
      </c>
      <c r="F107" s="80" t="s">
        <v>3896</v>
      </c>
      <c r="G107" s="80" t="b">
        <v>0</v>
      </c>
      <c r="H107" s="80" t="b">
        <v>0</v>
      </c>
      <c r="I107" s="80" t="b">
        <v>0</v>
      </c>
      <c r="J107" s="80" t="b">
        <v>0</v>
      </c>
      <c r="K107" s="80" t="b">
        <v>0</v>
      </c>
      <c r="L107" s="80" t="b">
        <v>0</v>
      </c>
    </row>
    <row r="108" spans="1:12" ht="15">
      <c r="A108" s="81" t="s">
        <v>3266</v>
      </c>
      <c r="B108" s="80" t="s">
        <v>3314</v>
      </c>
      <c r="C108" s="80">
        <v>5</v>
      </c>
      <c r="D108" s="105">
        <v>0.0018976473511575786</v>
      </c>
      <c r="E108" s="105">
        <v>1.6928178769258553</v>
      </c>
      <c r="F108" s="80" t="s">
        <v>3896</v>
      </c>
      <c r="G108" s="80" t="b">
        <v>0</v>
      </c>
      <c r="H108" s="80" t="b">
        <v>0</v>
      </c>
      <c r="I108" s="80" t="b">
        <v>0</v>
      </c>
      <c r="J108" s="80" t="b">
        <v>0</v>
      </c>
      <c r="K108" s="80" t="b">
        <v>0</v>
      </c>
      <c r="L108" s="80" t="b">
        <v>0</v>
      </c>
    </row>
    <row r="109" spans="1:12" ht="15">
      <c r="A109" s="81" t="s">
        <v>3260</v>
      </c>
      <c r="B109" s="80" t="s">
        <v>3260</v>
      </c>
      <c r="C109" s="80">
        <v>5</v>
      </c>
      <c r="D109" s="105">
        <v>0.0018976473511575786</v>
      </c>
      <c r="E109" s="105">
        <v>-0.40744660042175707</v>
      </c>
      <c r="F109" s="80" t="s">
        <v>3896</v>
      </c>
      <c r="G109" s="80" t="b">
        <v>0</v>
      </c>
      <c r="H109" s="80" t="b">
        <v>0</v>
      </c>
      <c r="I109" s="80" t="b">
        <v>0</v>
      </c>
      <c r="J109" s="80" t="b">
        <v>0</v>
      </c>
      <c r="K109" s="80" t="b">
        <v>0</v>
      </c>
      <c r="L109" s="80" t="b">
        <v>0</v>
      </c>
    </row>
    <row r="110" spans="1:12" ht="15">
      <c r="A110" s="81" t="s">
        <v>3340</v>
      </c>
      <c r="B110" s="80" t="s">
        <v>3260</v>
      </c>
      <c r="C110" s="80">
        <v>5</v>
      </c>
      <c r="D110" s="105">
        <v>0.0018976473511575786</v>
      </c>
      <c r="E110" s="105">
        <v>0.9398834148951933</v>
      </c>
      <c r="F110" s="80" t="s">
        <v>3896</v>
      </c>
      <c r="G110" s="80" t="b">
        <v>0</v>
      </c>
      <c r="H110" s="80" t="b">
        <v>0</v>
      </c>
      <c r="I110" s="80" t="b">
        <v>0</v>
      </c>
      <c r="J110" s="80" t="b">
        <v>0</v>
      </c>
      <c r="K110" s="80" t="b">
        <v>0</v>
      </c>
      <c r="L110" s="80" t="b">
        <v>0</v>
      </c>
    </row>
    <row r="111" spans="1:12" ht="15">
      <c r="A111" s="81" t="s">
        <v>3261</v>
      </c>
      <c r="B111" s="80" t="s">
        <v>3308</v>
      </c>
      <c r="C111" s="80">
        <v>5</v>
      </c>
      <c r="D111" s="105">
        <v>0.0018976473511575786</v>
      </c>
      <c r="E111" s="105">
        <v>1.472307478081761</v>
      </c>
      <c r="F111" s="80" t="s">
        <v>3896</v>
      </c>
      <c r="G111" s="80" t="b">
        <v>0</v>
      </c>
      <c r="H111" s="80" t="b">
        <v>0</v>
      </c>
      <c r="I111" s="80" t="b">
        <v>0</v>
      </c>
      <c r="J111" s="80" t="b">
        <v>0</v>
      </c>
      <c r="K111" s="80" t="b">
        <v>0</v>
      </c>
      <c r="L111" s="80" t="b">
        <v>0</v>
      </c>
    </row>
    <row r="112" spans="1:12" ht="15">
      <c r="A112" s="81" t="s">
        <v>3398</v>
      </c>
      <c r="B112" s="80" t="s">
        <v>3399</v>
      </c>
      <c r="C112" s="80">
        <v>5</v>
      </c>
      <c r="D112" s="105">
        <v>0.0018976473511575786</v>
      </c>
      <c r="E112" s="105">
        <v>2.95288926491093</v>
      </c>
      <c r="F112" s="80" t="s">
        <v>3896</v>
      </c>
      <c r="G112" s="80" t="b">
        <v>0</v>
      </c>
      <c r="H112" s="80" t="b">
        <v>0</v>
      </c>
      <c r="I112" s="80" t="b">
        <v>0</v>
      </c>
      <c r="J112" s="80" t="b">
        <v>0</v>
      </c>
      <c r="K112" s="80" t="b">
        <v>0</v>
      </c>
      <c r="L112" s="80" t="b">
        <v>0</v>
      </c>
    </row>
    <row r="113" spans="1:12" ht="15">
      <c r="A113" s="81" t="s">
        <v>3399</v>
      </c>
      <c r="B113" s="80" t="s">
        <v>3260</v>
      </c>
      <c r="C113" s="80">
        <v>5</v>
      </c>
      <c r="D113" s="105">
        <v>0.0018976473511575786</v>
      </c>
      <c r="E113" s="105">
        <v>1.1440033975511181</v>
      </c>
      <c r="F113" s="80" t="s">
        <v>3896</v>
      </c>
      <c r="G113" s="80" t="b">
        <v>0</v>
      </c>
      <c r="H113" s="80" t="b">
        <v>0</v>
      </c>
      <c r="I113" s="80" t="b">
        <v>0</v>
      </c>
      <c r="J113" s="80" t="b">
        <v>0</v>
      </c>
      <c r="K113" s="80" t="b">
        <v>0</v>
      </c>
      <c r="L113" s="80" t="b">
        <v>0</v>
      </c>
    </row>
    <row r="114" spans="1:12" ht="15">
      <c r="A114" s="81" t="s">
        <v>500</v>
      </c>
      <c r="B114" s="80" t="s">
        <v>3306</v>
      </c>
      <c r="C114" s="80">
        <v>5</v>
      </c>
      <c r="D114" s="105">
        <v>0.0018976473511575786</v>
      </c>
      <c r="E114" s="105">
        <v>1.6026412465767674</v>
      </c>
      <c r="F114" s="80" t="s">
        <v>3896</v>
      </c>
      <c r="G114" s="80" t="b">
        <v>0</v>
      </c>
      <c r="H114" s="80" t="b">
        <v>0</v>
      </c>
      <c r="I114" s="80" t="b">
        <v>0</v>
      </c>
      <c r="J114" s="80" t="b">
        <v>1</v>
      </c>
      <c r="K114" s="80" t="b">
        <v>0</v>
      </c>
      <c r="L114" s="80" t="b">
        <v>0</v>
      </c>
    </row>
    <row r="115" spans="1:12" ht="15">
      <c r="A115" s="81" t="s">
        <v>3306</v>
      </c>
      <c r="B115" s="80" t="s">
        <v>500</v>
      </c>
      <c r="C115" s="80">
        <v>5</v>
      </c>
      <c r="D115" s="105">
        <v>0.0018976473511575786</v>
      </c>
      <c r="E115" s="105">
        <v>1.5814519475068294</v>
      </c>
      <c r="F115" s="80" t="s">
        <v>3896</v>
      </c>
      <c r="G115" s="80" t="b">
        <v>1</v>
      </c>
      <c r="H115" s="80" t="b">
        <v>0</v>
      </c>
      <c r="I115" s="80" t="b">
        <v>0</v>
      </c>
      <c r="J115" s="80" t="b">
        <v>0</v>
      </c>
      <c r="K115" s="80" t="b">
        <v>0</v>
      </c>
      <c r="L115" s="80" t="b">
        <v>0</v>
      </c>
    </row>
    <row r="116" spans="1:12" ht="15">
      <c r="A116" s="81" t="s">
        <v>500</v>
      </c>
      <c r="B116" s="80" t="s">
        <v>3351</v>
      </c>
      <c r="C116" s="80">
        <v>5</v>
      </c>
      <c r="D116" s="105">
        <v>0.0018976473511575786</v>
      </c>
      <c r="E116" s="105">
        <v>1.8456792952630618</v>
      </c>
      <c r="F116" s="80" t="s">
        <v>3896</v>
      </c>
      <c r="G116" s="80" t="b">
        <v>0</v>
      </c>
      <c r="H116" s="80" t="b">
        <v>0</v>
      </c>
      <c r="I116" s="80" t="b">
        <v>0</v>
      </c>
      <c r="J116" s="80" t="b">
        <v>0</v>
      </c>
      <c r="K116" s="80" t="b">
        <v>0</v>
      </c>
      <c r="L116" s="80" t="b">
        <v>0</v>
      </c>
    </row>
    <row r="117" spans="1:12" ht="15">
      <c r="A117" s="81" t="s">
        <v>3351</v>
      </c>
      <c r="B117" s="80" t="s">
        <v>3403</v>
      </c>
      <c r="C117" s="80">
        <v>5</v>
      </c>
      <c r="D117" s="105">
        <v>0.0018976473511575786</v>
      </c>
      <c r="E117" s="105">
        <v>2.7487692822550054</v>
      </c>
      <c r="F117" s="80" t="s">
        <v>3896</v>
      </c>
      <c r="G117" s="80" t="b">
        <v>0</v>
      </c>
      <c r="H117" s="80" t="b">
        <v>0</v>
      </c>
      <c r="I117" s="80" t="b">
        <v>0</v>
      </c>
      <c r="J117" s="80" t="b">
        <v>0</v>
      </c>
      <c r="K117" s="80" t="b">
        <v>0</v>
      </c>
      <c r="L117" s="80" t="b">
        <v>0</v>
      </c>
    </row>
    <row r="118" spans="1:12" ht="15">
      <c r="A118" s="81" t="s">
        <v>3403</v>
      </c>
      <c r="B118" s="80" t="s">
        <v>3404</v>
      </c>
      <c r="C118" s="80">
        <v>5</v>
      </c>
      <c r="D118" s="105">
        <v>0.0018976473511575786</v>
      </c>
      <c r="E118" s="105">
        <v>2.95288926491093</v>
      </c>
      <c r="F118" s="80" t="s">
        <v>3896</v>
      </c>
      <c r="G118" s="80" t="b">
        <v>0</v>
      </c>
      <c r="H118" s="80" t="b">
        <v>0</v>
      </c>
      <c r="I118" s="80" t="b">
        <v>0</v>
      </c>
      <c r="J118" s="80" t="b">
        <v>0</v>
      </c>
      <c r="K118" s="80" t="b">
        <v>0</v>
      </c>
      <c r="L118" s="80" t="b">
        <v>0</v>
      </c>
    </row>
    <row r="119" spans="1:12" ht="15">
      <c r="A119" s="81" t="s">
        <v>3404</v>
      </c>
      <c r="B119" s="80" t="s">
        <v>3361</v>
      </c>
      <c r="C119" s="80">
        <v>5</v>
      </c>
      <c r="D119" s="105">
        <v>0.0018976473511575786</v>
      </c>
      <c r="E119" s="105">
        <v>2.7487692822550054</v>
      </c>
      <c r="F119" s="80" t="s">
        <v>3896</v>
      </c>
      <c r="G119" s="80" t="b">
        <v>0</v>
      </c>
      <c r="H119" s="80" t="b">
        <v>0</v>
      </c>
      <c r="I119" s="80" t="b">
        <v>0</v>
      </c>
      <c r="J119" s="80" t="b">
        <v>0</v>
      </c>
      <c r="K119" s="80" t="b">
        <v>0</v>
      </c>
      <c r="L119" s="80" t="b">
        <v>0</v>
      </c>
    </row>
    <row r="120" spans="1:12" ht="15">
      <c r="A120" s="81" t="s">
        <v>3361</v>
      </c>
      <c r="B120" s="80" t="s">
        <v>3405</v>
      </c>
      <c r="C120" s="80">
        <v>5</v>
      </c>
      <c r="D120" s="105">
        <v>0.0018976473511575786</v>
      </c>
      <c r="E120" s="105">
        <v>2.7487692822550054</v>
      </c>
      <c r="F120" s="80" t="s">
        <v>3896</v>
      </c>
      <c r="G120" s="80" t="b">
        <v>0</v>
      </c>
      <c r="H120" s="80" t="b">
        <v>0</v>
      </c>
      <c r="I120" s="80" t="b">
        <v>0</v>
      </c>
      <c r="J120" s="80" t="b">
        <v>0</v>
      </c>
      <c r="K120" s="80" t="b">
        <v>0</v>
      </c>
      <c r="L120" s="80" t="b">
        <v>0</v>
      </c>
    </row>
    <row r="121" spans="1:12" ht="15">
      <c r="A121" s="81" t="s">
        <v>3405</v>
      </c>
      <c r="B121" s="80" t="s">
        <v>3260</v>
      </c>
      <c r="C121" s="80">
        <v>5</v>
      </c>
      <c r="D121" s="105">
        <v>0.0018976473511575786</v>
      </c>
      <c r="E121" s="105">
        <v>1.1440033975511181</v>
      </c>
      <c r="F121" s="80" t="s">
        <v>3896</v>
      </c>
      <c r="G121" s="80" t="b">
        <v>0</v>
      </c>
      <c r="H121" s="80" t="b">
        <v>0</v>
      </c>
      <c r="I121" s="80" t="b">
        <v>0</v>
      </c>
      <c r="J121" s="80" t="b">
        <v>0</v>
      </c>
      <c r="K121" s="80" t="b">
        <v>0</v>
      </c>
      <c r="L121" s="80" t="b">
        <v>0</v>
      </c>
    </row>
    <row r="122" spans="1:12" ht="15">
      <c r="A122" s="81" t="s">
        <v>3413</v>
      </c>
      <c r="B122" s="80" t="s">
        <v>3414</v>
      </c>
      <c r="C122" s="80">
        <v>5</v>
      </c>
      <c r="D122" s="105">
        <v>0.0018976473511575786</v>
      </c>
      <c r="E122" s="105">
        <v>2.95288926491093</v>
      </c>
      <c r="F122" s="80" t="s">
        <v>3896</v>
      </c>
      <c r="G122" s="80" t="b">
        <v>0</v>
      </c>
      <c r="H122" s="80" t="b">
        <v>0</v>
      </c>
      <c r="I122" s="80" t="b">
        <v>0</v>
      </c>
      <c r="J122" s="80" t="b">
        <v>0</v>
      </c>
      <c r="K122" s="80" t="b">
        <v>0</v>
      </c>
      <c r="L122" s="80" t="b">
        <v>0</v>
      </c>
    </row>
    <row r="123" spans="1:12" ht="15">
      <c r="A123" s="81" t="s">
        <v>3414</v>
      </c>
      <c r="B123" s="80" t="s">
        <v>3415</v>
      </c>
      <c r="C123" s="80">
        <v>5</v>
      </c>
      <c r="D123" s="105">
        <v>0.0018976473511575786</v>
      </c>
      <c r="E123" s="105">
        <v>2.95288926491093</v>
      </c>
      <c r="F123" s="80" t="s">
        <v>3896</v>
      </c>
      <c r="G123" s="80" t="b">
        <v>0</v>
      </c>
      <c r="H123" s="80" t="b">
        <v>0</v>
      </c>
      <c r="I123" s="80" t="b">
        <v>0</v>
      </c>
      <c r="J123" s="80" t="b">
        <v>0</v>
      </c>
      <c r="K123" s="80" t="b">
        <v>0</v>
      </c>
      <c r="L123" s="80" t="b">
        <v>0</v>
      </c>
    </row>
    <row r="124" spans="1:12" ht="15">
      <c r="A124" s="81" t="s">
        <v>3415</v>
      </c>
      <c r="B124" s="80" t="s">
        <v>3416</v>
      </c>
      <c r="C124" s="80">
        <v>5</v>
      </c>
      <c r="D124" s="105">
        <v>0.0018976473511575786</v>
      </c>
      <c r="E124" s="105">
        <v>2.95288926491093</v>
      </c>
      <c r="F124" s="80" t="s">
        <v>3896</v>
      </c>
      <c r="G124" s="80" t="b">
        <v>0</v>
      </c>
      <c r="H124" s="80" t="b">
        <v>0</v>
      </c>
      <c r="I124" s="80" t="b">
        <v>0</v>
      </c>
      <c r="J124" s="80" t="b">
        <v>0</v>
      </c>
      <c r="K124" s="80" t="b">
        <v>0</v>
      </c>
      <c r="L124" s="80" t="b">
        <v>0</v>
      </c>
    </row>
    <row r="125" spans="1:12" ht="15">
      <c r="A125" s="81" t="s">
        <v>3416</v>
      </c>
      <c r="B125" s="80" t="s">
        <v>3388</v>
      </c>
      <c r="C125" s="80">
        <v>5</v>
      </c>
      <c r="D125" s="105">
        <v>0.0018976473511575786</v>
      </c>
      <c r="E125" s="105">
        <v>2.8737080188633053</v>
      </c>
      <c r="F125" s="80" t="s">
        <v>3896</v>
      </c>
      <c r="G125" s="80" t="b">
        <v>0</v>
      </c>
      <c r="H125" s="80" t="b">
        <v>0</v>
      </c>
      <c r="I125" s="80" t="b">
        <v>0</v>
      </c>
      <c r="J125" s="80" t="b">
        <v>0</v>
      </c>
      <c r="K125" s="80" t="b">
        <v>0</v>
      </c>
      <c r="L125" s="80" t="b">
        <v>0</v>
      </c>
    </row>
    <row r="126" spans="1:12" ht="15">
      <c r="A126" s="81" t="s">
        <v>3388</v>
      </c>
      <c r="B126" s="80" t="s">
        <v>3302</v>
      </c>
      <c r="C126" s="80">
        <v>5</v>
      </c>
      <c r="D126" s="105">
        <v>0.0018976473511575786</v>
      </c>
      <c r="E126" s="105">
        <v>2.3685580405433995</v>
      </c>
      <c r="F126" s="80" t="s">
        <v>3896</v>
      </c>
      <c r="G126" s="80" t="b">
        <v>0</v>
      </c>
      <c r="H126" s="80" t="b">
        <v>0</v>
      </c>
      <c r="I126" s="80" t="b">
        <v>0</v>
      </c>
      <c r="J126" s="80" t="b">
        <v>0</v>
      </c>
      <c r="K126" s="80" t="b">
        <v>0</v>
      </c>
      <c r="L126" s="80" t="b">
        <v>0</v>
      </c>
    </row>
    <row r="127" spans="1:12" ht="15">
      <c r="A127" s="81" t="s">
        <v>3302</v>
      </c>
      <c r="B127" s="80" t="s">
        <v>3417</v>
      </c>
      <c r="C127" s="80">
        <v>5</v>
      </c>
      <c r="D127" s="105">
        <v>0.0018976473511575786</v>
      </c>
      <c r="E127" s="105">
        <v>2.447739286591024</v>
      </c>
      <c r="F127" s="80" t="s">
        <v>3896</v>
      </c>
      <c r="G127" s="80" t="b">
        <v>0</v>
      </c>
      <c r="H127" s="80" t="b">
        <v>0</v>
      </c>
      <c r="I127" s="80" t="b">
        <v>0</v>
      </c>
      <c r="J127" s="80" t="b">
        <v>0</v>
      </c>
      <c r="K127" s="80" t="b">
        <v>0</v>
      </c>
      <c r="L127" s="80" t="b">
        <v>0</v>
      </c>
    </row>
    <row r="128" spans="1:12" ht="15">
      <c r="A128" s="81" t="s">
        <v>3417</v>
      </c>
      <c r="B128" s="80" t="s">
        <v>3418</v>
      </c>
      <c r="C128" s="80">
        <v>5</v>
      </c>
      <c r="D128" s="105">
        <v>0.0018976473511575786</v>
      </c>
      <c r="E128" s="105">
        <v>2.95288926491093</v>
      </c>
      <c r="F128" s="80" t="s">
        <v>3896</v>
      </c>
      <c r="G128" s="80" t="b">
        <v>0</v>
      </c>
      <c r="H128" s="80" t="b">
        <v>0</v>
      </c>
      <c r="I128" s="80" t="b">
        <v>0</v>
      </c>
      <c r="J128" s="80" t="b">
        <v>0</v>
      </c>
      <c r="K128" s="80" t="b">
        <v>0</v>
      </c>
      <c r="L128" s="80" t="b">
        <v>0</v>
      </c>
    </row>
    <row r="129" spans="1:12" ht="15">
      <c r="A129" s="81" t="s">
        <v>3418</v>
      </c>
      <c r="B129" s="80" t="s">
        <v>3419</v>
      </c>
      <c r="C129" s="80">
        <v>5</v>
      </c>
      <c r="D129" s="105">
        <v>0.0018976473511575786</v>
      </c>
      <c r="E129" s="105">
        <v>2.95288926491093</v>
      </c>
      <c r="F129" s="80" t="s">
        <v>3896</v>
      </c>
      <c r="G129" s="80" t="b">
        <v>0</v>
      </c>
      <c r="H129" s="80" t="b">
        <v>0</v>
      </c>
      <c r="I129" s="80" t="b">
        <v>0</v>
      </c>
      <c r="J129" s="80" t="b">
        <v>0</v>
      </c>
      <c r="K129" s="80" t="b">
        <v>0</v>
      </c>
      <c r="L129" s="80" t="b">
        <v>0</v>
      </c>
    </row>
    <row r="130" spans="1:12" ht="15">
      <c r="A130" s="81" t="s">
        <v>3419</v>
      </c>
      <c r="B130" s="80" t="s">
        <v>3420</v>
      </c>
      <c r="C130" s="80">
        <v>5</v>
      </c>
      <c r="D130" s="105">
        <v>0.0018976473511575786</v>
      </c>
      <c r="E130" s="105">
        <v>2.95288926491093</v>
      </c>
      <c r="F130" s="80" t="s">
        <v>3896</v>
      </c>
      <c r="G130" s="80" t="b">
        <v>0</v>
      </c>
      <c r="H130" s="80" t="b">
        <v>0</v>
      </c>
      <c r="I130" s="80" t="b">
        <v>0</v>
      </c>
      <c r="J130" s="80" t="b">
        <v>0</v>
      </c>
      <c r="K130" s="80" t="b">
        <v>0</v>
      </c>
      <c r="L130" s="80" t="b">
        <v>0</v>
      </c>
    </row>
    <row r="131" spans="1:12" ht="15">
      <c r="A131" s="81" t="s">
        <v>3420</v>
      </c>
      <c r="B131" s="80" t="s">
        <v>3366</v>
      </c>
      <c r="C131" s="80">
        <v>5</v>
      </c>
      <c r="D131" s="105">
        <v>0.0018976473511575786</v>
      </c>
      <c r="E131" s="105">
        <v>2.8067612292326922</v>
      </c>
      <c r="F131" s="80" t="s">
        <v>3896</v>
      </c>
      <c r="G131" s="80" t="b">
        <v>0</v>
      </c>
      <c r="H131" s="80" t="b">
        <v>0</v>
      </c>
      <c r="I131" s="80" t="b">
        <v>0</v>
      </c>
      <c r="J131" s="80" t="b">
        <v>0</v>
      </c>
      <c r="K131" s="80" t="b">
        <v>0</v>
      </c>
      <c r="L131" s="80" t="b">
        <v>0</v>
      </c>
    </row>
    <row r="132" spans="1:12" ht="15">
      <c r="A132" s="81" t="s">
        <v>3366</v>
      </c>
      <c r="B132" s="80" t="s">
        <v>3421</v>
      </c>
      <c r="C132" s="80">
        <v>5</v>
      </c>
      <c r="D132" s="105">
        <v>0.0018976473511575786</v>
      </c>
      <c r="E132" s="105">
        <v>2.8067612292326922</v>
      </c>
      <c r="F132" s="80" t="s">
        <v>3896</v>
      </c>
      <c r="G132" s="80" t="b">
        <v>0</v>
      </c>
      <c r="H132" s="80" t="b">
        <v>0</v>
      </c>
      <c r="I132" s="80" t="b">
        <v>0</v>
      </c>
      <c r="J132" s="80" t="b">
        <v>0</v>
      </c>
      <c r="K132" s="80" t="b">
        <v>0</v>
      </c>
      <c r="L132" s="80" t="b">
        <v>0</v>
      </c>
    </row>
    <row r="133" spans="1:12" ht="15">
      <c r="A133" s="81" t="s">
        <v>3421</v>
      </c>
      <c r="B133" s="80" t="s">
        <v>3422</v>
      </c>
      <c r="C133" s="80">
        <v>5</v>
      </c>
      <c r="D133" s="105">
        <v>0.0018976473511575786</v>
      </c>
      <c r="E133" s="105">
        <v>2.95288926491093</v>
      </c>
      <c r="F133" s="80" t="s">
        <v>3896</v>
      </c>
      <c r="G133" s="80" t="b">
        <v>0</v>
      </c>
      <c r="H133" s="80" t="b">
        <v>0</v>
      </c>
      <c r="I133" s="80" t="b">
        <v>0</v>
      </c>
      <c r="J133" s="80" t="b">
        <v>0</v>
      </c>
      <c r="K133" s="80" t="b">
        <v>0</v>
      </c>
      <c r="L133" s="80" t="b">
        <v>0</v>
      </c>
    </row>
    <row r="134" spans="1:12" ht="15">
      <c r="A134" s="81" t="s">
        <v>3422</v>
      </c>
      <c r="B134" s="80" t="s">
        <v>3423</v>
      </c>
      <c r="C134" s="80">
        <v>5</v>
      </c>
      <c r="D134" s="105">
        <v>0.0018976473511575786</v>
      </c>
      <c r="E134" s="105">
        <v>2.95288926491093</v>
      </c>
      <c r="F134" s="80" t="s">
        <v>3896</v>
      </c>
      <c r="G134" s="80" t="b">
        <v>0</v>
      </c>
      <c r="H134" s="80" t="b">
        <v>0</v>
      </c>
      <c r="I134" s="80" t="b">
        <v>0</v>
      </c>
      <c r="J134" s="80" t="b">
        <v>0</v>
      </c>
      <c r="K134" s="80" t="b">
        <v>0</v>
      </c>
      <c r="L134" s="80" t="b">
        <v>0</v>
      </c>
    </row>
    <row r="135" spans="1:12" ht="15">
      <c r="A135" s="81" t="s">
        <v>3423</v>
      </c>
      <c r="B135" s="80" t="s">
        <v>3424</v>
      </c>
      <c r="C135" s="80">
        <v>5</v>
      </c>
      <c r="D135" s="105">
        <v>0.0018976473511575786</v>
      </c>
      <c r="E135" s="105">
        <v>2.95288926491093</v>
      </c>
      <c r="F135" s="80" t="s">
        <v>3896</v>
      </c>
      <c r="G135" s="80" t="b">
        <v>0</v>
      </c>
      <c r="H135" s="80" t="b">
        <v>0</v>
      </c>
      <c r="I135" s="80" t="b">
        <v>0</v>
      </c>
      <c r="J135" s="80" t="b">
        <v>0</v>
      </c>
      <c r="K135" s="80" t="b">
        <v>0</v>
      </c>
      <c r="L135" s="80" t="b">
        <v>0</v>
      </c>
    </row>
    <row r="136" spans="1:12" ht="15">
      <c r="A136" s="81" t="s">
        <v>3424</v>
      </c>
      <c r="B136" s="80" t="s">
        <v>3387</v>
      </c>
      <c r="C136" s="80">
        <v>5</v>
      </c>
      <c r="D136" s="105">
        <v>0.0018976473511575786</v>
      </c>
      <c r="E136" s="105">
        <v>2.8737080188633053</v>
      </c>
      <c r="F136" s="80" t="s">
        <v>3896</v>
      </c>
      <c r="G136" s="80" t="b">
        <v>0</v>
      </c>
      <c r="H136" s="80" t="b">
        <v>0</v>
      </c>
      <c r="I136" s="80" t="b">
        <v>0</v>
      </c>
      <c r="J136" s="80" t="b">
        <v>0</v>
      </c>
      <c r="K136" s="80" t="b">
        <v>1</v>
      </c>
      <c r="L136" s="80" t="b">
        <v>0</v>
      </c>
    </row>
    <row r="137" spans="1:12" ht="15">
      <c r="A137" s="81" t="s">
        <v>3387</v>
      </c>
      <c r="B137" s="80" t="s">
        <v>3425</v>
      </c>
      <c r="C137" s="80">
        <v>5</v>
      </c>
      <c r="D137" s="105">
        <v>0.0018976473511575786</v>
      </c>
      <c r="E137" s="105">
        <v>2.8737080188633053</v>
      </c>
      <c r="F137" s="80" t="s">
        <v>3896</v>
      </c>
      <c r="G137" s="80" t="b">
        <v>0</v>
      </c>
      <c r="H137" s="80" t="b">
        <v>1</v>
      </c>
      <c r="I137" s="80" t="b">
        <v>0</v>
      </c>
      <c r="J137" s="80" t="b">
        <v>0</v>
      </c>
      <c r="K137" s="80" t="b">
        <v>0</v>
      </c>
      <c r="L137" s="80" t="b">
        <v>0</v>
      </c>
    </row>
    <row r="138" spans="1:12" ht="15">
      <c r="A138" s="81" t="s">
        <v>3425</v>
      </c>
      <c r="B138" s="80" t="s">
        <v>3426</v>
      </c>
      <c r="C138" s="80">
        <v>5</v>
      </c>
      <c r="D138" s="105">
        <v>0.0018976473511575786</v>
      </c>
      <c r="E138" s="105">
        <v>2.95288926491093</v>
      </c>
      <c r="F138" s="80" t="s">
        <v>3896</v>
      </c>
      <c r="G138" s="80" t="b">
        <v>0</v>
      </c>
      <c r="H138" s="80" t="b">
        <v>0</v>
      </c>
      <c r="I138" s="80" t="b">
        <v>0</v>
      </c>
      <c r="J138" s="80" t="b">
        <v>0</v>
      </c>
      <c r="K138" s="80" t="b">
        <v>0</v>
      </c>
      <c r="L138" s="80" t="b">
        <v>0</v>
      </c>
    </row>
    <row r="139" spans="1:12" ht="15">
      <c r="A139" s="81" t="s">
        <v>3426</v>
      </c>
      <c r="B139" s="80" t="s">
        <v>3378</v>
      </c>
      <c r="C139" s="80">
        <v>5</v>
      </c>
      <c r="D139" s="105">
        <v>0.0018976473511575786</v>
      </c>
      <c r="E139" s="105">
        <v>2.8737080188633053</v>
      </c>
      <c r="F139" s="80" t="s">
        <v>3896</v>
      </c>
      <c r="G139" s="80" t="b">
        <v>0</v>
      </c>
      <c r="H139" s="80" t="b">
        <v>0</v>
      </c>
      <c r="I139" s="80" t="b">
        <v>0</v>
      </c>
      <c r="J139" s="80" t="b">
        <v>0</v>
      </c>
      <c r="K139" s="80" t="b">
        <v>0</v>
      </c>
      <c r="L139" s="80" t="b">
        <v>0</v>
      </c>
    </row>
    <row r="140" spans="1:12" ht="15">
      <c r="A140" s="81" t="s">
        <v>3378</v>
      </c>
      <c r="B140" s="80" t="s">
        <v>3427</v>
      </c>
      <c r="C140" s="80">
        <v>5</v>
      </c>
      <c r="D140" s="105">
        <v>0.0018976473511575786</v>
      </c>
      <c r="E140" s="105">
        <v>2.8737080188633053</v>
      </c>
      <c r="F140" s="80" t="s">
        <v>3896</v>
      </c>
      <c r="G140" s="80" t="b">
        <v>0</v>
      </c>
      <c r="H140" s="80" t="b">
        <v>0</v>
      </c>
      <c r="I140" s="80" t="b">
        <v>0</v>
      </c>
      <c r="J140" s="80" t="b">
        <v>0</v>
      </c>
      <c r="K140" s="80" t="b">
        <v>0</v>
      </c>
      <c r="L140" s="80" t="b">
        <v>0</v>
      </c>
    </row>
    <row r="141" spans="1:12" ht="15">
      <c r="A141" s="81" t="s">
        <v>3427</v>
      </c>
      <c r="B141" s="80" t="s">
        <v>3428</v>
      </c>
      <c r="C141" s="80">
        <v>5</v>
      </c>
      <c r="D141" s="105">
        <v>0.0018976473511575786</v>
      </c>
      <c r="E141" s="105">
        <v>2.95288926491093</v>
      </c>
      <c r="F141" s="80" t="s">
        <v>3896</v>
      </c>
      <c r="G141" s="80" t="b">
        <v>0</v>
      </c>
      <c r="H141" s="80" t="b">
        <v>0</v>
      </c>
      <c r="I141" s="80" t="b">
        <v>0</v>
      </c>
      <c r="J141" s="80" t="b">
        <v>0</v>
      </c>
      <c r="K141" s="80" t="b">
        <v>0</v>
      </c>
      <c r="L141" s="80" t="b">
        <v>0</v>
      </c>
    </row>
    <row r="142" spans="1:12" ht="15">
      <c r="A142" s="81" t="s">
        <v>3428</v>
      </c>
      <c r="B142" s="80" t="s">
        <v>3260</v>
      </c>
      <c r="C142" s="80">
        <v>5</v>
      </c>
      <c r="D142" s="105">
        <v>0.0018976473511575786</v>
      </c>
      <c r="E142" s="105">
        <v>1.1440033975511181</v>
      </c>
      <c r="F142" s="80" t="s">
        <v>3896</v>
      </c>
      <c r="G142" s="80" t="b">
        <v>0</v>
      </c>
      <c r="H142" s="80" t="b">
        <v>0</v>
      </c>
      <c r="I142" s="80" t="b">
        <v>0</v>
      </c>
      <c r="J142" s="80" t="b">
        <v>0</v>
      </c>
      <c r="K142" s="80" t="b">
        <v>0</v>
      </c>
      <c r="L142" s="80" t="b">
        <v>0</v>
      </c>
    </row>
    <row r="143" spans="1:12" ht="15">
      <c r="A143" s="81" t="s">
        <v>3305</v>
      </c>
      <c r="B143" s="80" t="s">
        <v>3429</v>
      </c>
      <c r="C143" s="80">
        <v>5</v>
      </c>
      <c r="D143" s="105">
        <v>0.0018976473511575786</v>
      </c>
      <c r="E143" s="105">
        <v>2.505731233568711</v>
      </c>
      <c r="F143" s="80" t="s">
        <v>3896</v>
      </c>
      <c r="G143" s="80" t="b">
        <v>0</v>
      </c>
      <c r="H143" s="80" t="b">
        <v>0</v>
      </c>
      <c r="I143" s="80" t="b">
        <v>0</v>
      </c>
      <c r="J143" s="80" t="b">
        <v>0</v>
      </c>
      <c r="K143" s="80" t="b">
        <v>0</v>
      </c>
      <c r="L143" s="80" t="b">
        <v>0</v>
      </c>
    </row>
    <row r="144" spans="1:12" ht="15">
      <c r="A144" s="81" t="s">
        <v>3429</v>
      </c>
      <c r="B144" s="80" t="s">
        <v>431</v>
      </c>
      <c r="C144" s="80">
        <v>5</v>
      </c>
      <c r="D144" s="105">
        <v>0.0018976473511575786</v>
      </c>
      <c r="E144" s="105">
        <v>2.95288926491093</v>
      </c>
      <c r="F144" s="80" t="s">
        <v>3896</v>
      </c>
      <c r="G144" s="80" t="b">
        <v>0</v>
      </c>
      <c r="H144" s="80" t="b">
        <v>0</v>
      </c>
      <c r="I144" s="80" t="b">
        <v>0</v>
      </c>
      <c r="J144" s="80" t="b">
        <v>0</v>
      </c>
      <c r="K144" s="80" t="b">
        <v>0</v>
      </c>
      <c r="L144" s="80" t="b">
        <v>0</v>
      </c>
    </row>
    <row r="145" spans="1:12" ht="15">
      <c r="A145" s="81" t="s">
        <v>431</v>
      </c>
      <c r="B145" s="80" t="s">
        <v>430</v>
      </c>
      <c r="C145" s="80">
        <v>5</v>
      </c>
      <c r="D145" s="105">
        <v>0.0018976473511575786</v>
      </c>
      <c r="E145" s="105">
        <v>2.95288926491093</v>
      </c>
      <c r="F145" s="80" t="s">
        <v>3896</v>
      </c>
      <c r="G145" s="80" t="b">
        <v>0</v>
      </c>
      <c r="H145" s="80" t="b">
        <v>0</v>
      </c>
      <c r="I145" s="80" t="b">
        <v>0</v>
      </c>
      <c r="J145" s="80" t="b">
        <v>0</v>
      </c>
      <c r="K145" s="80" t="b">
        <v>0</v>
      </c>
      <c r="L145" s="80" t="b">
        <v>0</v>
      </c>
    </row>
    <row r="146" spans="1:12" ht="15">
      <c r="A146" s="81" t="s">
        <v>430</v>
      </c>
      <c r="B146" s="80" t="s">
        <v>460</v>
      </c>
      <c r="C146" s="80">
        <v>5</v>
      </c>
      <c r="D146" s="105">
        <v>0.0018976473511575786</v>
      </c>
      <c r="E146" s="105">
        <v>2.95288926491093</v>
      </c>
      <c r="F146" s="80" t="s">
        <v>3896</v>
      </c>
      <c r="G146" s="80" t="b">
        <v>0</v>
      </c>
      <c r="H146" s="80" t="b">
        <v>0</v>
      </c>
      <c r="I146" s="80" t="b">
        <v>0</v>
      </c>
      <c r="J146" s="80" t="b">
        <v>0</v>
      </c>
      <c r="K146" s="80" t="b">
        <v>0</v>
      </c>
      <c r="L146" s="80" t="b">
        <v>0</v>
      </c>
    </row>
    <row r="147" spans="1:12" ht="15">
      <c r="A147" s="81" t="s">
        <v>3311</v>
      </c>
      <c r="B147" s="80" t="s">
        <v>3430</v>
      </c>
      <c r="C147" s="80">
        <v>4</v>
      </c>
      <c r="D147" s="105">
        <v>0.001598457788083001</v>
      </c>
      <c r="E147" s="105">
        <v>2.537915916940112</v>
      </c>
      <c r="F147" s="80" t="s">
        <v>3896</v>
      </c>
      <c r="G147" s="80" t="b">
        <v>0</v>
      </c>
      <c r="H147" s="80" t="b">
        <v>0</v>
      </c>
      <c r="I147" s="80" t="b">
        <v>0</v>
      </c>
      <c r="J147" s="80" t="b">
        <v>0</v>
      </c>
      <c r="K147" s="80" t="b">
        <v>0</v>
      </c>
      <c r="L147" s="80" t="b">
        <v>0</v>
      </c>
    </row>
    <row r="148" spans="1:12" ht="15">
      <c r="A148" s="81" t="s">
        <v>3430</v>
      </c>
      <c r="B148" s="80" t="s">
        <v>3431</v>
      </c>
      <c r="C148" s="80">
        <v>4</v>
      </c>
      <c r="D148" s="105">
        <v>0.001598457788083001</v>
      </c>
      <c r="E148" s="105">
        <v>3.0497992779189866</v>
      </c>
      <c r="F148" s="80" t="s">
        <v>3896</v>
      </c>
      <c r="G148" s="80" t="b">
        <v>0</v>
      </c>
      <c r="H148" s="80" t="b">
        <v>0</v>
      </c>
      <c r="I148" s="80" t="b">
        <v>0</v>
      </c>
      <c r="J148" s="80" t="b">
        <v>0</v>
      </c>
      <c r="K148" s="80" t="b">
        <v>0</v>
      </c>
      <c r="L148" s="80" t="b">
        <v>0</v>
      </c>
    </row>
    <row r="149" spans="1:12" ht="15">
      <c r="A149" s="81" t="s">
        <v>3288</v>
      </c>
      <c r="B149" s="80" t="s">
        <v>3266</v>
      </c>
      <c r="C149" s="80">
        <v>4</v>
      </c>
      <c r="D149" s="105">
        <v>0.001598457788083001</v>
      </c>
      <c r="E149" s="105">
        <v>1.4552686151296423</v>
      </c>
      <c r="F149" s="80" t="s">
        <v>3896</v>
      </c>
      <c r="G149" s="80" t="b">
        <v>0</v>
      </c>
      <c r="H149" s="80" t="b">
        <v>0</v>
      </c>
      <c r="I149" s="80" t="b">
        <v>0</v>
      </c>
      <c r="J149" s="80" t="b">
        <v>0</v>
      </c>
      <c r="K149" s="80" t="b">
        <v>0</v>
      </c>
      <c r="L149" s="80" t="b">
        <v>0</v>
      </c>
    </row>
    <row r="150" spans="1:12" ht="15">
      <c r="A150" s="81" t="s">
        <v>3432</v>
      </c>
      <c r="B150" s="80" t="s">
        <v>3392</v>
      </c>
      <c r="C150" s="80">
        <v>4</v>
      </c>
      <c r="D150" s="105">
        <v>0.001598457788083001</v>
      </c>
      <c r="E150" s="105">
        <v>2.95288926491093</v>
      </c>
      <c r="F150" s="80" t="s">
        <v>3896</v>
      </c>
      <c r="G150" s="80" t="b">
        <v>0</v>
      </c>
      <c r="H150" s="80" t="b">
        <v>0</v>
      </c>
      <c r="I150" s="80" t="b">
        <v>0</v>
      </c>
      <c r="J150" s="80" t="b">
        <v>0</v>
      </c>
      <c r="K150" s="80" t="b">
        <v>0</v>
      </c>
      <c r="L150" s="80" t="b">
        <v>0</v>
      </c>
    </row>
    <row r="151" spans="1:12" ht="15">
      <c r="A151" s="81" t="s">
        <v>3391</v>
      </c>
      <c r="B151" s="80" t="s">
        <v>3393</v>
      </c>
      <c r="C151" s="80">
        <v>4</v>
      </c>
      <c r="D151" s="105">
        <v>0.001598457788083001</v>
      </c>
      <c r="E151" s="105">
        <v>2.8559792519028737</v>
      </c>
      <c r="F151" s="80" t="s">
        <v>3896</v>
      </c>
      <c r="G151" s="80" t="b">
        <v>0</v>
      </c>
      <c r="H151" s="80" t="b">
        <v>0</v>
      </c>
      <c r="I151" s="80" t="b">
        <v>0</v>
      </c>
      <c r="J151" s="80" t="b">
        <v>0</v>
      </c>
      <c r="K151" s="80" t="b">
        <v>0</v>
      </c>
      <c r="L151" s="80" t="b">
        <v>0</v>
      </c>
    </row>
    <row r="152" spans="1:12" ht="15">
      <c r="A152" s="81" t="s">
        <v>3260</v>
      </c>
      <c r="B152" s="80" t="s">
        <v>3266</v>
      </c>
      <c r="C152" s="80">
        <v>4</v>
      </c>
      <c r="D152" s="105">
        <v>0.001598457788083001</v>
      </c>
      <c r="E152" s="105">
        <v>0.43529753419902234</v>
      </c>
      <c r="F152" s="80" t="s">
        <v>3896</v>
      </c>
      <c r="G152" s="80" t="b">
        <v>0</v>
      </c>
      <c r="H152" s="80" t="b">
        <v>0</v>
      </c>
      <c r="I152" s="80" t="b">
        <v>0</v>
      </c>
      <c r="J152" s="80" t="b">
        <v>0</v>
      </c>
      <c r="K152" s="80" t="b">
        <v>0</v>
      </c>
      <c r="L152" s="80" t="b">
        <v>0</v>
      </c>
    </row>
    <row r="153" spans="1:12" ht="15">
      <c r="A153" s="81" t="s">
        <v>3289</v>
      </c>
      <c r="B153" s="80" t="s">
        <v>1783</v>
      </c>
      <c r="C153" s="80">
        <v>4</v>
      </c>
      <c r="D153" s="105">
        <v>0.001598457788083001</v>
      </c>
      <c r="E153" s="105">
        <v>2.1783722991823806</v>
      </c>
      <c r="F153" s="80" t="s">
        <v>3896</v>
      </c>
      <c r="G153" s="80" t="b">
        <v>0</v>
      </c>
      <c r="H153" s="80" t="b">
        <v>1</v>
      </c>
      <c r="I153" s="80" t="b">
        <v>0</v>
      </c>
      <c r="J153" s="80" t="b">
        <v>0</v>
      </c>
      <c r="K153" s="80" t="b">
        <v>0</v>
      </c>
      <c r="L153" s="80" t="b">
        <v>0</v>
      </c>
    </row>
    <row r="154" spans="1:12" ht="15">
      <c r="A154" s="81" t="s">
        <v>3438</v>
      </c>
      <c r="B154" s="80" t="s">
        <v>3439</v>
      </c>
      <c r="C154" s="80">
        <v>4</v>
      </c>
      <c r="D154" s="105">
        <v>0.001598457788083001</v>
      </c>
      <c r="E154" s="105">
        <v>3.0497992779189866</v>
      </c>
      <c r="F154" s="80" t="s">
        <v>3896</v>
      </c>
      <c r="G154" s="80" t="b">
        <v>0</v>
      </c>
      <c r="H154" s="80" t="b">
        <v>0</v>
      </c>
      <c r="I154" s="80" t="b">
        <v>0</v>
      </c>
      <c r="J154" s="80" t="b">
        <v>0</v>
      </c>
      <c r="K154" s="80" t="b">
        <v>0</v>
      </c>
      <c r="L154" s="80" t="b">
        <v>0</v>
      </c>
    </row>
    <row r="155" spans="1:12" ht="15">
      <c r="A155" s="81" t="s">
        <v>3439</v>
      </c>
      <c r="B155" s="80" t="s">
        <v>3440</v>
      </c>
      <c r="C155" s="80">
        <v>4</v>
      </c>
      <c r="D155" s="105">
        <v>0.001598457788083001</v>
      </c>
      <c r="E155" s="105">
        <v>3.0497992779189866</v>
      </c>
      <c r="F155" s="80" t="s">
        <v>3896</v>
      </c>
      <c r="G155" s="80" t="b">
        <v>0</v>
      </c>
      <c r="H155" s="80" t="b">
        <v>0</v>
      </c>
      <c r="I155" s="80" t="b">
        <v>0</v>
      </c>
      <c r="J155" s="80" t="b">
        <v>0</v>
      </c>
      <c r="K155" s="80" t="b">
        <v>0</v>
      </c>
      <c r="L155" s="80" t="b">
        <v>0</v>
      </c>
    </row>
    <row r="156" spans="1:12" ht="15">
      <c r="A156" s="81" t="s">
        <v>3440</v>
      </c>
      <c r="B156" s="80" t="s">
        <v>3441</v>
      </c>
      <c r="C156" s="80">
        <v>4</v>
      </c>
      <c r="D156" s="105">
        <v>0.001598457788083001</v>
      </c>
      <c r="E156" s="105">
        <v>3.0497992779189866</v>
      </c>
      <c r="F156" s="80" t="s">
        <v>3896</v>
      </c>
      <c r="G156" s="80" t="b">
        <v>0</v>
      </c>
      <c r="H156" s="80" t="b">
        <v>0</v>
      </c>
      <c r="I156" s="80" t="b">
        <v>0</v>
      </c>
      <c r="J156" s="80" t="b">
        <v>0</v>
      </c>
      <c r="K156" s="80" t="b">
        <v>0</v>
      </c>
      <c r="L156" s="80" t="b">
        <v>0</v>
      </c>
    </row>
    <row r="157" spans="1:12" ht="15">
      <c r="A157" s="81" t="s">
        <v>3441</v>
      </c>
      <c r="B157" s="80" t="s">
        <v>3442</v>
      </c>
      <c r="C157" s="80">
        <v>4</v>
      </c>
      <c r="D157" s="105">
        <v>0.001598457788083001</v>
      </c>
      <c r="E157" s="105">
        <v>3.0497992779189866</v>
      </c>
      <c r="F157" s="80" t="s">
        <v>3896</v>
      </c>
      <c r="G157" s="80" t="b">
        <v>0</v>
      </c>
      <c r="H157" s="80" t="b">
        <v>0</v>
      </c>
      <c r="I157" s="80" t="b">
        <v>0</v>
      </c>
      <c r="J157" s="80" t="b">
        <v>0</v>
      </c>
      <c r="K157" s="80" t="b">
        <v>0</v>
      </c>
      <c r="L157" s="80" t="b">
        <v>0</v>
      </c>
    </row>
    <row r="158" spans="1:12" ht="15">
      <c r="A158" s="81" t="s">
        <v>3442</v>
      </c>
      <c r="B158" s="80" t="s">
        <v>3443</v>
      </c>
      <c r="C158" s="80">
        <v>4</v>
      </c>
      <c r="D158" s="105">
        <v>0.001598457788083001</v>
      </c>
      <c r="E158" s="105">
        <v>3.0497992779189866</v>
      </c>
      <c r="F158" s="80" t="s">
        <v>3896</v>
      </c>
      <c r="G158" s="80" t="b">
        <v>0</v>
      </c>
      <c r="H158" s="80" t="b">
        <v>0</v>
      </c>
      <c r="I158" s="80" t="b">
        <v>0</v>
      </c>
      <c r="J158" s="80" t="b">
        <v>0</v>
      </c>
      <c r="K158" s="80" t="b">
        <v>0</v>
      </c>
      <c r="L158" s="80" t="b">
        <v>0</v>
      </c>
    </row>
    <row r="159" spans="1:12" ht="15">
      <c r="A159" s="81" t="s">
        <v>3443</v>
      </c>
      <c r="B159" s="80" t="s">
        <v>3444</v>
      </c>
      <c r="C159" s="80">
        <v>4</v>
      </c>
      <c r="D159" s="105">
        <v>0.001598457788083001</v>
      </c>
      <c r="E159" s="105">
        <v>3.0497992779189866</v>
      </c>
      <c r="F159" s="80" t="s">
        <v>3896</v>
      </c>
      <c r="G159" s="80" t="b">
        <v>0</v>
      </c>
      <c r="H159" s="80" t="b">
        <v>0</v>
      </c>
      <c r="I159" s="80" t="b">
        <v>0</v>
      </c>
      <c r="J159" s="80" t="b">
        <v>0</v>
      </c>
      <c r="K159" s="80" t="b">
        <v>0</v>
      </c>
      <c r="L159" s="80" t="b">
        <v>0</v>
      </c>
    </row>
    <row r="160" spans="1:12" ht="15">
      <c r="A160" s="81" t="s">
        <v>3444</v>
      </c>
      <c r="B160" s="80" t="s">
        <v>3445</v>
      </c>
      <c r="C160" s="80">
        <v>4</v>
      </c>
      <c r="D160" s="105">
        <v>0.001598457788083001</v>
      </c>
      <c r="E160" s="105">
        <v>3.0497992779189866</v>
      </c>
      <c r="F160" s="80" t="s">
        <v>3896</v>
      </c>
      <c r="G160" s="80" t="b">
        <v>0</v>
      </c>
      <c r="H160" s="80" t="b">
        <v>0</v>
      </c>
      <c r="I160" s="80" t="b">
        <v>0</v>
      </c>
      <c r="J160" s="80" t="b">
        <v>0</v>
      </c>
      <c r="K160" s="80" t="b">
        <v>0</v>
      </c>
      <c r="L160" s="80" t="b">
        <v>0</v>
      </c>
    </row>
    <row r="161" spans="1:12" ht="15">
      <c r="A161" s="81" t="s">
        <v>3445</v>
      </c>
      <c r="B161" s="80" t="s">
        <v>3446</v>
      </c>
      <c r="C161" s="80">
        <v>4</v>
      </c>
      <c r="D161" s="105">
        <v>0.001598457788083001</v>
      </c>
      <c r="E161" s="105">
        <v>3.0497992779189866</v>
      </c>
      <c r="F161" s="80" t="s">
        <v>3896</v>
      </c>
      <c r="G161" s="80" t="b">
        <v>0</v>
      </c>
      <c r="H161" s="80" t="b">
        <v>0</v>
      </c>
      <c r="I161" s="80" t="b">
        <v>0</v>
      </c>
      <c r="J161" s="80" t="b">
        <v>0</v>
      </c>
      <c r="K161" s="80" t="b">
        <v>0</v>
      </c>
      <c r="L161" s="80" t="b">
        <v>0</v>
      </c>
    </row>
    <row r="162" spans="1:12" ht="15">
      <c r="A162" s="81" t="s">
        <v>3446</v>
      </c>
      <c r="B162" s="80" t="s">
        <v>3447</v>
      </c>
      <c r="C162" s="80">
        <v>4</v>
      </c>
      <c r="D162" s="105">
        <v>0.001598457788083001</v>
      </c>
      <c r="E162" s="105">
        <v>3.0497992779189866</v>
      </c>
      <c r="F162" s="80" t="s">
        <v>3896</v>
      </c>
      <c r="G162" s="80" t="b">
        <v>0</v>
      </c>
      <c r="H162" s="80" t="b">
        <v>0</v>
      </c>
      <c r="I162" s="80" t="b">
        <v>0</v>
      </c>
      <c r="J162" s="80" t="b">
        <v>0</v>
      </c>
      <c r="K162" s="80" t="b">
        <v>0</v>
      </c>
      <c r="L162" s="80" t="b">
        <v>0</v>
      </c>
    </row>
    <row r="163" spans="1:12" ht="15">
      <c r="A163" s="81" t="s">
        <v>3447</v>
      </c>
      <c r="B163" s="80" t="s">
        <v>3448</v>
      </c>
      <c r="C163" s="80">
        <v>4</v>
      </c>
      <c r="D163" s="105">
        <v>0.001598457788083001</v>
      </c>
      <c r="E163" s="105">
        <v>3.0497992779189866</v>
      </c>
      <c r="F163" s="80" t="s">
        <v>3896</v>
      </c>
      <c r="G163" s="80" t="b">
        <v>0</v>
      </c>
      <c r="H163" s="80" t="b">
        <v>0</v>
      </c>
      <c r="I163" s="80" t="b">
        <v>0</v>
      </c>
      <c r="J163" s="80" t="b">
        <v>0</v>
      </c>
      <c r="K163" s="80" t="b">
        <v>0</v>
      </c>
      <c r="L163" s="80" t="b">
        <v>0</v>
      </c>
    </row>
    <row r="164" spans="1:12" ht="15">
      <c r="A164" s="81" t="s">
        <v>3448</v>
      </c>
      <c r="B164" s="80" t="s">
        <v>3449</v>
      </c>
      <c r="C164" s="80">
        <v>4</v>
      </c>
      <c r="D164" s="105">
        <v>0.001598457788083001</v>
      </c>
      <c r="E164" s="105">
        <v>3.0497992779189866</v>
      </c>
      <c r="F164" s="80" t="s">
        <v>3896</v>
      </c>
      <c r="G164" s="80" t="b">
        <v>0</v>
      </c>
      <c r="H164" s="80" t="b">
        <v>0</v>
      </c>
      <c r="I164" s="80" t="b">
        <v>0</v>
      </c>
      <c r="J164" s="80" t="b">
        <v>0</v>
      </c>
      <c r="K164" s="80" t="b">
        <v>0</v>
      </c>
      <c r="L164" s="80" t="b">
        <v>0</v>
      </c>
    </row>
    <row r="165" spans="1:12" ht="15">
      <c r="A165" s="81" t="s">
        <v>3449</v>
      </c>
      <c r="B165" s="80" t="s">
        <v>3260</v>
      </c>
      <c r="C165" s="80">
        <v>4</v>
      </c>
      <c r="D165" s="105">
        <v>0.001598457788083001</v>
      </c>
      <c r="E165" s="105">
        <v>1.1440033975511181</v>
      </c>
      <c r="F165" s="80" t="s">
        <v>3896</v>
      </c>
      <c r="G165" s="80" t="b">
        <v>0</v>
      </c>
      <c r="H165" s="80" t="b">
        <v>0</v>
      </c>
      <c r="I165" s="80" t="b">
        <v>0</v>
      </c>
      <c r="J165" s="80" t="b">
        <v>0</v>
      </c>
      <c r="K165" s="80" t="b">
        <v>0</v>
      </c>
      <c r="L165" s="80" t="b">
        <v>0</v>
      </c>
    </row>
    <row r="166" spans="1:12" ht="15">
      <c r="A166" s="81" t="s">
        <v>567</v>
      </c>
      <c r="B166" s="80" t="s">
        <v>3260</v>
      </c>
      <c r="C166" s="80">
        <v>4</v>
      </c>
      <c r="D166" s="105">
        <v>0.001598457788083001</v>
      </c>
      <c r="E166" s="105">
        <v>1.1440033975511181</v>
      </c>
      <c r="F166" s="80" t="s">
        <v>3896</v>
      </c>
      <c r="G166" s="80" t="b">
        <v>0</v>
      </c>
      <c r="H166" s="80" t="b">
        <v>0</v>
      </c>
      <c r="I166" s="80" t="b">
        <v>0</v>
      </c>
      <c r="J166" s="80" t="b">
        <v>0</v>
      </c>
      <c r="K166" s="80" t="b">
        <v>0</v>
      </c>
      <c r="L166" s="80" t="b">
        <v>0</v>
      </c>
    </row>
    <row r="167" spans="1:12" ht="15">
      <c r="A167" s="81" t="s">
        <v>3394</v>
      </c>
      <c r="B167" s="80" t="s">
        <v>3367</v>
      </c>
      <c r="C167" s="80">
        <v>4</v>
      </c>
      <c r="D167" s="105">
        <v>0.001598457788083001</v>
      </c>
      <c r="E167" s="105">
        <v>2.7098512162246355</v>
      </c>
      <c r="F167" s="80" t="s">
        <v>3896</v>
      </c>
      <c r="G167" s="80" t="b">
        <v>0</v>
      </c>
      <c r="H167" s="80" t="b">
        <v>0</v>
      </c>
      <c r="I167" s="80" t="b">
        <v>0</v>
      </c>
      <c r="J167" s="80" t="b">
        <v>0</v>
      </c>
      <c r="K167" s="80" t="b">
        <v>0</v>
      </c>
      <c r="L167" s="80" t="b">
        <v>0</v>
      </c>
    </row>
    <row r="168" spans="1:12" ht="15">
      <c r="A168" s="81" t="s">
        <v>3368</v>
      </c>
      <c r="B168" s="80" t="s">
        <v>3395</v>
      </c>
      <c r="C168" s="80">
        <v>4</v>
      </c>
      <c r="D168" s="105">
        <v>0.001598457788083001</v>
      </c>
      <c r="E168" s="105">
        <v>2.7098512162246355</v>
      </c>
      <c r="F168" s="80" t="s">
        <v>3896</v>
      </c>
      <c r="G168" s="80" t="b">
        <v>0</v>
      </c>
      <c r="H168" s="80" t="b">
        <v>0</v>
      </c>
      <c r="I168" s="80" t="b">
        <v>0</v>
      </c>
      <c r="J168" s="80" t="b">
        <v>1</v>
      </c>
      <c r="K168" s="80" t="b">
        <v>0</v>
      </c>
      <c r="L168" s="80" t="b">
        <v>0</v>
      </c>
    </row>
    <row r="169" spans="1:12" ht="15">
      <c r="A169" s="81" t="s">
        <v>3369</v>
      </c>
      <c r="B169" s="80" t="s">
        <v>3452</v>
      </c>
      <c r="C169" s="80">
        <v>4</v>
      </c>
      <c r="D169" s="105">
        <v>0.001598457788083001</v>
      </c>
      <c r="E169" s="105">
        <v>2.8067612292326922</v>
      </c>
      <c r="F169" s="80" t="s">
        <v>3896</v>
      </c>
      <c r="G169" s="80" t="b">
        <v>0</v>
      </c>
      <c r="H169" s="80" t="b">
        <v>0</v>
      </c>
      <c r="I169" s="80" t="b">
        <v>0</v>
      </c>
      <c r="J169" s="80" t="b">
        <v>0</v>
      </c>
      <c r="K169" s="80" t="b">
        <v>0</v>
      </c>
      <c r="L169" s="80" t="b">
        <v>0</v>
      </c>
    </row>
    <row r="170" spans="1:12" ht="15">
      <c r="A170" s="81" t="s">
        <v>3452</v>
      </c>
      <c r="B170" s="80" t="s">
        <v>542</v>
      </c>
      <c r="C170" s="80">
        <v>4</v>
      </c>
      <c r="D170" s="105">
        <v>0.001598457788083001</v>
      </c>
      <c r="E170" s="105">
        <v>2.505731233568711</v>
      </c>
      <c r="F170" s="80" t="s">
        <v>3896</v>
      </c>
      <c r="G170" s="80" t="b">
        <v>0</v>
      </c>
      <c r="H170" s="80" t="b">
        <v>0</v>
      </c>
      <c r="I170" s="80" t="b">
        <v>0</v>
      </c>
      <c r="J170" s="80" t="b">
        <v>0</v>
      </c>
      <c r="K170" s="80" t="b">
        <v>0</v>
      </c>
      <c r="L170" s="80" t="b">
        <v>0</v>
      </c>
    </row>
    <row r="171" spans="1:12" ht="15">
      <c r="A171" s="81" t="s">
        <v>3319</v>
      </c>
      <c r="B171" s="80" t="s">
        <v>542</v>
      </c>
      <c r="C171" s="80">
        <v>4</v>
      </c>
      <c r="D171" s="105">
        <v>0.001598457788083001</v>
      </c>
      <c r="E171" s="105">
        <v>2.0286099788490484</v>
      </c>
      <c r="F171" s="80" t="s">
        <v>3896</v>
      </c>
      <c r="G171" s="80" t="b">
        <v>0</v>
      </c>
      <c r="H171" s="80" t="b">
        <v>0</v>
      </c>
      <c r="I171" s="80" t="b">
        <v>0</v>
      </c>
      <c r="J171" s="80" t="b">
        <v>0</v>
      </c>
      <c r="K171" s="80" t="b">
        <v>0</v>
      </c>
      <c r="L171" s="80" t="b">
        <v>0</v>
      </c>
    </row>
    <row r="172" spans="1:12" ht="15">
      <c r="A172" s="81" t="s">
        <v>3371</v>
      </c>
      <c r="B172" s="80" t="s">
        <v>3260</v>
      </c>
      <c r="C172" s="80">
        <v>4</v>
      </c>
      <c r="D172" s="105">
        <v>0.001598457788083001</v>
      </c>
      <c r="E172" s="105">
        <v>0.9009653488648236</v>
      </c>
      <c r="F172" s="80" t="s">
        <v>3896</v>
      </c>
      <c r="G172" s="80" t="b">
        <v>0</v>
      </c>
      <c r="H172" s="80" t="b">
        <v>0</v>
      </c>
      <c r="I172" s="80" t="b">
        <v>0</v>
      </c>
      <c r="J172" s="80" t="b">
        <v>0</v>
      </c>
      <c r="K172" s="80" t="b">
        <v>0</v>
      </c>
      <c r="L172" s="80" t="b">
        <v>0</v>
      </c>
    </row>
    <row r="173" spans="1:12" ht="15">
      <c r="A173" s="81" t="s">
        <v>546</v>
      </c>
      <c r="B173" s="80" t="s">
        <v>3260</v>
      </c>
      <c r="C173" s="80">
        <v>4</v>
      </c>
      <c r="D173" s="105">
        <v>0.001598457788083001</v>
      </c>
      <c r="E173" s="105">
        <v>1.1440033975511181</v>
      </c>
      <c r="F173" s="80" t="s">
        <v>3896</v>
      </c>
      <c r="G173" s="80" t="b">
        <v>0</v>
      </c>
      <c r="H173" s="80" t="b">
        <v>0</v>
      </c>
      <c r="I173" s="80" t="b">
        <v>0</v>
      </c>
      <c r="J173" s="80" t="b">
        <v>0</v>
      </c>
      <c r="K173" s="80" t="b">
        <v>0</v>
      </c>
      <c r="L173" s="80" t="b">
        <v>0</v>
      </c>
    </row>
    <row r="174" spans="1:12" ht="15">
      <c r="A174" s="81" t="s">
        <v>3315</v>
      </c>
      <c r="B174" s="80" t="s">
        <v>3379</v>
      </c>
      <c r="C174" s="80">
        <v>4</v>
      </c>
      <c r="D174" s="105">
        <v>0.001598457788083001</v>
      </c>
      <c r="E174" s="105">
        <v>2.361824657884431</v>
      </c>
      <c r="F174" s="80" t="s">
        <v>3896</v>
      </c>
      <c r="G174" s="80" t="b">
        <v>0</v>
      </c>
      <c r="H174" s="80" t="b">
        <v>0</v>
      </c>
      <c r="I174" s="80" t="b">
        <v>0</v>
      </c>
      <c r="J174" s="80" t="b">
        <v>0</v>
      </c>
      <c r="K174" s="80" t="b">
        <v>0</v>
      </c>
      <c r="L174" s="80" t="b">
        <v>0</v>
      </c>
    </row>
    <row r="175" spans="1:12" ht="15">
      <c r="A175" s="81" t="s">
        <v>3379</v>
      </c>
      <c r="B175" s="80" t="s">
        <v>3356</v>
      </c>
      <c r="C175" s="80">
        <v>4</v>
      </c>
      <c r="D175" s="105">
        <v>0.001598457788083001</v>
      </c>
      <c r="E175" s="105">
        <v>2.572678023199324</v>
      </c>
      <c r="F175" s="80" t="s">
        <v>3896</v>
      </c>
      <c r="G175" s="80" t="b">
        <v>0</v>
      </c>
      <c r="H175" s="80" t="b">
        <v>0</v>
      </c>
      <c r="I175" s="80" t="b">
        <v>0</v>
      </c>
      <c r="J175" s="80" t="b">
        <v>0</v>
      </c>
      <c r="K175" s="80" t="b">
        <v>0</v>
      </c>
      <c r="L175" s="80" t="b">
        <v>0</v>
      </c>
    </row>
    <row r="176" spans="1:12" ht="15">
      <c r="A176" s="81" t="s">
        <v>3356</v>
      </c>
      <c r="B176" s="80" t="s">
        <v>3455</v>
      </c>
      <c r="C176" s="80">
        <v>4</v>
      </c>
      <c r="D176" s="105">
        <v>0.001598457788083001</v>
      </c>
      <c r="E176" s="105">
        <v>2.7487692822550054</v>
      </c>
      <c r="F176" s="80" t="s">
        <v>3896</v>
      </c>
      <c r="G176" s="80" t="b">
        <v>0</v>
      </c>
      <c r="H176" s="80" t="b">
        <v>0</v>
      </c>
      <c r="I176" s="80" t="b">
        <v>0</v>
      </c>
      <c r="J176" s="80" t="b">
        <v>0</v>
      </c>
      <c r="K176" s="80" t="b">
        <v>0</v>
      </c>
      <c r="L176" s="80" t="b">
        <v>0</v>
      </c>
    </row>
    <row r="177" spans="1:12" ht="15">
      <c r="A177" s="81" t="s">
        <v>3455</v>
      </c>
      <c r="B177" s="80" t="s">
        <v>3456</v>
      </c>
      <c r="C177" s="80">
        <v>4</v>
      </c>
      <c r="D177" s="105">
        <v>0.001598457788083001</v>
      </c>
      <c r="E177" s="105">
        <v>3.0497992779189866</v>
      </c>
      <c r="F177" s="80" t="s">
        <v>3896</v>
      </c>
      <c r="G177" s="80" t="b">
        <v>0</v>
      </c>
      <c r="H177" s="80" t="b">
        <v>0</v>
      </c>
      <c r="I177" s="80" t="b">
        <v>0</v>
      </c>
      <c r="J177" s="80" t="b">
        <v>0</v>
      </c>
      <c r="K177" s="80" t="b">
        <v>0</v>
      </c>
      <c r="L177" s="80" t="b">
        <v>0</v>
      </c>
    </row>
    <row r="178" spans="1:12" ht="15">
      <c r="A178" s="81" t="s">
        <v>3456</v>
      </c>
      <c r="B178" s="80" t="s">
        <v>3457</v>
      </c>
      <c r="C178" s="80">
        <v>4</v>
      </c>
      <c r="D178" s="105">
        <v>0.001598457788083001</v>
      </c>
      <c r="E178" s="105">
        <v>3.0497992779189866</v>
      </c>
      <c r="F178" s="80" t="s">
        <v>3896</v>
      </c>
      <c r="G178" s="80" t="b">
        <v>0</v>
      </c>
      <c r="H178" s="80" t="b">
        <v>0</v>
      </c>
      <c r="I178" s="80" t="b">
        <v>0</v>
      </c>
      <c r="J178" s="80" t="b">
        <v>0</v>
      </c>
      <c r="K178" s="80" t="b">
        <v>0</v>
      </c>
      <c r="L178" s="80" t="b">
        <v>0</v>
      </c>
    </row>
    <row r="179" spans="1:12" ht="15">
      <c r="A179" s="81" t="s">
        <v>3457</v>
      </c>
      <c r="B179" s="80" t="s">
        <v>3458</v>
      </c>
      <c r="C179" s="80">
        <v>4</v>
      </c>
      <c r="D179" s="105">
        <v>0.001598457788083001</v>
      </c>
      <c r="E179" s="105">
        <v>3.0497992779189866</v>
      </c>
      <c r="F179" s="80" t="s">
        <v>3896</v>
      </c>
      <c r="G179" s="80" t="b">
        <v>0</v>
      </c>
      <c r="H179" s="80" t="b">
        <v>0</v>
      </c>
      <c r="I179" s="80" t="b">
        <v>0</v>
      </c>
      <c r="J179" s="80" t="b">
        <v>0</v>
      </c>
      <c r="K179" s="80" t="b">
        <v>0</v>
      </c>
      <c r="L179" s="80" t="b">
        <v>0</v>
      </c>
    </row>
    <row r="180" spans="1:12" ht="15">
      <c r="A180" s="81" t="s">
        <v>3458</v>
      </c>
      <c r="B180" s="80" t="s">
        <v>3260</v>
      </c>
      <c r="C180" s="80">
        <v>4</v>
      </c>
      <c r="D180" s="105">
        <v>0.001598457788083001</v>
      </c>
      <c r="E180" s="105">
        <v>1.1440033975511181</v>
      </c>
      <c r="F180" s="80" t="s">
        <v>3896</v>
      </c>
      <c r="G180" s="80" t="b">
        <v>0</v>
      </c>
      <c r="H180" s="80" t="b">
        <v>0</v>
      </c>
      <c r="I180" s="80" t="b">
        <v>0</v>
      </c>
      <c r="J180" s="80" t="b">
        <v>0</v>
      </c>
      <c r="K180" s="80" t="b">
        <v>0</v>
      </c>
      <c r="L180" s="80" t="b">
        <v>0</v>
      </c>
    </row>
    <row r="181" spans="1:12" ht="15">
      <c r="A181" s="81" t="s">
        <v>3461</v>
      </c>
      <c r="B181" s="80" t="s">
        <v>3462</v>
      </c>
      <c r="C181" s="80">
        <v>4</v>
      </c>
      <c r="D181" s="105">
        <v>0.001598457788083001</v>
      </c>
      <c r="E181" s="105">
        <v>3.0497992779189866</v>
      </c>
      <c r="F181" s="80" t="s">
        <v>3896</v>
      </c>
      <c r="G181" s="80" t="b">
        <v>0</v>
      </c>
      <c r="H181" s="80" t="b">
        <v>0</v>
      </c>
      <c r="I181" s="80" t="b">
        <v>0</v>
      </c>
      <c r="J181" s="80" t="b">
        <v>0</v>
      </c>
      <c r="K181" s="80" t="b">
        <v>0</v>
      </c>
      <c r="L181" s="80" t="b">
        <v>0</v>
      </c>
    </row>
    <row r="182" spans="1:12" ht="15">
      <c r="A182" s="81" t="s">
        <v>3462</v>
      </c>
      <c r="B182" s="80" t="s">
        <v>3260</v>
      </c>
      <c r="C182" s="80">
        <v>4</v>
      </c>
      <c r="D182" s="105">
        <v>0.001598457788083001</v>
      </c>
      <c r="E182" s="105">
        <v>1.1440033975511181</v>
      </c>
      <c r="F182" s="80" t="s">
        <v>3896</v>
      </c>
      <c r="G182" s="80" t="b">
        <v>0</v>
      </c>
      <c r="H182" s="80" t="b">
        <v>0</v>
      </c>
      <c r="I182" s="80" t="b">
        <v>0</v>
      </c>
      <c r="J182" s="80" t="b">
        <v>0</v>
      </c>
      <c r="K182" s="80" t="b">
        <v>0</v>
      </c>
      <c r="L182" s="80" t="b">
        <v>0</v>
      </c>
    </row>
    <row r="183" spans="1:12" ht="15">
      <c r="A183" s="81" t="s">
        <v>3463</v>
      </c>
      <c r="B183" s="80" t="s">
        <v>3348</v>
      </c>
      <c r="C183" s="80">
        <v>4</v>
      </c>
      <c r="D183" s="105">
        <v>0.0018480163337111716</v>
      </c>
      <c r="E183" s="105">
        <v>2.697616759807624</v>
      </c>
      <c r="F183" s="80" t="s">
        <v>3896</v>
      </c>
      <c r="G183" s="80" t="b">
        <v>0</v>
      </c>
      <c r="H183" s="80" t="b">
        <v>0</v>
      </c>
      <c r="I183" s="80" t="b">
        <v>0</v>
      </c>
      <c r="J183" s="80" t="b">
        <v>0</v>
      </c>
      <c r="K183" s="80" t="b">
        <v>0</v>
      </c>
      <c r="L183" s="80" t="b">
        <v>0</v>
      </c>
    </row>
    <row r="184" spans="1:12" ht="15">
      <c r="A184" s="81" t="s">
        <v>3348</v>
      </c>
      <c r="B184" s="80" t="s">
        <v>3356</v>
      </c>
      <c r="C184" s="80">
        <v>4</v>
      </c>
      <c r="D184" s="105">
        <v>0.0018480163337111716</v>
      </c>
      <c r="E184" s="105">
        <v>2.396586764143643</v>
      </c>
      <c r="F184" s="80" t="s">
        <v>3896</v>
      </c>
      <c r="G184" s="80" t="b">
        <v>0</v>
      </c>
      <c r="H184" s="80" t="b">
        <v>0</v>
      </c>
      <c r="I184" s="80" t="b">
        <v>0</v>
      </c>
      <c r="J184" s="80" t="b">
        <v>0</v>
      </c>
      <c r="K184" s="80" t="b">
        <v>0</v>
      </c>
      <c r="L184" s="80" t="b">
        <v>0</v>
      </c>
    </row>
    <row r="185" spans="1:12" ht="15">
      <c r="A185" s="81" t="s">
        <v>3464</v>
      </c>
      <c r="B185" s="80" t="s">
        <v>3465</v>
      </c>
      <c r="C185" s="80">
        <v>4</v>
      </c>
      <c r="D185" s="105">
        <v>0.001598457788083001</v>
      </c>
      <c r="E185" s="105">
        <v>3.0497992779189866</v>
      </c>
      <c r="F185" s="80" t="s">
        <v>3896</v>
      </c>
      <c r="G185" s="80" t="b">
        <v>0</v>
      </c>
      <c r="H185" s="80" t="b">
        <v>0</v>
      </c>
      <c r="I185" s="80" t="b">
        <v>0</v>
      </c>
      <c r="J185" s="80" t="b">
        <v>0</v>
      </c>
      <c r="K185" s="80" t="b">
        <v>0</v>
      </c>
      <c r="L185" s="80" t="b">
        <v>0</v>
      </c>
    </row>
    <row r="186" spans="1:12" ht="15">
      <c r="A186" s="81" t="s">
        <v>3465</v>
      </c>
      <c r="B186" s="80" t="s">
        <v>3466</v>
      </c>
      <c r="C186" s="80">
        <v>4</v>
      </c>
      <c r="D186" s="105">
        <v>0.001598457788083001</v>
      </c>
      <c r="E186" s="105">
        <v>3.0497992779189866</v>
      </c>
      <c r="F186" s="80" t="s">
        <v>3896</v>
      </c>
      <c r="G186" s="80" t="b">
        <v>0</v>
      </c>
      <c r="H186" s="80" t="b">
        <v>0</v>
      </c>
      <c r="I186" s="80" t="b">
        <v>0</v>
      </c>
      <c r="J186" s="80" t="b">
        <v>0</v>
      </c>
      <c r="K186" s="80" t="b">
        <v>0</v>
      </c>
      <c r="L186" s="80" t="b">
        <v>0</v>
      </c>
    </row>
    <row r="187" spans="1:12" ht="15">
      <c r="A187" s="81" t="s">
        <v>3466</v>
      </c>
      <c r="B187" s="80" t="s">
        <v>3467</v>
      </c>
      <c r="C187" s="80">
        <v>4</v>
      </c>
      <c r="D187" s="105">
        <v>0.001598457788083001</v>
      </c>
      <c r="E187" s="105">
        <v>3.0497992779189866</v>
      </c>
      <c r="F187" s="80" t="s">
        <v>3896</v>
      </c>
      <c r="G187" s="80" t="b">
        <v>0</v>
      </c>
      <c r="H187" s="80" t="b">
        <v>0</v>
      </c>
      <c r="I187" s="80" t="b">
        <v>0</v>
      </c>
      <c r="J187" s="80" t="b">
        <v>0</v>
      </c>
      <c r="K187" s="80" t="b">
        <v>0</v>
      </c>
      <c r="L187" s="80" t="b">
        <v>0</v>
      </c>
    </row>
    <row r="188" spans="1:12" ht="15">
      <c r="A188" s="81" t="s">
        <v>3467</v>
      </c>
      <c r="B188" s="80" t="s">
        <v>3468</v>
      </c>
      <c r="C188" s="80">
        <v>4</v>
      </c>
      <c r="D188" s="105">
        <v>0.001598457788083001</v>
      </c>
      <c r="E188" s="105">
        <v>3.0497992779189866</v>
      </c>
      <c r="F188" s="80" t="s">
        <v>3896</v>
      </c>
      <c r="G188" s="80" t="b">
        <v>0</v>
      </c>
      <c r="H188" s="80" t="b">
        <v>0</v>
      </c>
      <c r="I188" s="80" t="b">
        <v>0</v>
      </c>
      <c r="J188" s="80" t="b">
        <v>0</v>
      </c>
      <c r="K188" s="80" t="b">
        <v>0</v>
      </c>
      <c r="L188" s="80" t="b">
        <v>0</v>
      </c>
    </row>
    <row r="189" spans="1:12" ht="15">
      <c r="A189" s="81" t="s">
        <v>3468</v>
      </c>
      <c r="B189" s="80" t="s">
        <v>3469</v>
      </c>
      <c r="C189" s="80">
        <v>4</v>
      </c>
      <c r="D189" s="105">
        <v>0.001598457788083001</v>
      </c>
      <c r="E189" s="105">
        <v>3.0497992779189866</v>
      </c>
      <c r="F189" s="80" t="s">
        <v>3896</v>
      </c>
      <c r="G189" s="80" t="b">
        <v>0</v>
      </c>
      <c r="H189" s="80" t="b">
        <v>0</v>
      </c>
      <c r="I189" s="80" t="b">
        <v>0</v>
      </c>
      <c r="J189" s="80" t="b">
        <v>0</v>
      </c>
      <c r="K189" s="80" t="b">
        <v>0</v>
      </c>
      <c r="L189" s="80" t="b">
        <v>0</v>
      </c>
    </row>
    <row r="190" spans="1:12" ht="15">
      <c r="A190" s="81" t="s">
        <v>3469</v>
      </c>
      <c r="B190" s="80" t="s">
        <v>3470</v>
      </c>
      <c r="C190" s="80">
        <v>4</v>
      </c>
      <c r="D190" s="105">
        <v>0.001598457788083001</v>
      </c>
      <c r="E190" s="105">
        <v>3.0497992779189866</v>
      </c>
      <c r="F190" s="80" t="s">
        <v>3896</v>
      </c>
      <c r="G190" s="80" t="b">
        <v>0</v>
      </c>
      <c r="H190" s="80" t="b">
        <v>0</v>
      </c>
      <c r="I190" s="80" t="b">
        <v>0</v>
      </c>
      <c r="J190" s="80" t="b">
        <v>0</v>
      </c>
      <c r="K190" s="80" t="b">
        <v>0</v>
      </c>
      <c r="L190" s="80" t="b">
        <v>0</v>
      </c>
    </row>
    <row r="191" spans="1:12" ht="15">
      <c r="A191" s="81" t="s">
        <v>3470</v>
      </c>
      <c r="B191" s="80" t="s">
        <v>3260</v>
      </c>
      <c r="C191" s="80">
        <v>4</v>
      </c>
      <c r="D191" s="105">
        <v>0.001598457788083001</v>
      </c>
      <c r="E191" s="105">
        <v>1.1440033975511181</v>
      </c>
      <c r="F191" s="80" t="s">
        <v>3896</v>
      </c>
      <c r="G191" s="80" t="b">
        <v>0</v>
      </c>
      <c r="H191" s="80" t="b">
        <v>0</v>
      </c>
      <c r="I191" s="80" t="b">
        <v>0</v>
      </c>
      <c r="J191" s="80" t="b">
        <v>0</v>
      </c>
      <c r="K191" s="80" t="b">
        <v>0</v>
      </c>
      <c r="L191" s="80" t="b">
        <v>0</v>
      </c>
    </row>
    <row r="192" spans="1:12" ht="15">
      <c r="A192" s="81" t="s">
        <v>3269</v>
      </c>
      <c r="B192" s="80" t="s">
        <v>3471</v>
      </c>
      <c r="C192" s="80">
        <v>4</v>
      </c>
      <c r="D192" s="105">
        <v>0.001598457788083001</v>
      </c>
      <c r="E192" s="105">
        <v>2.7487692822550054</v>
      </c>
      <c r="F192" s="80" t="s">
        <v>3896</v>
      </c>
      <c r="G192" s="80" t="b">
        <v>0</v>
      </c>
      <c r="H192" s="80" t="b">
        <v>0</v>
      </c>
      <c r="I192" s="80" t="b">
        <v>0</v>
      </c>
      <c r="J192" s="80" t="b">
        <v>0</v>
      </c>
      <c r="K192" s="80" t="b">
        <v>0</v>
      </c>
      <c r="L192" s="80" t="b">
        <v>0</v>
      </c>
    </row>
    <row r="193" spans="1:12" ht="15">
      <c r="A193" s="81" t="s">
        <v>378</v>
      </c>
      <c r="B193" s="80" t="s">
        <v>3476</v>
      </c>
      <c r="C193" s="80">
        <v>4</v>
      </c>
      <c r="D193" s="105">
        <v>0.001598457788083001</v>
      </c>
      <c r="E193" s="105">
        <v>3.0497992779189866</v>
      </c>
      <c r="F193" s="80" t="s">
        <v>3896</v>
      </c>
      <c r="G193" s="80" t="b">
        <v>0</v>
      </c>
      <c r="H193" s="80" t="b">
        <v>0</v>
      </c>
      <c r="I193" s="80" t="b">
        <v>0</v>
      </c>
      <c r="J193" s="80" t="b">
        <v>0</v>
      </c>
      <c r="K193" s="80" t="b">
        <v>0</v>
      </c>
      <c r="L193" s="80" t="b">
        <v>0</v>
      </c>
    </row>
    <row r="194" spans="1:12" ht="15">
      <c r="A194" s="81" t="s">
        <v>3476</v>
      </c>
      <c r="B194" s="80" t="s">
        <v>526</v>
      </c>
      <c r="C194" s="80">
        <v>4</v>
      </c>
      <c r="D194" s="105">
        <v>0.001598457788083001</v>
      </c>
      <c r="E194" s="105">
        <v>3.0497992779189866</v>
      </c>
      <c r="F194" s="80" t="s">
        <v>3896</v>
      </c>
      <c r="G194" s="80" t="b">
        <v>0</v>
      </c>
      <c r="H194" s="80" t="b">
        <v>0</v>
      </c>
      <c r="I194" s="80" t="b">
        <v>0</v>
      </c>
      <c r="J194" s="80" t="b">
        <v>0</v>
      </c>
      <c r="K194" s="80" t="b">
        <v>0</v>
      </c>
      <c r="L194" s="80" t="b">
        <v>0</v>
      </c>
    </row>
    <row r="195" spans="1:12" ht="15">
      <c r="A195" s="81" t="s">
        <v>526</v>
      </c>
      <c r="B195" s="80" t="s">
        <v>500</v>
      </c>
      <c r="C195" s="80">
        <v>4</v>
      </c>
      <c r="D195" s="105">
        <v>0.001598457788083001</v>
      </c>
      <c r="E195" s="105">
        <v>2.0286099788490484</v>
      </c>
      <c r="F195" s="80" t="s">
        <v>3896</v>
      </c>
      <c r="G195" s="80" t="b">
        <v>0</v>
      </c>
      <c r="H195" s="80" t="b">
        <v>0</v>
      </c>
      <c r="I195" s="80" t="b">
        <v>0</v>
      </c>
      <c r="J195" s="80" t="b">
        <v>0</v>
      </c>
      <c r="K195" s="80" t="b">
        <v>0</v>
      </c>
      <c r="L195" s="80" t="b">
        <v>0</v>
      </c>
    </row>
    <row r="196" spans="1:12" ht="15">
      <c r="A196" s="81" t="s">
        <v>3384</v>
      </c>
      <c r="B196" s="80" t="s">
        <v>3480</v>
      </c>
      <c r="C196" s="80">
        <v>4</v>
      </c>
      <c r="D196" s="105">
        <v>0.001598457788083001</v>
      </c>
      <c r="E196" s="105">
        <v>2.8737080188633053</v>
      </c>
      <c r="F196" s="80" t="s">
        <v>3896</v>
      </c>
      <c r="G196" s="80" t="b">
        <v>0</v>
      </c>
      <c r="H196" s="80" t="b">
        <v>0</v>
      </c>
      <c r="I196" s="80" t="b">
        <v>0</v>
      </c>
      <c r="J196" s="80" t="b">
        <v>0</v>
      </c>
      <c r="K196" s="80" t="b">
        <v>0</v>
      </c>
      <c r="L196" s="80" t="b">
        <v>0</v>
      </c>
    </row>
    <row r="197" spans="1:12" ht="15">
      <c r="A197" s="81" t="s">
        <v>3480</v>
      </c>
      <c r="B197" s="80" t="s">
        <v>3481</v>
      </c>
      <c r="C197" s="80">
        <v>4</v>
      </c>
      <c r="D197" s="105">
        <v>0.001598457788083001</v>
      </c>
      <c r="E197" s="105">
        <v>3.0497992779189866</v>
      </c>
      <c r="F197" s="80" t="s">
        <v>3896</v>
      </c>
      <c r="G197" s="80" t="b">
        <v>0</v>
      </c>
      <c r="H197" s="80" t="b">
        <v>0</v>
      </c>
      <c r="I197" s="80" t="b">
        <v>0</v>
      </c>
      <c r="J197" s="80" t="b">
        <v>0</v>
      </c>
      <c r="K197" s="80" t="b">
        <v>0</v>
      </c>
      <c r="L197" s="80" t="b">
        <v>0</v>
      </c>
    </row>
    <row r="198" spans="1:12" ht="15">
      <c r="A198" s="81" t="s">
        <v>3481</v>
      </c>
      <c r="B198" s="80" t="s">
        <v>3482</v>
      </c>
      <c r="C198" s="80">
        <v>4</v>
      </c>
      <c r="D198" s="105">
        <v>0.001598457788083001</v>
      </c>
      <c r="E198" s="105">
        <v>3.0497992779189866</v>
      </c>
      <c r="F198" s="80" t="s">
        <v>3896</v>
      </c>
      <c r="G198" s="80" t="b">
        <v>0</v>
      </c>
      <c r="H198" s="80" t="b">
        <v>0</v>
      </c>
      <c r="I198" s="80" t="b">
        <v>0</v>
      </c>
      <c r="J198" s="80" t="b">
        <v>0</v>
      </c>
      <c r="K198" s="80" t="b">
        <v>0</v>
      </c>
      <c r="L198" s="80" t="b">
        <v>0</v>
      </c>
    </row>
    <row r="199" spans="1:12" ht="15">
      <c r="A199" s="81" t="s">
        <v>3482</v>
      </c>
      <c r="B199" s="80" t="s">
        <v>3483</v>
      </c>
      <c r="C199" s="80">
        <v>4</v>
      </c>
      <c r="D199" s="105">
        <v>0.001598457788083001</v>
      </c>
      <c r="E199" s="105">
        <v>3.0497992779189866</v>
      </c>
      <c r="F199" s="80" t="s">
        <v>3896</v>
      </c>
      <c r="G199" s="80" t="b">
        <v>0</v>
      </c>
      <c r="H199" s="80" t="b">
        <v>0</v>
      </c>
      <c r="I199" s="80" t="b">
        <v>0</v>
      </c>
      <c r="J199" s="80" t="b">
        <v>1</v>
      </c>
      <c r="K199" s="80" t="b">
        <v>0</v>
      </c>
      <c r="L199" s="80" t="b">
        <v>0</v>
      </c>
    </row>
    <row r="200" spans="1:12" ht="15">
      <c r="A200" s="81" t="s">
        <v>3483</v>
      </c>
      <c r="B200" s="80" t="s">
        <v>3484</v>
      </c>
      <c r="C200" s="80">
        <v>4</v>
      </c>
      <c r="D200" s="105">
        <v>0.001598457788083001</v>
      </c>
      <c r="E200" s="105">
        <v>3.0497992779189866</v>
      </c>
      <c r="F200" s="80" t="s">
        <v>3896</v>
      </c>
      <c r="G200" s="80" t="b">
        <v>1</v>
      </c>
      <c r="H200" s="80" t="b">
        <v>0</v>
      </c>
      <c r="I200" s="80" t="b">
        <v>0</v>
      </c>
      <c r="J200" s="80" t="b">
        <v>0</v>
      </c>
      <c r="K200" s="80" t="b">
        <v>0</v>
      </c>
      <c r="L200" s="80" t="b">
        <v>0</v>
      </c>
    </row>
    <row r="201" spans="1:12" ht="15">
      <c r="A201" s="81" t="s">
        <v>3484</v>
      </c>
      <c r="B201" s="80" t="s">
        <v>3485</v>
      </c>
      <c r="C201" s="80">
        <v>4</v>
      </c>
      <c r="D201" s="105">
        <v>0.001598457788083001</v>
      </c>
      <c r="E201" s="105">
        <v>3.0497992779189866</v>
      </c>
      <c r="F201" s="80" t="s">
        <v>3896</v>
      </c>
      <c r="G201" s="80" t="b">
        <v>0</v>
      </c>
      <c r="H201" s="80" t="b">
        <v>0</v>
      </c>
      <c r="I201" s="80" t="b">
        <v>0</v>
      </c>
      <c r="J201" s="80" t="b">
        <v>0</v>
      </c>
      <c r="K201" s="80" t="b">
        <v>0</v>
      </c>
      <c r="L201" s="80" t="b">
        <v>0</v>
      </c>
    </row>
    <row r="202" spans="1:12" ht="15">
      <c r="A202" s="81" t="s">
        <v>3485</v>
      </c>
      <c r="B202" s="80" t="s">
        <v>3364</v>
      </c>
      <c r="C202" s="80">
        <v>4</v>
      </c>
      <c r="D202" s="105">
        <v>0.001598457788083001</v>
      </c>
      <c r="E202" s="105">
        <v>2.7487692822550054</v>
      </c>
      <c r="F202" s="80" t="s">
        <v>3896</v>
      </c>
      <c r="G202" s="80" t="b">
        <v>0</v>
      </c>
      <c r="H202" s="80" t="b">
        <v>0</v>
      </c>
      <c r="I202" s="80" t="b">
        <v>0</v>
      </c>
      <c r="J202" s="80" t="b">
        <v>0</v>
      </c>
      <c r="K202" s="80" t="b">
        <v>0</v>
      </c>
      <c r="L202" s="80" t="b">
        <v>0</v>
      </c>
    </row>
    <row r="203" spans="1:12" ht="15">
      <c r="A203" s="81" t="s">
        <v>3364</v>
      </c>
      <c r="B203" s="80" t="s">
        <v>3486</v>
      </c>
      <c r="C203" s="80">
        <v>4</v>
      </c>
      <c r="D203" s="105">
        <v>0.001598457788083001</v>
      </c>
      <c r="E203" s="105">
        <v>2.7487692822550054</v>
      </c>
      <c r="F203" s="80" t="s">
        <v>3896</v>
      </c>
      <c r="G203" s="80" t="b">
        <v>0</v>
      </c>
      <c r="H203" s="80" t="b">
        <v>0</v>
      </c>
      <c r="I203" s="80" t="b">
        <v>0</v>
      </c>
      <c r="J203" s="80" t="b">
        <v>0</v>
      </c>
      <c r="K203" s="80" t="b">
        <v>0</v>
      </c>
      <c r="L203" s="80" t="b">
        <v>0</v>
      </c>
    </row>
    <row r="204" spans="1:12" ht="15">
      <c r="A204" s="81" t="s">
        <v>3486</v>
      </c>
      <c r="B204" s="80" t="s">
        <v>3377</v>
      </c>
      <c r="C204" s="80">
        <v>4</v>
      </c>
      <c r="D204" s="105">
        <v>0.001598457788083001</v>
      </c>
      <c r="E204" s="105">
        <v>2.8737080188633053</v>
      </c>
      <c r="F204" s="80" t="s">
        <v>3896</v>
      </c>
      <c r="G204" s="80" t="b">
        <v>0</v>
      </c>
      <c r="H204" s="80" t="b">
        <v>0</v>
      </c>
      <c r="I204" s="80" t="b">
        <v>0</v>
      </c>
      <c r="J204" s="80" t="b">
        <v>0</v>
      </c>
      <c r="K204" s="80" t="b">
        <v>0</v>
      </c>
      <c r="L204" s="80" t="b">
        <v>0</v>
      </c>
    </row>
    <row r="205" spans="1:12" ht="15">
      <c r="A205" s="81" t="s">
        <v>3377</v>
      </c>
      <c r="B205" s="80" t="s">
        <v>3385</v>
      </c>
      <c r="C205" s="80">
        <v>4</v>
      </c>
      <c r="D205" s="105">
        <v>0.001598457788083001</v>
      </c>
      <c r="E205" s="105">
        <v>2.697616759807624</v>
      </c>
      <c r="F205" s="80" t="s">
        <v>3896</v>
      </c>
      <c r="G205" s="80" t="b">
        <v>0</v>
      </c>
      <c r="H205" s="80" t="b">
        <v>0</v>
      </c>
      <c r="I205" s="80" t="b">
        <v>0</v>
      </c>
      <c r="J205" s="80" t="b">
        <v>0</v>
      </c>
      <c r="K205" s="80" t="b">
        <v>0</v>
      </c>
      <c r="L205" s="80" t="b">
        <v>0</v>
      </c>
    </row>
    <row r="206" spans="1:12" ht="15">
      <c r="A206" s="81" t="s">
        <v>3260</v>
      </c>
      <c r="B206" s="80" t="s">
        <v>3487</v>
      </c>
      <c r="C206" s="80">
        <v>4</v>
      </c>
      <c r="D206" s="105">
        <v>0.001598457788083001</v>
      </c>
      <c r="E206" s="105">
        <v>1.4014392669380549</v>
      </c>
      <c r="F206" s="80" t="s">
        <v>3896</v>
      </c>
      <c r="G206" s="80" t="b">
        <v>0</v>
      </c>
      <c r="H206" s="80" t="b">
        <v>0</v>
      </c>
      <c r="I206" s="80" t="b">
        <v>0</v>
      </c>
      <c r="J206" s="80" t="b">
        <v>0</v>
      </c>
      <c r="K206" s="80" t="b">
        <v>0</v>
      </c>
      <c r="L206" s="80" t="b">
        <v>0</v>
      </c>
    </row>
    <row r="207" spans="1:12" ht="15">
      <c r="A207" s="81" t="s">
        <v>3487</v>
      </c>
      <c r="B207" s="80" t="s">
        <v>3488</v>
      </c>
      <c r="C207" s="80">
        <v>4</v>
      </c>
      <c r="D207" s="105">
        <v>0.001598457788083001</v>
      </c>
      <c r="E207" s="105">
        <v>3.0497992779189866</v>
      </c>
      <c r="F207" s="80" t="s">
        <v>3896</v>
      </c>
      <c r="G207" s="80" t="b">
        <v>0</v>
      </c>
      <c r="H207" s="80" t="b">
        <v>0</v>
      </c>
      <c r="I207" s="80" t="b">
        <v>0</v>
      </c>
      <c r="J207" s="80" t="b">
        <v>0</v>
      </c>
      <c r="K207" s="80" t="b">
        <v>0</v>
      </c>
      <c r="L207" s="80" t="b">
        <v>0</v>
      </c>
    </row>
    <row r="208" spans="1:12" ht="15">
      <c r="A208" s="81" t="s">
        <v>3488</v>
      </c>
      <c r="B208" s="80" t="s">
        <v>3489</v>
      </c>
      <c r="C208" s="80">
        <v>4</v>
      </c>
      <c r="D208" s="105">
        <v>0.001598457788083001</v>
      </c>
      <c r="E208" s="105">
        <v>3.0497992779189866</v>
      </c>
      <c r="F208" s="80" t="s">
        <v>3896</v>
      </c>
      <c r="G208" s="80" t="b">
        <v>0</v>
      </c>
      <c r="H208" s="80" t="b">
        <v>0</v>
      </c>
      <c r="I208" s="80" t="b">
        <v>0</v>
      </c>
      <c r="J208" s="80" t="b">
        <v>0</v>
      </c>
      <c r="K208" s="80" t="b">
        <v>1</v>
      </c>
      <c r="L208" s="80" t="b">
        <v>0</v>
      </c>
    </row>
    <row r="209" spans="1:12" ht="15">
      <c r="A209" s="81" t="s">
        <v>3489</v>
      </c>
      <c r="B209" s="80" t="s">
        <v>3490</v>
      </c>
      <c r="C209" s="80">
        <v>4</v>
      </c>
      <c r="D209" s="105">
        <v>0.001598457788083001</v>
      </c>
      <c r="E209" s="105">
        <v>3.0497992779189866</v>
      </c>
      <c r="F209" s="80" t="s">
        <v>3896</v>
      </c>
      <c r="G209" s="80" t="b">
        <v>0</v>
      </c>
      <c r="H209" s="80" t="b">
        <v>1</v>
      </c>
      <c r="I209" s="80" t="b">
        <v>0</v>
      </c>
      <c r="J209" s="80" t="b">
        <v>0</v>
      </c>
      <c r="K209" s="80" t="b">
        <v>0</v>
      </c>
      <c r="L209" s="80" t="b">
        <v>0</v>
      </c>
    </row>
    <row r="210" spans="1:12" ht="15">
      <c r="A210" s="81" t="s">
        <v>3490</v>
      </c>
      <c r="B210" s="80" t="s">
        <v>3364</v>
      </c>
      <c r="C210" s="80">
        <v>4</v>
      </c>
      <c r="D210" s="105">
        <v>0.001598457788083001</v>
      </c>
      <c r="E210" s="105">
        <v>2.7487692822550054</v>
      </c>
      <c r="F210" s="80" t="s">
        <v>3896</v>
      </c>
      <c r="G210" s="80" t="b">
        <v>0</v>
      </c>
      <c r="H210" s="80" t="b">
        <v>0</v>
      </c>
      <c r="I210" s="80" t="b">
        <v>0</v>
      </c>
      <c r="J210" s="80" t="b">
        <v>0</v>
      </c>
      <c r="K210" s="80" t="b">
        <v>0</v>
      </c>
      <c r="L210" s="80" t="b">
        <v>0</v>
      </c>
    </row>
    <row r="211" spans="1:12" ht="15">
      <c r="A211" s="81" t="s">
        <v>3364</v>
      </c>
      <c r="B211" s="80" t="s">
        <v>3491</v>
      </c>
      <c r="C211" s="80">
        <v>4</v>
      </c>
      <c r="D211" s="105">
        <v>0.001598457788083001</v>
      </c>
      <c r="E211" s="105">
        <v>2.7487692822550054</v>
      </c>
      <c r="F211" s="80" t="s">
        <v>3896</v>
      </c>
      <c r="G211" s="80" t="b">
        <v>0</v>
      </c>
      <c r="H211" s="80" t="b">
        <v>0</v>
      </c>
      <c r="I211" s="80" t="b">
        <v>0</v>
      </c>
      <c r="J211" s="80" t="b">
        <v>0</v>
      </c>
      <c r="K211" s="80" t="b">
        <v>0</v>
      </c>
      <c r="L211" s="80" t="b">
        <v>0</v>
      </c>
    </row>
    <row r="212" spans="1:12" ht="15">
      <c r="A212" s="81" t="s">
        <v>3491</v>
      </c>
      <c r="B212" s="80" t="s">
        <v>3492</v>
      </c>
      <c r="C212" s="80">
        <v>4</v>
      </c>
      <c r="D212" s="105">
        <v>0.001598457788083001</v>
      </c>
      <c r="E212" s="105">
        <v>3.0497992779189866</v>
      </c>
      <c r="F212" s="80" t="s">
        <v>3896</v>
      </c>
      <c r="G212" s="80" t="b">
        <v>0</v>
      </c>
      <c r="H212" s="80" t="b">
        <v>0</v>
      </c>
      <c r="I212" s="80" t="b">
        <v>0</v>
      </c>
      <c r="J212" s="80" t="b">
        <v>0</v>
      </c>
      <c r="K212" s="80" t="b">
        <v>0</v>
      </c>
      <c r="L212" s="80" t="b">
        <v>0</v>
      </c>
    </row>
    <row r="213" spans="1:12" ht="15">
      <c r="A213" s="81" t="s">
        <v>3492</v>
      </c>
      <c r="B213" s="80" t="s">
        <v>500</v>
      </c>
      <c r="C213" s="80">
        <v>4</v>
      </c>
      <c r="D213" s="105">
        <v>0.001598457788083001</v>
      </c>
      <c r="E213" s="105">
        <v>2.0286099788490484</v>
      </c>
      <c r="F213" s="80" t="s">
        <v>3896</v>
      </c>
      <c r="G213" s="80" t="b">
        <v>0</v>
      </c>
      <c r="H213" s="80" t="b">
        <v>0</v>
      </c>
      <c r="I213" s="80" t="b">
        <v>0</v>
      </c>
      <c r="J213" s="80" t="b">
        <v>0</v>
      </c>
      <c r="K213" s="80" t="b">
        <v>0</v>
      </c>
      <c r="L213" s="80" t="b">
        <v>0</v>
      </c>
    </row>
    <row r="214" spans="1:12" ht="15">
      <c r="A214" s="81" t="s">
        <v>500</v>
      </c>
      <c r="B214" s="80" t="s">
        <v>3493</v>
      </c>
      <c r="C214" s="80">
        <v>4</v>
      </c>
      <c r="D214" s="105">
        <v>0.001598457788083001</v>
      </c>
      <c r="E214" s="105">
        <v>2.0497992779189866</v>
      </c>
      <c r="F214" s="80" t="s">
        <v>3896</v>
      </c>
      <c r="G214" s="80" t="b">
        <v>0</v>
      </c>
      <c r="H214" s="80" t="b">
        <v>0</v>
      </c>
      <c r="I214" s="80" t="b">
        <v>0</v>
      </c>
      <c r="J214" s="80" t="b">
        <v>0</v>
      </c>
      <c r="K214" s="80" t="b">
        <v>0</v>
      </c>
      <c r="L214" s="80" t="b">
        <v>0</v>
      </c>
    </row>
    <row r="215" spans="1:12" ht="15">
      <c r="A215" s="81" t="s">
        <v>3493</v>
      </c>
      <c r="B215" s="80" t="s">
        <v>3494</v>
      </c>
      <c r="C215" s="80">
        <v>4</v>
      </c>
      <c r="D215" s="105">
        <v>0.001598457788083001</v>
      </c>
      <c r="E215" s="105">
        <v>3.0497992779189866</v>
      </c>
      <c r="F215" s="80" t="s">
        <v>3896</v>
      </c>
      <c r="G215" s="80" t="b">
        <v>0</v>
      </c>
      <c r="H215" s="80" t="b">
        <v>0</v>
      </c>
      <c r="I215" s="80" t="b">
        <v>0</v>
      </c>
      <c r="J215" s="80" t="b">
        <v>0</v>
      </c>
      <c r="K215" s="80" t="b">
        <v>0</v>
      </c>
      <c r="L215" s="80" t="b">
        <v>0</v>
      </c>
    </row>
    <row r="216" spans="1:12" ht="15">
      <c r="A216" s="81" t="s">
        <v>3408</v>
      </c>
      <c r="B216" s="80" t="s">
        <v>3260</v>
      </c>
      <c r="C216" s="80">
        <v>4</v>
      </c>
      <c r="D216" s="105">
        <v>0.001598457788083001</v>
      </c>
      <c r="E216" s="105">
        <v>1.0470933845430617</v>
      </c>
      <c r="F216" s="80" t="s">
        <v>3896</v>
      </c>
      <c r="G216" s="80" t="b">
        <v>0</v>
      </c>
      <c r="H216" s="80" t="b">
        <v>0</v>
      </c>
      <c r="I216" s="80" t="b">
        <v>0</v>
      </c>
      <c r="J216" s="80" t="b">
        <v>0</v>
      </c>
      <c r="K216" s="80" t="b">
        <v>0</v>
      </c>
      <c r="L216" s="80" t="b">
        <v>0</v>
      </c>
    </row>
    <row r="217" spans="1:12" ht="15">
      <c r="A217" s="81" t="s">
        <v>3497</v>
      </c>
      <c r="B217" s="80" t="s">
        <v>3312</v>
      </c>
      <c r="C217" s="80">
        <v>4</v>
      </c>
      <c r="D217" s="105">
        <v>0.001598457788083001</v>
      </c>
      <c r="E217" s="105">
        <v>2.537915916940112</v>
      </c>
      <c r="F217" s="80" t="s">
        <v>3896</v>
      </c>
      <c r="G217" s="80" t="b">
        <v>0</v>
      </c>
      <c r="H217" s="80" t="b">
        <v>0</v>
      </c>
      <c r="I217" s="80" t="b">
        <v>0</v>
      </c>
      <c r="J217" s="80" t="b">
        <v>0</v>
      </c>
      <c r="K217" s="80" t="b">
        <v>0</v>
      </c>
      <c r="L217" s="80" t="b">
        <v>0</v>
      </c>
    </row>
    <row r="218" spans="1:12" ht="15">
      <c r="A218" s="81" t="s">
        <v>3312</v>
      </c>
      <c r="B218" s="80" t="s">
        <v>3498</v>
      </c>
      <c r="C218" s="80">
        <v>4</v>
      </c>
      <c r="D218" s="105">
        <v>0.001598457788083001</v>
      </c>
      <c r="E218" s="105">
        <v>2.537915916940112</v>
      </c>
      <c r="F218" s="80" t="s">
        <v>3896</v>
      </c>
      <c r="G218" s="80" t="b">
        <v>0</v>
      </c>
      <c r="H218" s="80" t="b">
        <v>0</v>
      </c>
      <c r="I218" s="80" t="b">
        <v>0</v>
      </c>
      <c r="J218" s="80" t="b">
        <v>0</v>
      </c>
      <c r="K218" s="80" t="b">
        <v>0</v>
      </c>
      <c r="L218" s="80" t="b">
        <v>0</v>
      </c>
    </row>
    <row r="219" spans="1:12" ht="15">
      <c r="A219" s="81" t="s">
        <v>3498</v>
      </c>
      <c r="B219" s="80" t="s">
        <v>3499</v>
      </c>
      <c r="C219" s="80">
        <v>4</v>
      </c>
      <c r="D219" s="105">
        <v>0.001598457788083001</v>
      </c>
      <c r="E219" s="105">
        <v>3.0497992779189866</v>
      </c>
      <c r="F219" s="80" t="s">
        <v>3896</v>
      </c>
      <c r="G219" s="80" t="b">
        <v>0</v>
      </c>
      <c r="H219" s="80" t="b">
        <v>0</v>
      </c>
      <c r="I219" s="80" t="b">
        <v>0</v>
      </c>
      <c r="J219" s="80" t="b">
        <v>0</v>
      </c>
      <c r="K219" s="80" t="b">
        <v>0</v>
      </c>
      <c r="L219" s="80" t="b">
        <v>0</v>
      </c>
    </row>
    <row r="220" spans="1:12" ht="15">
      <c r="A220" s="81" t="s">
        <v>3499</v>
      </c>
      <c r="B220" s="80" t="s">
        <v>3500</v>
      </c>
      <c r="C220" s="80">
        <v>4</v>
      </c>
      <c r="D220" s="105">
        <v>0.001598457788083001</v>
      </c>
      <c r="E220" s="105">
        <v>3.0497992779189866</v>
      </c>
      <c r="F220" s="80" t="s">
        <v>3896</v>
      </c>
      <c r="G220" s="80" t="b">
        <v>0</v>
      </c>
      <c r="H220" s="80" t="b">
        <v>0</v>
      </c>
      <c r="I220" s="80" t="b">
        <v>0</v>
      </c>
      <c r="J220" s="80" t="b">
        <v>0</v>
      </c>
      <c r="K220" s="80" t="b">
        <v>0</v>
      </c>
      <c r="L220" s="80" t="b">
        <v>0</v>
      </c>
    </row>
    <row r="221" spans="1:12" ht="15">
      <c r="A221" s="81" t="s">
        <v>3500</v>
      </c>
      <c r="B221" s="80" t="s">
        <v>3501</v>
      </c>
      <c r="C221" s="80">
        <v>4</v>
      </c>
      <c r="D221" s="105">
        <v>0.001598457788083001</v>
      </c>
      <c r="E221" s="105">
        <v>3.0497992779189866</v>
      </c>
      <c r="F221" s="80" t="s">
        <v>3896</v>
      </c>
      <c r="G221" s="80" t="b">
        <v>0</v>
      </c>
      <c r="H221" s="80" t="b">
        <v>0</v>
      </c>
      <c r="I221" s="80" t="b">
        <v>0</v>
      </c>
      <c r="J221" s="80" t="b">
        <v>0</v>
      </c>
      <c r="K221" s="80" t="b">
        <v>0</v>
      </c>
      <c r="L221" s="80" t="b">
        <v>0</v>
      </c>
    </row>
    <row r="222" spans="1:12" ht="15">
      <c r="A222" s="81" t="s">
        <v>3501</v>
      </c>
      <c r="B222" s="80" t="s">
        <v>3502</v>
      </c>
      <c r="C222" s="80">
        <v>4</v>
      </c>
      <c r="D222" s="105">
        <v>0.001598457788083001</v>
      </c>
      <c r="E222" s="105">
        <v>3.0497992779189866</v>
      </c>
      <c r="F222" s="80" t="s">
        <v>3896</v>
      </c>
      <c r="G222" s="80" t="b">
        <v>0</v>
      </c>
      <c r="H222" s="80" t="b">
        <v>0</v>
      </c>
      <c r="I222" s="80" t="b">
        <v>0</v>
      </c>
      <c r="J222" s="80" t="b">
        <v>0</v>
      </c>
      <c r="K222" s="80" t="b">
        <v>0</v>
      </c>
      <c r="L222" s="80" t="b">
        <v>0</v>
      </c>
    </row>
    <row r="223" spans="1:12" ht="15">
      <c r="A223" s="81" t="s">
        <v>3502</v>
      </c>
      <c r="B223" s="80" t="s">
        <v>3375</v>
      </c>
      <c r="C223" s="80">
        <v>4</v>
      </c>
      <c r="D223" s="105">
        <v>0.001598457788083001</v>
      </c>
      <c r="E223" s="105">
        <v>2.8067612292326922</v>
      </c>
      <c r="F223" s="80" t="s">
        <v>3896</v>
      </c>
      <c r="G223" s="80" t="b">
        <v>0</v>
      </c>
      <c r="H223" s="80" t="b">
        <v>0</v>
      </c>
      <c r="I223" s="80" t="b">
        <v>0</v>
      </c>
      <c r="J223" s="80" t="b">
        <v>0</v>
      </c>
      <c r="K223" s="80" t="b">
        <v>0</v>
      </c>
      <c r="L223" s="80" t="b">
        <v>0</v>
      </c>
    </row>
    <row r="224" spans="1:12" ht="15">
      <c r="A224" s="81" t="s">
        <v>3375</v>
      </c>
      <c r="B224" s="80" t="s">
        <v>3400</v>
      </c>
      <c r="C224" s="80">
        <v>4</v>
      </c>
      <c r="D224" s="105">
        <v>0.001598457788083001</v>
      </c>
      <c r="E224" s="105">
        <v>2.776798005855249</v>
      </c>
      <c r="F224" s="80" t="s">
        <v>3896</v>
      </c>
      <c r="G224" s="80" t="b">
        <v>0</v>
      </c>
      <c r="H224" s="80" t="b">
        <v>0</v>
      </c>
      <c r="I224" s="80" t="b">
        <v>0</v>
      </c>
      <c r="J224" s="80" t="b">
        <v>0</v>
      </c>
      <c r="K224" s="80" t="b">
        <v>0</v>
      </c>
      <c r="L224" s="80" t="b">
        <v>0</v>
      </c>
    </row>
    <row r="225" spans="1:12" ht="15">
      <c r="A225" s="81" t="s">
        <v>3400</v>
      </c>
      <c r="B225" s="80" t="s">
        <v>3503</v>
      </c>
      <c r="C225" s="80">
        <v>4</v>
      </c>
      <c r="D225" s="105">
        <v>0.001598457788083001</v>
      </c>
      <c r="E225" s="105">
        <v>2.95288926491093</v>
      </c>
      <c r="F225" s="80" t="s">
        <v>3896</v>
      </c>
      <c r="G225" s="80" t="b">
        <v>0</v>
      </c>
      <c r="H225" s="80" t="b">
        <v>0</v>
      </c>
      <c r="I225" s="80" t="b">
        <v>0</v>
      </c>
      <c r="J225" s="80" t="b">
        <v>0</v>
      </c>
      <c r="K225" s="80" t="b">
        <v>0</v>
      </c>
      <c r="L225" s="80" t="b">
        <v>0</v>
      </c>
    </row>
    <row r="226" spans="1:12" ht="15">
      <c r="A226" s="81" t="s">
        <v>3503</v>
      </c>
      <c r="B226" s="80" t="s">
        <v>3504</v>
      </c>
      <c r="C226" s="80">
        <v>4</v>
      </c>
      <c r="D226" s="105">
        <v>0.001598457788083001</v>
      </c>
      <c r="E226" s="105">
        <v>3.0497992779189866</v>
      </c>
      <c r="F226" s="80" t="s">
        <v>3896</v>
      </c>
      <c r="G226" s="80" t="b">
        <v>0</v>
      </c>
      <c r="H226" s="80" t="b">
        <v>0</v>
      </c>
      <c r="I226" s="80" t="b">
        <v>0</v>
      </c>
      <c r="J226" s="80" t="b">
        <v>0</v>
      </c>
      <c r="K226" s="80" t="b">
        <v>0</v>
      </c>
      <c r="L226" s="80" t="b">
        <v>0</v>
      </c>
    </row>
    <row r="227" spans="1:12" ht="15">
      <c r="A227" s="81" t="s">
        <v>3504</v>
      </c>
      <c r="B227" s="80" t="s">
        <v>3505</v>
      </c>
      <c r="C227" s="80">
        <v>4</v>
      </c>
      <c r="D227" s="105">
        <v>0.001598457788083001</v>
      </c>
      <c r="E227" s="105">
        <v>3.0497992779189866</v>
      </c>
      <c r="F227" s="80" t="s">
        <v>3896</v>
      </c>
      <c r="G227" s="80" t="b">
        <v>0</v>
      </c>
      <c r="H227" s="80" t="b">
        <v>0</v>
      </c>
      <c r="I227" s="80" t="b">
        <v>0</v>
      </c>
      <c r="J227" s="80" t="b">
        <v>0</v>
      </c>
      <c r="K227" s="80" t="b">
        <v>0</v>
      </c>
      <c r="L227" s="80" t="b">
        <v>0</v>
      </c>
    </row>
    <row r="228" spans="1:12" ht="15">
      <c r="A228" s="81" t="s">
        <v>3505</v>
      </c>
      <c r="B228" s="80" t="s">
        <v>3506</v>
      </c>
      <c r="C228" s="80">
        <v>4</v>
      </c>
      <c r="D228" s="105">
        <v>0.001598457788083001</v>
      </c>
      <c r="E228" s="105">
        <v>3.0497992779189866</v>
      </c>
      <c r="F228" s="80" t="s">
        <v>3896</v>
      </c>
      <c r="G228" s="80" t="b">
        <v>0</v>
      </c>
      <c r="H228" s="80" t="b">
        <v>0</v>
      </c>
      <c r="I228" s="80" t="b">
        <v>0</v>
      </c>
      <c r="J228" s="80" t="b">
        <v>0</v>
      </c>
      <c r="K228" s="80" t="b">
        <v>0</v>
      </c>
      <c r="L228" s="80" t="b">
        <v>0</v>
      </c>
    </row>
    <row r="229" spans="1:12" ht="15">
      <c r="A229" s="81" t="s">
        <v>3506</v>
      </c>
      <c r="B229" s="80" t="s">
        <v>3507</v>
      </c>
      <c r="C229" s="80">
        <v>4</v>
      </c>
      <c r="D229" s="105">
        <v>0.001598457788083001</v>
      </c>
      <c r="E229" s="105">
        <v>3.0497992779189866</v>
      </c>
      <c r="F229" s="80" t="s">
        <v>3896</v>
      </c>
      <c r="G229" s="80" t="b">
        <v>0</v>
      </c>
      <c r="H229" s="80" t="b">
        <v>0</v>
      </c>
      <c r="I229" s="80" t="b">
        <v>0</v>
      </c>
      <c r="J229" s="80" t="b">
        <v>0</v>
      </c>
      <c r="K229" s="80" t="b">
        <v>0</v>
      </c>
      <c r="L229" s="80" t="b">
        <v>0</v>
      </c>
    </row>
    <row r="230" spans="1:12" ht="15">
      <c r="A230" s="81" t="s">
        <v>3507</v>
      </c>
      <c r="B230" s="80" t="s">
        <v>3508</v>
      </c>
      <c r="C230" s="80">
        <v>4</v>
      </c>
      <c r="D230" s="105">
        <v>0.001598457788083001</v>
      </c>
      <c r="E230" s="105">
        <v>3.0497992779189866</v>
      </c>
      <c r="F230" s="80" t="s">
        <v>3896</v>
      </c>
      <c r="G230" s="80" t="b">
        <v>0</v>
      </c>
      <c r="H230" s="80" t="b">
        <v>0</v>
      </c>
      <c r="I230" s="80" t="b">
        <v>0</v>
      </c>
      <c r="J230" s="80" t="b">
        <v>0</v>
      </c>
      <c r="K230" s="80" t="b">
        <v>0</v>
      </c>
      <c r="L230" s="80" t="b">
        <v>0</v>
      </c>
    </row>
    <row r="231" spans="1:12" ht="15">
      <c r="A231" s="81" t="s">
        <v>3508</v>
      </c>
      <c r="B231" s="80" t="s">
        <v>3509</v>
      </c>
      <c r="C231" s="80">
        <v>4</v>
      </c>
      <c r="D231" s="105">
        <v>0.001598457788083001</v>
      </c>
      <c r="E231" s="105">
        <v>3.0497992779189866</v>
      </c>
      <c r="F231" s="80" t="s">
        <v>3896</v>
      </c>
      <c r="G231" s="80" t="b">
        <v>0</v>
      </c>
      <c r="H231" s="80" t="b">
        <v>0</v>
      </c>
      <c r="I231" s="80" t="b">
        <v>0</v>
      </c>
      <c r="J231" s="80" t="b">
        <v>0</v>
      </c>
      <c r="K231" s="80" t="b">
        <v>0</v>
      </c>
      <c r="L231" s="80" t="b">
        <v>0</v>
      </c>
    </row>
    <row r="232" spans="1:12" ht="15">
      <c r="A232" s="81" t="s">
        <v>3509</v>
      </c>
      <c r="B232" s="80" t="s">
        <v>3510</v>
      </c>
      <c r="C232" s="80">
        <v>4</v>
      </c>
      <c r="D232" s="105">
        <v>0.001598457788083001</v>
      </c>
      <c r="E232" s="105">
        <v>3.0497992779189866</v>
      </c>
      <c r="F232" s="80" t="s">
        <v>3896</v>
      </c>
      <c r="G232" s="80" t="b">
        <v>0</v>
      </c>
      <c r="H232" s="80" t="b">
        <v>0</v>
      </c>
      <c r="I232" s="80" t="b">
        <v>0</v>
      </c>
      <c r="J232" s="80" t="b">
        <v>0</v>
      </c>
      <c r="K232" s="80" t="b">
        <v>0</v>
      </c>
      <c r="L232" s="80" t="b">
        <v>0</v>
      </c>
    </row>
    <row r="233" spans="1:12" ht="15">
      <c r="A233" s="81" t="s">
        <v>3510</v>
      </c>
      <c r="B233" s="80" t="s">
        <v>3511</v>
      </c>
      <c r="C233" s="80">
        <v>4</v>
      </c>
      <c r="D233" s="105">
        <v>0.001598457788083001</v>
      </c>
      <c r="E233" s="105">
        <v>3.0497992779189866</v>
      </c>
      <c r="F233" s="80" t="s">
        <v>3896</v>
      </c>
      <c r="G233" s="80" t="b">
        <v>0</v>
      </c>
      <c r="H233" s="80" t="b">
        <v>0</v>
      </c>
      <c r="I233" s="80" t="b">
        <v>0</v>
      </c>
      <c r="J233" s="80" t="b">
        <v>0</v>
      </c>
      <c r="K233" s="80" t="b">
        <v>0</v>
      </c>
      <c r="L233" s="80" t="b">
        <v>0</v>
      </c>
    </row>
    <row r="234" spans="1:12" ht="15">
      <c r="A234" s="81" t="s">
        <v>3511</v>
      </c>
      <c r="B234" s="80" t="s">
        <v>3512</v>
      </c>
      <c r="C234" s="80">
        <v>4</v>
      </c>
      <c r="D234" s="105">
        <v>0.001598457788083001</v>
      </c>
      <c r="E234" s="105">
        <v>3.0497992779189866</v>
      </c>
      <c r="F234" s="80" t="s">
        <v>3896</v>
      </c>
      <c r="G234" s="80" t="b">
        <v>0</v>
      </c>
      <c r="H234" s="80" t="b">
        <v>0</v>
      </c>
      <c r="I234" s="80" t="b">
        <v>0</v>
      </c>
      <c r="J234" s="80" t="b">
        <v>0</v>
      </c>
      <c r="K234" s="80" t="b">
        <v>0</v>
      </c>
      <c r="L234" s="80" t="b">
        <v>0</v>
      </c>
    </row>
    <row r="235" spans="1:12" ht="15">
      <c r="A235" s="81" t="s">
        <v>3512</v>
      </c>
      <c r="B235" s="80" t="s">
        <v>3260</v>
      </c>
      <c r="C235" s="80">
        <v>4</v>
      </c>
      <c r="D235" s="105">
        <v>0.001598457788083001</v>
      </c>
      <c r="E235" s="105">
        <v>1.1440033975511181</v>
      </c>
      <c r="F235" s="80" t="s">
        <v>3896</v>
      </c>
      <c r="G235" s="80" t="b">
        <v>0</v>
      </c>
      <c r="H235" s="80" t="b">
        <v>0</v>
      </c>
      <c r="I235" s="80" t="b">
        <v>0</v>
      </c>
      <c r="J235" s="80" t="b">
        <v>0</v>
      </c>
      <c r="K235" s="80" t="b">
        <v>0</v>
      </c>
      <c r="L235" s="80" t="b">
        <v>0</v>
      </c>
    </row>
    <row r="236" spans="1:12" ht="15">
      <c r="A236" s="81" t="s">
        <v>3410</v>
      </c>
      <c r="B236" s="80" t="s">
        <v>3409</v>
      </c>
      <c r="C236" s="80">
        <v>4</v>
      </c>
      <c r="D236" s="105">
        <v>0.001598457788083001</v>
      </c>
      <c r="E236" s="105">
        <v>2.8559792519028737</v>
      </c>
      <c r="F236" s="80" t="s">
        <v>3896</v>
      </c>
      <c r="G236" s="80" t="b">
        <v>0</v>
      </c>
      <c r="H236" s="80" t="b">
        <v>0</v>
      </c>
      <c r="I236" s="80" t="b">
        <v>0</v>
      </c>
      <c r="J236" s="80" t="b">
        <v>0</v>
      </c>
      <c r="K236" s="80" t="b">
        <v>0</v>
      </c>
      <c r="L236" s="80" t="b">
        <v>0</v>
      </c>
    </row>
    <row r="237" spans="1:12" ht="15">
      <c r="A237" s="81" t="s">
        <v>3409</v>
      </c>
      <c r="B237" s="80" t="s">
        <v>3513</v>
      </c>
      <c r="C237" s="80">
        <v>4</v>
      </c>
      <c r="D237" s="105">
        <v>0.001598457788083001</v>
      </c>
      <c r="E237" s="105">
        <v>2.95288926491093</v>
      </c>
      <c r="F237" s="80" t="s">
        <v>3896</v>
      </c>
      <c r="G237" s="80" t="b">
        <v>0</v>
      </c>
      <c r="H237" s="80" t="b">
        <v>0</v>
      </c>
      <c r="I237" s="80" t="b">
        <v>0</v>
      </c>
      <c r="J237" s="80" t="b">
        <v>0</v>
      </c>
      <c r="K237" s="80" t="b">
        <v>0</v>
      </c>
      <c r="L237" s="80" t="b">
        <v>0</v>
      </c>
    </row>
    <row r="238" spans="1:12" ht="15">
      <c r="A238" s="81" t="s">
        <v>3513</v>
      </c>
      <c r="B238" s="80" t="s">
        <v>3341</v>
      </c>
      <c r="C238" s="80">
        <v>4</v>
      </c>
      <c r="D238" s="105">
        <v>0.001598457788083001</v>
      </c>
      <c r="E238" s="105">
        <v>2.6518592692469487</v>
      </c>
      <c r="F238" s="80" t="s">
        <v>3896</v>
      </c>
      <c r="G238" s="80" t="b">
        <v>0</v>
      </c>
      <c r="H238" s="80" t="b">
        <v>0</v>
      </c>
      <c r="I238" s="80" t="b">
        <v>0</v>
      </c>
      <c r="J238" s="80" t="b">
        <v>0</v>
      </c>
      <c r="K238" s="80" t="b">
        <v>0</v>
      </c>
      <c r="L238" s="80" t="b">
        <v>0</v>
      </c>
    </row>
    <row r="239" spans="1:12" ht="15">
      <c r="A239" s="81" t="s">
        <v>3341</v>
      </c>
      <c r="B239" s="80" t="s">
        <v>3514</v>
      </c>
      <c r="C239" s="80">
        <v>4</v>
      </c>
      <c r="D239" s="105">
        <v>0.001598457788083001</v>
      </c>
      <c r="E239" s="105">
        <v>2.6518592692469487</v>
      </c>
      <c r="F239" s="80" t="s">
        <v>3896</v>
      </c>
      <c r="G239" s="80" t="b">
        <v>0</v>
      </c>
      <c r="H239" s="80" t="b">
        <v>0</v>
      </c>
      <c r="I239" s="80" t="b">
        <v>0</v>
      </c>
      <c r="J239" s="80" t="b">
        <v>0</v>
      </c>
      <c r="K239" s="80" t="b">
        <v>0</v>
      </c>
      <c r="L239" s="80" t="b">
        <v>0</v>
      </c>
    </row>
    <row r="240" spans="1:12" ht="15">
      <c r="A240" s="81" t="s">
        <v>3514</v>
      </c>
      <c r="B240" s="80" t="s">
        <v>3515</v>
      </c>
      <c r="C240" s="80">
        <v>4</v>
      </c>
      <c r="D240" s="105">
        <v>0.001598457788083001</v>
      </c>
      <c r="E240" s="105">
        <v>3.0497992779189866</v>
      </c>
      <c r="F240" s="80" t="s">
        <v>3896</v>
      </c>
      <c r="G240" s="80" t="b">
        <v>0</v>
      </c>
      <c r="H240" s="80" t="b">
        <v>0</v>
      </c>
      <c r="I240" s="80" t="b">
        <v>0</v>
      </c>
      <c r="J240" s="80" t="b">
        <v>0</v>
      </c>
      <c r="K240" s="80" t="b">
        <v>0</v>
      </c>
      <c r="L240" s="80" t="b">
        <v>0</v>
      </c>
    </row>
    <row r="241" spans="1:12" ht="15">
      <c r="A241" s="81" t="s">
        <v>3515</v>
      </c>
      <c r="B241" s="80" t="s">
        <v>3516</v>
      </c>
      <c r="C241" s="80">
        <v>4</v>
      </c>
      <c r="D241" s="105">
        <v>0.001598457788083001</v>
      </c>
      <c r="E241" s="105">
        <v>3.0497992779189866</v>
      </c>
      <c r="F241" s="80" t="s">
        <v>3896</v>
      </c>
      <c r="G241" s="80" t="b">
        <v>0</v>
      </c>
      <c r="H241" s="80" t="b">
        <v>0</v>
      </c>
      <c r="I241" s="80" t="b">
        <v>0</v>
      </c>
      <c r="J241" s="80" t="b">
        <v>0</v>
      </c>
      <c r="K241" s="80" t="b">
        <v>0</v>
      </c>
      <c r="L241" s="80" t="b">
        <v>0</v>
      </c>
    </row>
    <row r="242" spans="1:12" ht="15">
      <c r="A242" s="81" t="s">
        <v>3516</v>
      </c>
      <c r="B242" s="80" t="s">
        <v>3517</v>
      </c>
      <c r="C242" s="80">
        <v>4</v>
      </c>
      <c r="D242" s="105">
        <v>0.001598457788083001</v>
      </c>
      <c r="E242" s="105">
        <v>3.0497992779189866</v>
      </c>
      <c r="F242" s="80" t="s">
        <v>3896</v>
      </c>
      <c r="G242" s="80" t="b">
        <v>0</v>
      </c>
      <c r="H242" s="80" t="b">
        <v>0</v>
      </c>
      <c r="I242" s="80" t="b">
        <v>0</v>
      </c>
      <c r="J242" s="80" t="b">
        <v>0</v>
      </c>
      <c r="K242" s="80" t="b">
        <v>0</v>
      </c>
      <c r="L242" s="80" t="b">
        <v>0</v>
      </c>
    </row>
    <row r="243" spans="1:12" ht="15">
      <c r="A243" s="81" t="s">
        <v>3517</v>
      </c>
      <c r="B243" s="80" t="s">
        <v>3518</v>
      </c>
      <c r="C243" s="80">
        <v>4</v>
      </c>
      <c r="D243" s="105">
        <v>0.001598457788083001</v>
      </c>
      <c r="E243" s="105">
        <v>3.0497992779189866</v>
      </c>
      <c r="F243" s="80" t="s">
        <v>3896</v>
      </c>
      <c r="G243" s="80" t="b">
        <v>0</v>
      </c>
      <c r="H243" s="80" t="b">
        <v>0</v>
      </c>
      <c r="I243" s="80" t="b">
        <v>0</v>
      </c>
      <c r="J243" s="80" t="b">
        <v>0</v>
      </c>
      <c r="K243" s="80" t="b">
        <v>0</v>
      </c>
      <c r="L243" s="80" t="b">
        <v>0</v>
      </c>
    </row>
    <row r="244" spans="1:12" ht="15">
      <c r="A244" s="81" t="s">
        <v>3518</v>
      </c>
      <c r="B244" s="80" t="s">
        <v>3319</v>
      </c>
      <c r="C244" s="80">
        <v>4</v>
      </c>
      <c r="D244" s="105">
        <v>0.001598457788083001</v>
      </c>
      <c r="E244" s="105">
        <v>2.572678023199324</v>
      </c>
      <c r="F244" s="80" t="s">
        <v>3896</v>
      </c>
      <c r="G244" s="80" t="b">
        <v>0</v>
      </c>
      <c r="H244" s="80" t="b">
        <v>0</v>
      </c>
      <c r="I244" s="80" t="b">
        <v>0</v>
      </c>
      <c r="J244" s="80" t="b">
        <v>0</v>
      </c>
      <c r="K244" s="80" t="b">
        <v>0</v>
      </c>
      <c r="L244" s="80" t="b">
        <v>0</v>
      </c>
    </row>
    <row r="245" spans="1:12" ht="15">
      <c r="A245" s="81" t="s">
        <v>3319</v>
      </c>
      <c r="B245" s="80" t="s">
        <v>3519</v>
      </c>
      <c r="C245" s="80">
        <v>4</v>
      </c>
      <c r="D245" s="105">
        <v>0.001598457788083001</v>
      </c>
      <c r="E245" s="105">
        <v>2.572678023199324</v>
      </c>
      <c r="F245" s="80" t="s">
        <v>3896</v>
      </c>
      <c r="G245" s="80" t="b">
        <v>0</v>
      </c>
      <c r="H245" s="80" t="b">
        <v>0</v>
      </c>
      <c r="I245" s="80" t="b">
        <v>0</v>
      </c>
      <c r="J245" s="80" t="b">
        <v>0</v>
      </c>
      <c r="K245" s="80" t="b">
        <v>0</v>
      </c>
      <c r="L245" s="80" t="b">
        <v>0</v>
      </c>
    </row>
    <row r="246" spans="1:12" ht="15">
      <c r="A246" s="81" t="s">
        <v>3519</v>
      </c>
      <c r="B246" s="80" t="s">
        <v>3520</v>
      </c>
      <c r="C246" s="80">
        <v>4</v>
      </c>
      <c r="D246" s="105">
        <v>0.001598457788083001</v>
      </c>
      <c r="E246" s="105">
        <v>3.0497992779189866</v>
      </c>
      <c r="F246" s="80" t="s">
        <v>3896</v>
      </c>
      <c r="G246" s="80" t="b">
        <v>0</v>
      </c>
      <c r="H246" s="80" t="b">
        <v>0</v>
      </c>
      <c r="I246" s="80" t="b">
        <v>0</v>
      </c>
      <c r="J246" s="80" t="b">
        <v>0</v>
      </c>
      <c r="K246" s="80" t="b">
        <v>0</v>
      </c>
      <c r="L246" s="80" t="b">
        <v>0</v>
      </c>
    </row>
    <row r="247" spans="1:12" ht="15">
      <c r="A247" s="81" t="s">
        <v>3520</v>
      </c>
      <c r="B247" s="80" t="s">
        <v>3521</v>
      </c>
      <c r="C247" s="80">
        <v>4</v>
      </c>
      <c r="D247" s="105">
        <v>0.001598457788083001</v>
      </c>
      <c r="E247" s="105">
        <v>3.0497992779189866</v>
      </c>
      <c r="F247" s="80" t="s">
        <v>3896</v>
      </c>
      <c r="G247" s="80" t="b">
        <v>0</v>
      </c>
      <c r="H247" s="80" t="b">
        <v>0</v>
      </c>
      <c r="I247" s="80" t="b">
        <v>0</v>
      </c>
      <c r="J247" s="80" t="b">
        <v>0</v>
      </c>
      <c r="K247" s="80" t="b">
        <v>0</v>
      </c>
      <c r="L247" s="80" t="b">
        <v>0</v>
      </c>
    </row>
    <row r="248" spans="1:12" ht="15">
      <c r="A248" s="81" t="s">
        <v>3521</v>
      </c>
      <c r="B248" s="80" t="s">
        <v>3522</v>
      </c>
      <c r="C248" s="80">
        <v>4</v>
      </c>
      <c r="D248" s="105">
        <v>0.001598457788083001</v>
      </c>
      <c r="E248" s="105">
        <v>3.0497992779189866</v>
      </c>
      <c r="F248" s="80" t="s">
        <v>3896</v>
      </c>
      <c r="G248" s="80" t="b">
        <v>0</v>
      </c>
      <c r="H248" s="80" t="b">
        <v>0</v>
      </c>
      <c r="I248" s="80" t="b">
        <v>0</v>
      </c>
      <c r="J248" s="80" t="b">
        <v>0</v>
      </c>
      <c r="K248" s="80" t="b">
        <v>0</v>
      </c>
      <c r="L248" s="80" t="b">
        <v>0</v>
      </c>
    </row>
    <row r="249" spans="1:12" ht="15">
      <c r="A249" s="81" t="s">
        <v>3522</v>
      </c>
      <c r="B249" s="80" t="s">
        <v>3523</v>
      </c>
      <c r="C249" s="80">
        <v>4</v>
      </c>
      <c r="D249" s="105">
        <v>0.001598457788083001</v>
      </c>
      <c r="E249" s="105">
        <v>3.0497992779189866</v>
      </c>
      <c r="F249" s="80" t="s">
        <v>3896</v>
      </c>
      <c r="G249" s="80" t="b">
        <v>0</v>
      </c>
      <c r="H249" s="80" t="b">
        <v>0</v>
      </c>
      <c r="I249" s="80" t="b">
        <v>0</v>
      </c>
      <c r="J249" s="80" t="b">
        <v>0</v>
      </c>
      <c r="K249" s="80" t="b">
        <v>0</v>
      </c>
      <c r="L249" s="80" t="b">
        <v>0</v>
      </c>
    </row>
    <row r="250" spans="1:12" ht="15">
      <c r="A250" s="81" t="s">
        <v>3523</v>
      </c>
      <c r="B250" s="80" t="s">
        <v>3261</v>
      </c>
      <c r="C250" s="80">
        <v>4</v>
      </c>
      <c r="D250" s="105">
        <v>0.001598457788083001</v>
      </c>
      <c r="E250" s="105">
        <v>1.7542321779565075</v>
      </c>
      <c r="F250" s="80" t="s">
        <v>3896</v>
      </c>
      <c r="G250" s="80" t="b">
        <v>0</v>
      </c>
      <c r="H250" s="80" t="b">
        <v>0</v>
      </c>
      <c r="I250" s="80" t="b">
        <v>0</v>
      </c>
      <c r="J250" s="80" t="b">
        <v>0</v>
      </c>
      <c r="K250" s="80" t="b">
        <v>0</v>
      </c>
      <c r="L250" s="80" t="b">
        <v>0</v>
      </c>
    </row>
    <row r="251" spans="1:12" ht="15">
      <c r="A251" s="81" t="s">
        <v>3260</v>
      </c>
      <c r="B251" s="80" t="s">
        <v>3525</v>
      </c>
      <c r="C251" s="80">
        <v>4</v>
      </c>
      <c r="D251" s="105">
        <v>0.001598457788083001</v>
      </c>
      <c r="E251" s="105">
        <v>1.4014392669380549</v>
      </c>
      <c r="F251" s="80" t="s">
        <v>3896</v>
      </c>
      <c r="G251" s="80" t="b">
        <v>0</v>
      </c>
      <c r="H251" s="80" t="b">
        <v>0</v>
      </c>
      <c r="I251" s="80" t="b">
        <v>0</v>
      </c>
      <c r="J251" s="80" t="b">
        <v>0</v>
      </c>
      <c r="K251" s="80" t="b">
        <v>0</v>
      </c>
      <c r="L251" s="80" t="b">
        <v>0</v>
      </c>
    </row>
    <row r="252" spans="1:12" ht="15">
      <c r="A252" s="81" t="s">
        <v>3525</v>
      </c>
      <c r="B252" s="80" t="s">
        <v>3526</v>
      </c>
      <c r="C252" s="80">
        <v>4</v>
      </c>
      <c r="D252" s="105">
        <v>0.001598457788083001</v>
      </c>
      <c r="E252" s="105">
        <v>3.0497992779189866</v>
      </c>
      <c r="F252" s="80" t="s">
        <v>3896</v>
      </c>
      <c r="G252" s="80" t="b">
        <v>0</v>
      </c>
      <c r="H252" s="80" t="b">
        <v>0</v>
      </c>
      <c r="I252" s="80" t="b">
        <v>0</v>
      </c>
      <c r="J252" s="80" t="b">
        <v>0</v>
      </c>
      <c r="K252" s="80" t="b">
        <v>0</v>
      </c>
      <c r="L252" s="80" t="b">
        <v>0</v>
      </c>
    </row>
    <row r="253" spans="1:12" ht="15">
      <c r="A253" s="81" t="s">
        <v>3526</v>
      </c>
      <c r="B253" s="80" t="s">
        <v>3365</v>
      </c>
      <c r="C253" s="80">
        <v>4</v>
      </c>
      <c r="D253" s="105">
        <v>0.001598457788083001</v>
      </c>
      <c r="E253" s="105">
        <v>2.7487692822550054</v>
      </c>
      <c r="F253" s="80" t="s">
        <v>3896</v>
      </c>
      <c r="G253" s="80" t="b">
        <v>0</v>
      </c>
      <c r="H253" s="80" t="b">
        <v>0</v>
      </c>
      <c r="I253" s="80" t="b">
        <v>0</v>
      </c>
      <c r="J253" s="80" t="b">
        <v>0</v>
      </c>
      <c r="K253" s="80" t="b">
        <v>0</v>
      </c>
      <c r="L253" s="80" t="b">
        <v>0</v>
      </c>
    </row>
    <row r="254" spans="1:12" ht="15">
      <c r="A254" s="81" t="s">
        <v>3365</v>
      </c>
      <c r="B254" s="80" t="s">
        <v>3412</v>
      </c>
      <c r="C254" s="80">
        <v>4</v>
      </c>
      <c r="D254" s="105">
        <v>0.001598457788083001</v>
      </c>
      <c r="E254" s="105">
        <v>2.95288926491093</v>
      </c>
      <c r="F254" s="80" t="s">
        <v>3896</v>
      </c>
      <c r="G254" s="80" t="b">
        <v>0</v>
      </c>
      <c r="H254" s="80" t="b">
        <v>0</v>
      </c>
      <c r="I254" s="80" t="b">
        <v>0</v>
      </c>
      <c r="J254" s="80" t="b">
        <v>0</v>
      </c>
      <c r="K254" s="80" t="b">
        <v>0</v>
      </c>
      <c r="L254" s="80" t="b">
        <v>0</v>
      </c>
    </row>
    <row r="255" spans="1:12" ht="15">
      <c r="A255" s="81" t="s">
        <v>3412</v>
      </c>
      <c r="B255" s="80" t="s">
        <v>3313</v>
      </c>
      <c r="C255" s="80">
        <v>4</v>
      </c>
      <c r="D255" s="105">
        <v>0.001598457788083001</v>
      </c>
      <c r="E255" s="105">
        <v>2.4410059039320555</v>
      </c>
      <c r="F255" s="80" t="s">
        <v>3896</v>
      </c>
      <c r="G255" s="80" t="b">
        <v>0</v>
      </c>
      <c r="H255" s="80" t="b">
        <v>0</v>
      </c>
      <c r="I255" s="80" t="b">
        <v>0</v>
      </c>
      <c r="J255" s="80" t="b">
        <v>0</v>
      </c>
      <c r="K255" s="80" t="b">
        <v>0</v>
      </c>
      <c r="L255" s="80" t="b">
        <v>0</v>
      </c>
    </row>
    <row r="256" spans="1:12" ht="15">
      <c r="A256" s="81" t="s">
        <v>3313</v>
      </c>
      <c r="B256" s="80" t="s">
        <v>3527</v>
      </c>
      <c r="C256" s="80">
        <v>4</v>
      </c>
      <c r="D256" s="105">
        <v>0.001598457788083001</v>
      </c>
      <c r="E256" s="105">
        <v>2.537915916940112</v>
      </c>
      <c r="F256" s="80" t="s">
        <v>3896</v>
      </c>
      <c r="G256" s="80" t="b">
        <v>0</v>
      </c>
      <c r="H256" s="80" t="b">
        <v>0</v>
      </c>
      <c r="I256" s="80" t="b">
        <v>0</v>
      </c>
      <c r="J256" s="80" t="b">
        <v>0</v>
      </c>
      <c r="K256" s="80" t="b">
        <v>0</v>
      </c>
      <c r="L256" s="80" t="b">
        <v>0</v>
      </c>
    </row>
    <row r="257" spans="1:12" ht="15">
      <c r="A257" s="81" t="s">
        <v>3527</v>
      </c>
      <c r="B257" s="80" t="s">
        <v>3528</v>
      </c>
      <c r="C257" s="80">
        <v>4</v>
      </c>
      <c r="D257" s="105">
        <v>0.001598457788083001</v>
      </c>
      <c r="E257" s="105">
        <v>3.0497992779189866</v>
      </c>
      <c r="F257" s="80" t="s">
        <v>3896</v>
      </c>
      <c r="G257" s="80" t="b">
        <v>0</v>
      </c>
      <c r="H257" s="80" t="b">
        <v>0</v>
      </c>
      <c r="I257" s="80" t="b">
        <v>0</v>
      </c>
      <c r="J257" s="80" t="b">
        <v>0</v>
      </c>
      <c r="K257" s="80" t="b">
        <v>0</v>
      </c>
      <c r="L257" s="80" t="b">
        <v>0</v>
      </c>
    </row>
    <row r="258" spans="1:12" ht="15">
      <c r="A258" s="81" t="s">
        <v>3528</v>
      </c>
      <c r="B258" s="80" t="s">
        <v>3529</v>
      </c>
      <c r="C258" s="80">
        <v>4</v>
      </c>
      <c r="D258" s="105">
        <v>0.001598457788083001</v>
      </c>
      <c r="E258" s="105">
        <v>3.0497992779189866</v>
      </c>
      <c r="F258" s="80" t="s">
        <v>3896</v>
      </c>
      <c r="G258" s="80" t="b">
        <v>0</v>
      </c>
      <c r="H258" s="80" t="b">
        <v>0</v>
      </c>
      <c r="I258" s="80" t="b">
        <v>0</v>
      </c>
      <c r="J258" s="80" t="b">
        <v>0</v>
      </c>
      <c r="K258" s="80" t="b">
        <v>0</v>
      </c>
      <c r="L258" s="80" t="b">
        <v>0</v>
      </c>
    </row>
    <row r="259" spans="1:12" ht="15">
      <c r="A259" s="81" t="s">
        <v>3529</v>
      </c>
      <c r="B259" s="80" t="s">
        <v>3530</v>
      </c>
      <c r="C259" s="80">
        <v>4</v>
      </c>
      <c r="D259" s="105">
        <v>0.001598457788083001</v>
      </c>
      <c r="E259" s="105">
        <v>3.0497992779189866</v>
      </c>
      <c r="F259" s="80" t="s">
        <v>3896</v>
      </c>
      <c r="G259" s="80" t="b">
        <v>0</v>
      </c>
      <c r="H259" s="80" t="b">
        <v>0</v>
      </c>
      <c r="I259" s="80" t="b">
        <v>0</v>
      </c>
      <c r="J259" s="80" t="b">
        <v>0</v>
      </c>
      <c r="K259" s="80" t="b">
        <v>0</v>
      </c>
      <c r="L259" s="80" t="b">
        <v>0</v>
      </c>
    </row>
    <row r="260" spans="1:12" ht="15">
      <c r="A260" s="81" t="s">
        <v>3530</v>
      </c>
      <c r="B260" s="80" t="s">
        <v>3362</v>
      </c>
      <c r="C260" s="80">
        <v>4</v>
      </c>
      <c r="D260" s="105">
        <v>0.001598457788083001</v>
      </c>
      <c r="E260" s="105">
        <v>2.7487692822550054</v>
      </c>
      <c r="F260" s="80" t="s">
        <v>3896</v>
      </c>
      <c r="G260" s="80" t="b">
        <v>0</v>
      </c>
      <c r="H260" s="80" t="b">
        <v>0</v>
      </c>
      <c r="I260" s="80" t="b">
        <v>0</v>
      </c>
      <c r="J260" s="80" t="b">
        <v>0</v>
      </c>
      <c r="K260" s="80" t="b">
        <v>0</v>
      </c>
      <c r="L260" s="80" t="b">
        <v>0</v>
      </c>
    </row>
    <row r="261" spans="1:12" ht="15">
      <c r="A261" s="81" t="s">
        <v>3363</v>
      </c>
      <c r="B261" s="80" t="s">
        <v>3407</v>
      </c>
      <c r="C261" s="80">
        <v>4</v>
      </c>
      <c r="D261" s="105">
        <v>0.001598457788083001</v>
      </c>
      <c r="E261" s="105">
        <v>2.6518592692469487</v>
      </c>
      <c r="F261" s="80" t="s">
        <v>3896</v>
      </c>
      <c r="G261" s="80" t="b">
        <v>0</v>
      </c>
      <c r="H261" s="80" t="b">
        <v>0</v>
      </c>
      <c r="I261" s="80" t="b">
        <v>0</v>
      </c>
      <c r="J261" s="80" t="b">
        <v>0</v>
      </c>
      <c r="K261" s="80" t="b">
        <v>0</v>
      </c>
      <c r="L261" s="80" t="b">
        <v>0</v>
      </c>
    </row>
    <row r="262" spans="1:12" ht="15">
      <c r="A262" s="81" t="s">
        <v>3407</v>
      </c>
      <c r="B262" s="80" t="s">
        <v>3531</v>
      </c>
      <c r="C262" s="80">
        <v>4</v>
      </c>
      <c r="D262" s="105">
        <v>0.001598457788083001</v>
      </c>
      <c r="E262" s="105">
        <v>2.95288926491093</v>
      </c>
      <c r="F262" s="80" t="s">
        <v>3896</v>
      </c>
      <c r="G262" s="80" t="b">
        <v>0</v>
      </c>
      <c r="H262" s="80" t="b">
        <v>0</v>
      </c>
      <c r="I262" s="80" t="b">
        <v>0</v>
      </c>
      <c r="J262" s="80" t="b">
        <v>0</v>
      </c>
      <c r="K262" s="80" t="b">
        <v>0</v>
      </c>
      <c r="L262" s="80" t="b">
        <v>0</v>
      </c>
    </row>
    <row r="263" spans="1:12" ht="15">
      <c r="A263" s="81" t="s">
        <v>3531</v>
      </c>
      <c r="B263" s="80" t="s">
        <v>500</v>
      </c>
      <c r="C263" s="80">
        <v>4</v>
      </c>
      <c r="D263" s="105">
        <v>0.001598457788083001</v>
      </c>
      <c r="E263" s="105">
        <v>2.0286099788490484</v>
      </c>
      <c r="F263" s="80" t="s">
        <v>3896</v>
      </c>
      <c r="G263" s="80" t="b">
        <v>0</v>
      </c>
      <c r="H263" s="80" t="b">
        <v>0</v>
      </c>
      <c r="I263" s="80" t="b">
        <v>0</v>
      </c>
      <c r="J263" s="80" t="b">
        <v>0</v>
      </c>
      <c r="K263" s="80" t="b">
        <v>0</v>
      </c>
      <c r="L263" s="80" t="b">
        <v>0</v>
      </c>
    </row>
    <row r="264" spans="1:12" ht="15">
      <c r="A264" s="81" t="s">
        <v>500</v>
      </c>
      <c r="B264" s="80" t="s">
        <v>3304</v>
      </c>
      <c r="C264" s="80">
        <v>4</v>
      </c>
      <c r="D264" s="105">
        <v>0.001598457788083001</v>
      </c>
      <c r="E264" s="105">
        <v>1.5057312335687107</v>
      </c>
      <c r="F264" s="80" t="s">
        <v>3896</v>
      </c>
      <c r="G264" s="80" t="b">
        <v>0</v>
      </c>
      <c r="H264" s="80" t="b">
        <v>0</v>
      </c>
      <c r="I264" s="80" t="b">
        <v>0</v>
      </c>
      <c r="J264" s="80" t="b">
        <v>0</v>
      </c>
      <c r="K264" s="80" t="b">
        <v>0</v>
      </c>
      <c r="L264" s="80" t="b">
        <v>0</v>
      </c>
    </row>
    <row r="265" spans="1:12" ht="15">
      <c r="A265" s="81" t="s">
        <v>3304</v>
      </c>
      <c r="B265" s="80" t="s">
        <v>3313</v>
      </c>
      <c r="C265" s="80">
        <v>4</v>
      </c>
      <c r="D265" s="105">
        <v>0.001598457788083001</v>
      </c>
      <c r="E265" s="105">
        <v>1.9638846492123934</v>
      </c>
      <c r="F265" s="80" t="s">
        <v>3896</v>
      </c>
      <c r="G265" s="80" t="b">
        <v>0</v>
      </c>
      <c r="H265" s="80" t="b">
        <v>0</v>
      </c>
      <c r="I265" s="80" t="b">
        <v>0</v>
      </c>
      <c r="J265" s="80" t="b">
        <v>0</v>
      </c>
      <c r="K265" s="80" t="b">
        <v>0</v>
      </c>
      <c r="L265" s="80" t="b">
        <v>0</v>
      </c>
    </row>
    <row r="266" spans="1:12" ht="15">
      <c r="A266" s="81" t="s">
        <v>3313</v>
      </c>
      <c r="B266" s="80" t="s">
        <v>3411</v>
      </c>
      <c r="C266" s="80">
        <v>4</v>
      </c>
      <c r="D266" s="105">
        <v>0.001598457788083001</v>
      </c>
      <c r="E266" s="105">
        <v>2.4410059039320555</v>
      </c>
      <c r="F266" s="80" t="s">
        <v>3896</v>
      </c>
      <c r="G266" s="80" t="b">
        <v>0</v>
      </c>
      <c r="H266" s="80" t="b">
        <v>0</v>
      </c>
      <c r="I266" s="80" t="b">
        <v>0</v>
      </c>
      <c r="J266" s="80" t="b">
        <v>0</v>
      </c>
      <c r="K266" s="80" t="b">
        <v>0</v>
      </c>
      <c r="L266" s="80" t="b">
        <v>0</v>
      </c>
    </row>
    <row r="267" spans="1:12" ht="15">
      <c r="A267" s="81" t="s">
        <v>3411</v>
      </c>
      <c r="B267" s="80" t="s">
        <v>3386</v>
      </c>
      <c r="C267" s="80">
        <v>4</v>
      </c>
      <c r="D267" s="105">
        <v>0.001598457788083001</v>
      </c>
      <c r="E267" s="105">
        <v>2.776798005855249</v>
      </c>
      <c r="F267" s="80" t="s">
        <v>3896</v>
      </c>
      <c r="G267" s="80" t="b">
        <v>0</v>
      </c>
      <c r="H267" s="80" t="b">
        <v>0</v>
      </c>
      <c r="I267" s="80" t="b">
        <v>0</v>
      </c>
      <c r="J267" s="80" t="b">
        <v>0</v>
      </c>
      <c r="K267" s="80" t="b">
        <v>0</v>
      </c>
      <c r="L267" s="80" t="b">
        <v>0</v>
      </c>
    </row>
    <row r="268" spans="1:12" ht="15">
      <c r="A268" s="81" t="s">
        <v>3386</v>
      </c>
      <c r="B268" s="80" t="s">
        <v>3532</v>
      </c>
      <c r="C268" s="80">
        <v>4</v>
      </c>
      <c r="D268" s="105">
        <v>0.001598457788083001</v>
      </c>
      <c r="E268" s="105">
        <v>2.8737080188633053</v>
      </c>
      <c r="F268" s="80" t="s">
        <v>3896</v>
      </c>
      <c r="G268" s="80" t="b">
        <v>0</v>
      </c>
      <c r="H268" s="80" t="b">
        <v>0</v>
      </c>
      <c r="I268" s="80" t="b">
        <v>0</v>
      </c>
      <c r="J268" s="80" t="b">
        <v>0</v>
      </c>
      <c r="K268" s="80" t="b">
        <v>0</v>
      </c>
      <c r="L268" s="80" t="b">
        <v>0</v>
      </c>
    </row>
    <row r="269" spans="1:12" ht="15">
      <c r="A269" s="81" t="s">
        <v>3532</v>
      </c>
      <c r="B269" s="80" t="s">
        <v>3317</v>
      </c>
      <c r="C269" s="80">
        <v>4</v>
      </c>
      <c r="D269" s="105">
        <v>0.001598457788083001</v>
      </c>
      <c r="E269" s="105">
        <v>2.537915916940112</v>
      </c>
      <c r="F269" s="80" t="s">
        <v>3896</v>
      </c>
      <c r="G269" s="80" t="b">
        <v>0</v>
      </c>
      <c r="H269" s="80" t="b">
        <v>0</v>
      </c>
      <c r="I269" s="80" t="b">
        <v>0</v>
      </c>
      <c r="J269" s="80" t="b">
        <v>0</v>
      </c>
      <c r="K269" s="80" t="b">
        <v>0</v>
      </c>
      <c r="L269" s="80" t="b">
        <v>0</v>
      </c>
    </row>
    <row r="270" spans="1:12" ht="15">
      <c r="A270" s="81" t="s">
        <v>3317</v>
      </c>
      <c r="B270" s="80" t="s">
        <v>3304</v>
      </c>
      <c r="C270" s="80">
        <v>4</v>
      </c>
      <c r="D270" s="105">
        <v>0.001598457788083001</v>
      </c>
      <c r="E270" s="105">
        <v>1.9938478725898365</v>
      </c>
      <c r="F270" s="80" t="s">
        <v>3896</v>
      </c>
      <c r="G270" s="80" t="b">
        <v>0</v>
      </c>
      <c r="H270" s="80" t="b">
        <v>0</v>
      </c>
      <c r="I270" s="80" t="b">
        <v>0</v>
      </c>
      <c r="J270" s="80" t="b">
        <v>0</v>
      </c>
      <c r="K270" s="80" t="b">
        <v>0</v>
      </c>
      <c r="L270" s="80" t="b">
        <v>0</v>
      </c>
    </row>
    <row r="271" spans="1:12" ht="15">
      <c r="A271" s="81" t="s">
        <v>3304</v>
      </c>
      <c r="B271" s="80" t="s">
        <v>3533</v>
      </c>
      <c r="C271" s="80">
        <v>4</v>
      </c>
      <c r="D271" s="105">
        <v>0.001598457788083001</v>
      </c>
      <c r="E271" s="105">
        <v>2.475768010191268</v>
      </c>
      <c r="F271" s="80" t="s">
        <v>3896</v>
      </c>
      <c r="G271" s="80" t="b">
        <v>0</v>
      </c>
      <c r="H271" s="80" t="b">
        <v>0</v>
      </c>
      <c r="I271" s="80" t="b">
        <v>0</v>
      </c>
      <c r="J271" s="80" t="b">
        <v>0</v>
      </c>
      <c r="K271" s="80" t="b">
        <v>0</v>
      </c>
      <c r="L271" s="80" t="b">
        <v>0</v>
      </c>
    </row>
    <row r="272" spans="1:12" ht="15">
      <c r="A272" s="81" t="s">
        <v>3533</v>
      </c>
      <c r="B272" s="80" t="s">
        <v>3365</v>
      </c>
      <c r="C272" s="80">
        <v>4</v>
      </c>
      <c r="D272" s="105">
        <v>0.001598457788083001</v>
      </c>
      <c r="E272" s="105">
        <v>2.7487692822550054</v>
      </c>
      <c r="F272" s="80" t="s">
        <v>3896</v>
      </c>
      <c r="G272" s="80" t="b">
        <v>0</v>
      </c>
      <c r="H272" s="80" t="b">
        <v>0</v>
      </c>
      <c r="I272" s="80" t="b">
        <v>0</v>
      </c>
      <c r="J272" s="80" t="b">
        <v>0</v>
      </c>
      <c r="K272" s="80" t="b">
        <v>0</v>
      </c>
      <c r="L272" s="80" t="b">
        <v>0</v>
      </c>
    </row>
    <row r="273" spans="1:12" ht="15">
      <c r="A273" s="81" t="s">
        <v>3539</v>
      </c>
      <c r="B273" s="80" t="s">
        <v>3288</v>
      </c>
      <c r="C273" s="80">
        <v>3</v>
      </c>
      <c r="D273" s="105">
        <v>0.0012765254570881364</v>
      </c>
      <c r="E273" s="105">
        <v>2.421410347868675</v>
      </c>
      <c r="F273" s="80" t="s">
        <v>3896</v>
      </c>
      <c r="G273" s="80" t="b">
        <v>0</v>
      </c>
      <c r="H273" s="80" t="b">
        <v>0</v>
      </c>
      <c r="I273" s="80" t="b">
        <v>0</v>
      </c>
      <c r="J273" s="80" t="b">
        <v>0</v>
      </c>
      <c r="K273" s="80" t="b">
        <v>0</v>
      </c>
      <c r="L273" s="80" t="b">
        <v>0</v>
      </c>
    </row>
    <row r="274" spans="1:12" ht="15">
      <c r="A274" s="81" t="s">
        <v>3392</v>
      </c>
      <c r="B274" s="80" t="s">
        <v>3376</v>
      </c>
      <c r="C274" s="80">
        <v>3</v>
      </c>
      <c r="D274" s="105">
        <v>0.0012765254570881364</v>
      </c>
      <c r="E274" s="105">
        <v>2.6518592692469487</v>
      </c>
      <c r="F274" s="80" t="s">
        <v>3896</v>
      </c>
      <c r="G274" s="80" t="b">
        <v>0</v>
      </c>
      <c r="H274" s="80" t="b">
        <v>0</v>
      </c>
      <c r="I274" s="80" t="b">
        <v>0</v>
      </c>
      <c r="J274" s="80" t="b">
        <v>0</v>
      </c>
      <c r="K274" s="80" t="b">
        <v>0</v>
      </c>
      <c r="L274" s="80" t="b">
        <v>0</v>
      </c>
    </row>
    <row r="275" spans="1:12" ht="15">
      <c r="A275" s="81" t="s">
        <v>3288</v>
      </c>
      <c r="B275" s="80" t="s">
        <v>3435</v>
      </c>
      <c r="C275" s="80">
        <v>3</v>
      </c>
      <c r="D275" s="105">
        <v>0.0012765254570881364</v>
      </c>
      <c r="E275" s="105">
        <v>2.296471611260375</v>
      </c>
      <c r="F275" s="80" t="s">
        <v>3896</v>
      </c>
      <c r="G275" s="80" t="b">
        <v>0</v>
      </c>
      <c r="H275" s="80" t="b">
        <v>0</v>
      </c>
      <c r="I275" s="80" t="b">
        <v>0</v>
      </c>
      <c r="J275" s="80" t="b">
        <v>0</v>
      </c>
      <c r="K275" s="80" t="b">
        <v>0</v>
      </c>
      <c r="L275" s="80" t="b">
        <v>0</v>
      </c>
    </row>
    <row r="276" spans="1:12" ht="15">
      <c r="A276" s="81" t="s">
        <v>3541</v>
      </c>
      <c r="B276" s="80" t="s">
        <v>3436</v>
      </c>
      <c r="C276" s="80">
        <v>3</v>
      </c>
      <c r="D276" s="105">
        <v>0.0012765254570881364</v>
      </c>
      <c r="E276" s="105">
        <v>3.0497992779189866</v>
      </c>
      <c r="F276" s="80" t="s">
        <v>3896</v>
      </c>
      <c r="G276" s="80" t="b">
        <v>0</v>
      </c>
      <c r="H276" s="80" t="b">
        <v>0</v>
      </c>
      <c r="I276" s="80" t="b">
        <v>0</v>
      </c>
      <c r="J276" s="80" t="b">
        <v>0</v>
      </c>
      <c r="K276" s="80" t="b">
        <v>0</v>
      </c>
      <c r="L276" s="80" t="b">
        <v>0</v>
      </c>
    </row>
    <row r="277" spans="1:12" ht="15">
      <c r="A277" s="81" t="s">
        <v>3542</v>
      </c>
      <c r="B277" s="80" t="s">
        <v>3543</v>
      </c>
      <c r="C277" s="80">
        <v>3</v>
      </c>
      <c r="D277" s="105">
        <v>0.0012765254570881364</v>
      </c>
      <c r="E277" s="105">
        <v>3.1747380145272865</v>
      </c>
      <c r="F277" s="80" t="s">
        <v>3896</v>
      </c>
      <c r="G277" s="80" t="b">
        <v>0</v>
      </c>
      <c r="H277" s="80" t="b">
        <v>1</v>
      </c>
      <c r="I277" s="80" t="b">
        <v>0</v>
      </c>
      <c r="J277" s="80" t="b">
        <v>0</v>
      </c>
      <c r="K277" s="80" t="b">
        <v>1</v>
      </c>
      <c r="L277" s="80" t="b">
        <v>0</v>
      </c>
    </row>
    <row r="278" spans="1:12" ht="15">
      <c r="A278" s="81" t="s">
        <v>3545</v>
      </c>
      <c r="B278" s="80" t="s">
        <v>2768</v>
      </c>
      <c r="C278" s="80">
        <v>3</v>
      </c>
      <c r="D278" s="105">
        <v>0.0012765254570881364</v>
      </c>
      <c r="E278" s="105">
        <v>2.8067612292326922</v>
      </c>
      <c r="F278" s="80" t="s">
        <v>3896</v>
      </c>
      <c r="G278" s="80" t="b">
        <v>0</v>
      </c>
      <c r="H278" s="80" t="b">
        <v>0</v>
      </c>
      <c r="I278" s="80" t="b">
        <v>0</v>
      </c>
      <c r="J278" s="80" t="b">
        <v>0</v>
      </c>
      <c r="K278" s="80" t="b">
        <v>0</v>
      </c>
      <c r="L278" s="80" t="b">
        <v>0</v>
      </c>
    </row>
    <row r="279" spans="1:12" ht="15">
      <c r="A279" s="81" t="s">
        <v>542</v>
      </c>
      <c r="B279" s="80" t="s">
        <v>3549</v>
      </c>
      <c r="C279" s="80">
        <v>3</v>
      </c>
      <c r="D279" s="105">
        <v>0.0012765254570881364</v>
      </c>
      <c r="E279" s="105">
        <v>2.421410347868675</v>
      </c>
      <c r="F279" s="80" t="s">
        <v>3896</v>
      </c>
      <c r="G279" s="80" t="b">
        <v>0</v>
      </c>
      <c r="H279" s="80" t="b">
        <v>0</v>
      </c>
      <c r="I279" s="80" t="b">
        <v>0</v>
      </c>
      <c r="J279" s="80" t="b">
        <v>0</v>
      </c>
      <c r="K279" s="80" t="b">
        <v>0</v>
      </c>
      <c r="L279" s="80" t="b">
        <v>0</v>
      </c>
    </row>
    <row r="280" spans="1:12" ht="15">
      <c r="A280" s="81" t="s">
        <v>3549</v>
      </c>
      <c r="B280" s="80" t="s">
        <v>3367</v>
      </c>
      <c r="C280" s="80">
        <v>3</v>
      </c>
      <c r="D280" s="105">
        <v>0.0012765254570881364</v>
      </c>
      <c r="E280" s="105">
        <v>2.8067612292326922</v>
      </c>
      <c r="F280" s="80" t="s">
        <v>3896</v>
      </c>
      <c r="G280" s="80" t="b">
        <v>0</v>
      </c>
      <c r="H280" s="80" t="b">
        <v>0</v>
      </c>
      <c r="I280" s="80" t="b">
        <v>0</v>
      </c>
      <c r="J280" s="80" t="b">
        <v>0</v>
      </c>
      <c r="K280" s="80" t="b">
        <v>0</v>
      </c>
      <c r="L280" s="80" t="b">
        <v>0</v>
      </c>
    </row>
    <row r="281" spans="1:12" ht="15">
      <c r="A281" s="81" t="s">
        <v>3369</v>
      </c>
      <c r="B281" s="80" t="s">
        <v>3550</v>
      </c>
      <c r="C281" s="80">
        <v>3</v>
      </c>
      <c r="D281" s="105">
        <v>0.0012765254570881364</v>
      </c>
      <c r="E281" s="105">
        <v>2.8067612292326922</v>
      </c>
      <c r="F281" s="80" t="s">
        <v>3896</v>
      </c>
      <c r="G281" s="80" t="b">
        <v>0</v>
      </c>
      <c r="H281" s="80" t="b">
        <v>0</v>
      </c>
      <c r="I281" s="80" t="b">
        <v>0</v>
      </c>
      <c r="J281" s="80" t="b">
        <v>0</v>
      </c>
      <c r="K281" s="80" t="b">
        <v>0</v>
      </c>
      <c r="L281" s="80" t="b">
        <v>0</v>
      </c>
    </row>
    <row r="282" spans="1:12" ht="15">
      <c r="A282" s="81" t="s">
        <v>3550</v>
      </c>
      <c r="B282" s="80" t="s">
        <v>3551</v>
      </c>
      <c r="C282" s="80">
        <v>3</v>
      </c>
      <c r="D282" s="105">
        <v>0.0012765254570881364</v>
      </c>
      <c r="E282" s="105">
        <v>3.1747380145272865</v>
      </c>
      <c r="F282" s="80" t="s">
        <v>3896</v>
      </c>
      <c r="G282" s="80" t="b">
        <v>0</v>
      </c>
      <c r="H282" s="80" t="b">
        <v>0</v>
      </c>
      <c r="I282" s="80" t="b">
        <v>0</v>
      </c>
      <c r="J282" s="80" t="b">
        <v>0</v>
      </c>
      <c r="K282" s="80" t="b">
        <v>0</v>
      </c>
      <c r="L282" s="80" t="b">
        <v>0</v>
      </c>
    </row>
    <row r="283" spans="1:12" ht="15">
      <c r="A283" s="81" t="s">
        <v>3339</v>
      </c>
      <c r="B283" s="80" t="s">
        <v>3318</v>
      </c>
      <c r="C283" s="80">
        <v>3</v>
      </c>
      <c r="D283" s="105">
        <v>0.0012765254570881364</v>
      </c>
      <c r="E283" s="105">
        <v>2.0497992779189866</v>
      </c>
      <c r="F283" s="80" t="s">
        <v>3896</v>
      </c>
      <c r="G283" s="80" t="b">
        <v>0</v>
      </c>
      <c r="H283" s="80" t="b">
        <v>0</v>
      </c>
      <c r="I283" s="80" t="b">
        <v>0</v>
      </c>
      <c r="J283" s="80" t="b">
        <v>0</v>
      </c>
      <c r="K283" s="80" t="b">
        <v>0</v>
      </c>
      <c r="L283" s="80" t="b">
        <v>0</v>
      </c>
    </row>
    <row r="284" spans="1:12" ht="15">
      <c r="A284" s="81" t="s">
        <v>3314</v>
      </c>
      <c r="B284" s="80" t="s">
        <v>3260</v>
      </c>
      <c r="C284" s="80">
        <v>3</v>
      </c>
      <c r="D284" s="105">
        <v>0.0012765254570881364</v>
      </c>
      <c r="E284" s="105">
        <v>0.6211246522707805</v>
      </c>
      <c r="F284" s="80" t="s">
        <v>3896</v>
      </c>
      <c r="G284" s="80" t="b">
        <v>0</v>
      </c>
      <c r="H284" s="80" t="b">
        <v>0</v>
      </c>
      <c r="I284" s="80" t="b">
        <v>0</v>
      </c>
      <c r="J284" s="80" t="b">
        <v>0</v>
      </c>
      <c r="K284" s="80" t="b">
        <v>0</v>
      </c>
      <c r="L284" s="80" t="b">
        <v>0</v>
      </c>
    </row>
    <row r="285" spans="1:12" ht="15">
      <c r="A285" s="81" t="s">
        <v>3339</v>
      </c>
      <c r="B285" s="80" t="s">
        <v>3314</v>
      </c>
      <c r="C285" s="80">
        <v>3</v>
      </c>
      <c r="D285" s="105">
        <v>0.0012765254570881364</v>
      </c>
      <c r="E285" s="105">
        <v>2.0150371716597744</v>
      </c>
      <c r="F285" s="80" t="s">
        <v>3896</v>
      </c>
      <c r="G285" s="80" t="b">
        <v>0</v>
      </c>
      <c r="H285" s="80" t="b">
        <v>0</v>
      </c>
      <c r="I285" s="80" t="b">
        <v>0</v>
      </c>
      <c r="J285" s="80" t="b">
        <v>0</v>
      </c>
      <c r="K285" s="80" t="b">
        <v>0</v>
      </c>
      <c r="L285" s="80" t="b">
        <v>0</v>
      </c>
    </row>
    <row r="286" spans="1:12" ht="15">
      <c r="A286" s="81" t="s">
        <v>500</v>
      </c>
      <c r="B286" s="80" t="s">
        <v>3372</v>
      </c>
      <c r="C286" s="80">
        <v>3</v>
      </c>
      <c r="D286" s="105">
        <v>0.0012765254570881364</v>
      </c>
      <c r="E286" s="105">
        <v>1.681822492624392</v>
      </c>
      <c r="F286" s="80" t="s">
        <v>3896</v>
      </c>
      <c r="G286" s="80" t="b">
        <v>0</v>
      </c>
      <c r="H286" s="80" t="b">
        <v>0</v>
      </c>
      <c r="I286" s="80" t="b">
        <v>0</v>
      </c>
      <c r="J286" s="80" t="b">
        <v>1</v>
      </c>
      <c r="K286" s="80" t="b">
        <v>0</v>
      </c>
      <c r="L286" s="80" t="b">
        <v>0</v>
      </c>
    </row>
    <row r="287" spans="1:12" ht="15">
      <c r="A287" s="81" t="s">
        <v>3372</v>
      </c>
      <c r="B287" s="80" t="s">
        <v>3454</v>
      </c>
      <c r="C287" s="80">
        <v>3</v>
      </c>
      <c r="D287" s="105">
        <v>0.0012765254570881364</v>
      </c>
      <c r="E287" s="105">
        <v>2.6818224926243923</v>
      </c>
      <c r="F287" s="80" t="s">
        <v>3896</v>
      </c>
      <c r="G287" s="80" t="b">
        <v>1</v>
      </c>
      <c r="H287" s="80" t="b">
        <v>0</v>
      </c>
      <c r="I287" s="80" t="b">
        <v>0</v>
      </c>
      <c r="J287" s="80" t="b">
        <v>0</v>
      </c>
      <c r="K287" s="80" t="b">
        <v>0</v>
      </c>
      <c r="L287" s="80" t="b">
        <v>0</v>
      </c>
    </row>
    <row r="288" spans="1:12" ht="15">
      <c r="A288" s="81" t="s">
        <v>3454</v>
      </c>
      <c r="B288" s="80" t="s">
        <v>3553</v>
      </c>
      <c r="C288" s="80">
        <v>3</v>
      </c>
      <c r="D288" s="105">
        <v>0.0012765254570881364</v>
      </c>
      <c r="E288" s="105">
        <v>3.0497992779189866</v>
      </c>
      <c r="F288" s="80" t="s">
        <v>3896</v>
      </c>
      <c r="G288" s="80" t="b">
        <v>0</v>
      </c>
      <c r="H288" s="80" t="b">
        <v>0</v>
      </c>
      <c r="I288" s="80" t="b">
        <v>0</v>
      </c>
      <c r="J288" s="80" t="b">
        <v>0</v>
      </c>
      <c r="K288" s="80" t="b">
        <v>0</v>
      </c>
      <c r="L288" s="80" t="b">
        <v>0</v>
      </c>
    </row>
    <row r="289" spans="1:12" ht="15">
      <c r="A289" s="81" t="s">
        <v>3553</v>
      </c>
      <c r="B289" s="80" t="s">
        <v>3319</v>
      </c>
      <c r="C289" s="80">
        <v>3</v>
      </c>
      <c r="D289" s="105">
        <v>0.0012765254570881364</v>
      </c>
      <c r="E289" s="105">
        <v>2.572678023199324</v>
      </c>
      <c r="F289" s="80" t="s">
        <v>3896</v>
      </c>
      <c r="G289" s="80" t="b">
        <v>0</v>
      </c>
      <c r="H289" s="80" t="b">
        <v>0</v>
      </c>
      <c r="I289" s="80" t="b">
        <v>0</v>
      </c>
      <c r="J289" s="80" t="b">
        <v>0</v>
      </c>
      <c r="K289" s="80" t="b">
        <v>0</v>
      </c>
      <c r="L289" s="80" t="b">
        <v>0</v>
      </c>
    </row>
    <row r="290" spans="1:12" ht="15">
      <c r="A290" s="81" t="s">
        <v>542</v>
      </c>
      <c r="B290" s="80" t="s">
        <v>3554</v>
      </c>
      <c r="C290" s="80">
        <v>3</v>
      </c>
      <c r="D290" s="105">
        <v>0.0012765254570881364</v>
      </c>
      <c r="E290" s="105">
        <v>2.421410347868675</v>
      </c>
      <c r="F290" s="80" t="s">
        <v>3896</v>
      </c>
      <c r="G290" s="80" t="b">
        <v>0</v>
      </c>
      <c r="H290" s="80" t="b">
        <v>0</v>
      </c>
      <c r="I290" s="80" t="b">
        <v>0</v>
      </c>
      <c r="J290" s="80" t="b">
        <v>0</v>
      </c>
      <c r="K290" s="80" t="b">
        <v>0</v>
      </c>
      <c r="L290" s="80" t="b">
        <v>0</v>
      </c>
    </row>
    <row r="291" spans="1:12" ht="15">
      <c r="A291" s="81" t="s">
        <v>3554</v>
      </c>
      <c r="B291" s="80" t="s">
        <v>3555</v>
      </c>
      <c r="C291" s="80">
        <v>3</v>
      </c>
      <c r="D291" s="105">
        <v>0.0012765254570881364</v>
      </c>
      <c r="E291" s="105">
        <v>3.1747380145272865</v>
      </c>
      <c r="F291" s="80" t="s">
        <v>3896</v>
      </c>
      <c r="G291" s="80" t="b">
        <v>0</v>
      </c>
      <c r="H291" s="80" t="b">
        <v>0</v>
      </c>
      <c r="I291" s="80" t="b">
        <v>0</v>
      </c>
      <c r="J291" s="80" t="b">
        <v>0</v>
      </c>
      <c r="K291" s="80" t="b">
        <v>0</v>
      </c>
      <c r="L291" s="80" t="b">
        <v>0</v>
      </c>
    </row>
    <row r="292" spans="1:12" ht="15">
      <c r="A292" s="81" t="s">
        <v>3555</v>
      </c>
      <c r="B292" s="80" t="s">
        <v>3372</v>
      </c>
      <c r="C292" s="80">
        <v>3</v>
      </c>
      <c r="D292" s="105">
        <v>0.0012765254570881364</v>
      </c>
      <c r="E292" s="105">
        <v>2.8067612292326922</v>
      </c>
      <c r="F292" s="80" t="s">
        <v>3896</v>
      </c>
      <c r="G292" s="80" t="b">
        <v>0</v>
      </c>
      <c r="H292" s="80" t="b">
        <v>0</v>
      </c>
      <c r="I292" s="80" t="b">
        <v>0</v>
      </c>
      <c r="J292" s="80" t="b">
        <v>1</v>
      </c>
      <c r="K292" s="80" t="b">
        <v>0</v>
      </c>
      <c r="L292" s="80" t="b">
        <v>0</v>
      </c>
    </row>
    <row r="293" spans="1:12" ht="15">
      <c r="A293" s="81" t="s">
        <v>3557</v>
      </c>
      <c r="B293" s="80" t="s">
        <v>3373</v>
      </c>
      <c r="C293" s="80">
        <v>3</v>
      </c>
      <c r="D293" s="105">
        <v>0.0012765254570881364</v>
      </c>
      <c r="E293" s="105">
        <v>2.8067612292326922</v>
      </c>
      <c r="F293" s="80" t="s">
        <v>3896</v>
      </c>
      <c r="G293" s="80" t="b">
        <v>0</v>
      </c>
      <c r="H293" s="80" t="b">
        <v>0</v>
      </c>
      <c r="I293" s="80" t="b">
        <v>0</v>
      </c>
      <c r="J293" s="80" t="b">
        <v>0</v>
      </c>
      <c r="K293" s="80" t="b">
        <v>0</v>
      </c>
      <c r="L293" s="80" t="b">
        <v>0</v>
      </c>
    </row>
    <row r="294" spans="1:12" ht="15">
      <c r="A294" s="81" t="s">
        <v>3373</v>
      </c>
      <c r="B294" s="80" t="s">
        <v>3558</v>
      </c>
      <c r="C294" s="80">
        <v>3</v>
      </c>
      <c r="D294" s="105">
        <v>0.0012765254570881364</v>
      </c>
      <c r="E294" s="105">
        <v>2.8067612292326922</v>
      </c>
      <c r="F294" s="80" t="s">
        <v>3896</v>
      </c>
      <c r="G294" s="80" t="b">
        <v>0</v>
      </c>
      <c r="H294" s="80" t="b">
        <v>0</v>
      </c>
      <c r="I294" s="80" t="b">
        <v>0</v>
      </c>
      <c r="J294" s="80" t="b">
        <v>0</v>
      </c>
      <c r="K294" s="80" t="b">
        <v>0</v>
      </c>
      <c r="L294" s="80" t="b">
        <v>0</v>
      </c>
    </row>
    <row r="295" spans="1:12" ht="15">
      <c r="A295" s="81" t="s">
        <v>3558</v>
      </c>
      <c r="B295" s="80" t="s">
        <v>3307</v>
      </c>
      <c r="C295" s="80">
        <v>3</v>
      </c>
      <c r="D295" s="105">
        <v>0.0012765254570881364</v>
      </c>
      <c r="E295" s="105">
        <v>2.505731233568711</v>
      </c>
      <c r="F295" s="80" t="s">
        <v>3896</v>
      </c>
      <c r="G295" s="80" t="b">
        <v>0</v>
      </c>
      <c r="H295" s="80" t="b">
        <v>0</v>
      </c>
      <c r="I295" s="80" t="b">
        <v>0</v>
      </c>
      <c r="J295" s="80" t="b">
        <v>0</v>
      </c>
      <c r="K295" s="80" t="b">
        <v>0</v>
      </c>
      <c r="L295" s="80" t="b">
        <v>0</v>
      </c>
    </row>
    <row r="296" spans="1:12" ht="15">
      <c r="A296" s="81" t="s">
        <v>3307</v>
      </c>
      <c r="B296" s="80" t="s">
        <v>3315</v>
      </c>
      <c r="C296" s="80">
        <v>3</v>
      </c>
      <c r="D296" s="105">
        <v>0.0012765254570881364</v>
      </c>
      <c r="E296" s="105">
        <v>2.2047012379047297</v>
      </c>
      <c r="F296" s="80" t="s">
        <v>3896</v>
      </c>
      <c r="G296" s="80" t="b">
        <v>0</v>
      </c>
      <c r="H296" s="80" t="b">
        <v>0</v>
      </c>
      <c r="I296" s="80" t="b">
        <v>0</v>
      </c>
      <c r="J296" s="80" t="b">
        <v>0</v>
      </c>
      <c r="K296" s="80" t="b">
        <v>0</v>
      </c>
      <c r="L296" s="80" t="b">
        <v>0</v>
      </c>
    </row>
    <row r="297" spans="1:12" ht="15">
      <c r="A297" s="81" t="s">
        <v>3315</v>
      </c>
      <c r="B297" s="80" t="s">
        <v>3348</v>
      </c>
      <c r="C297" s="80">
        <v>3</v>
      </c>
      <c r="D297" s="105">
        <v>0.0012765254570881364</v>
      </c>
      <c r="E297" s="105">
        <v>2.0607946622204496</v>
      </c>
      <c r="F297" s="80" t="s">
        <v>3896</v>
      </c>
      <c r="G297" s="80" t="b">
        <v>0</v>
      </c>
      <c r="H297" s="80" t="b">
        <v>0</v>
      </c>
      <c r="I297" s="80" t="b">
        <v>0</v>
      </c>
      <c r="J297" s="80" t="b">
        <v>0</v>
      </c>
      <c r="K297" s="80" t="b">
        <v>0</v>
      </c>
      <c r="L297" s="80" t="b">
        <v>0</v>
      </c>
    </row>
    <row r="298" spans="1:12" ht="15">
      <c r="A298" s="81" t="s">
        <v>3348</v>
      </c>
      <c r="B298" s="80" t="s">
        <v>3559</v>
      </c>
      <c r="C298" s="80">
        <v>3</v>
      </c>
      <c r="D298" s="105">
        <v>0.0012765254570881364</v>
      </c>
      <c r="E298" s="105">
        <v>2.697616759807624</v>
      </c>
      <c r="F298" s="80" t="s">
        <v>3896</v>
      </c>
      <c r="G298" s="80" t="b">
        <v>0</v>
      </c>
      <c r="H298" s="80" t="b">
        <v>0</v>
      </c>
      <c r="I298" s="80" t="b">
        <v>0</v>
      </c>
      <c r="J298" s="80" t="b">
        <v>0</v>
      </c>
      <c r="K298" s="80" t="b">
        <v>0</v>
      </c>
      <c r="L298" s="80" t="b">
        <v>0</v>
      </c>
    </row>
    <row r="299" spans="1:12" ht="15">
      <c r="A299" s="81" t="s">
        <v>3559</v>
      </c>
      <c r="B299" s="80" t="s">
        <v>3560</v>
      </c>
      <c r="C299" s="80">
        <v>3</v>
      </c>
      <c r="D299" s="105">
        <v>0.0012765254570881364</v>
      </c>
      <c r="E299" s="105">
        <v>3.1747380145272865</v>
      </c>
      <c r="F299" s="80" t="s">
        <v>3896</v>
      </c>
      <c r="G299" s="80" t="b">
        <v>0</v>
      </c>
      <c r="H299" s="80" t="b">
        <v>0</v>
      </c>
      <c r="I299" s="80" t="b">
        <v>0</v>
      </c>
      <c r="J299" s="80" t="b">
        <v>0</v>
      </c>
      <c r="K299" s="80" t="b">
        <v>0</v>
      </c>
      <c r="L299" s="80" t="b">
        <v>0</v>
      </c>
    </row>
    <row r="300" spans="1:12" ht="15">
      <c r="A300" s="81" t="s">
        <v>3560</v>
      </c>
      <c r="B300" s="80" t="s">
        <v>3561</v>
      </c>
      <c r="C300" s="80">
        <v>3</v>
      </c>
      <c r="D300" s="105">
        <v>0.0012765254570881364</v>
      </c>
      <c r="E300" s="105">
        <v>3.1747380145272865</v>
      </c>
      <c r="F300" s="80" t="s">
        <v>3896</v>
      </c>
      <c r="G300" s="80" t="b">
        <v>0</v>
      </c>
      <c r="H300" s="80" t="b">
        <v>0</v>
      </c>
      <c r="I300" s="80" t="b">
        <v>0</v>
      </c>
      <c r="J300" s="80" t="b">
        <v>0</v>
      </c>
      <c r="K300" s="80" t="b">
        <v>0</v>
      </c>
      <c r="L300" s="80" t="b">
        <v>0</v>
      </c>
    </row>
    <row r="301" spans="1:12" ht="15">
      <c r="A301" s="81" t="s">
        <v>3561</v>
      </c>
      <c r="B301" s="80" t="s">
        <v>3562</v>
      </c>
      <c r="C301" s="80">
        <v>3</v>
      </c>
      <c r="D301" s="105">
        <v>0.0012765254570881364</v>
      </c>
      <c r="E301" s="105">
        <v>3.1747380145272865</v>
      </c>
      <c r="F301" s="80" t="s">
        <v>3896</v>
      </c>
      <c r="G301" s="80" t="b">
        <v>0</v>
      </c>
      <c r="H301" s="80" t="b">
        <v>0</v>
      </c>
      <c r="I301" s="80" t="b">
        <v>0</v>
      </c>
      <c r="J301" s="80" t="b">
        <v>0</v>
      </c>
      <c r="K301" s="80" t="b">
        <v>0</v>
      </c>
      <c r="L301" s="80" t="b">
        <v>0</v>
      </c>
    </row>
    <row r="302" spans="1:12" ht="15">
      <c r="A302" s="81" t="s">
        <v>3562</v>
      </c>
      <c r="B302" s="80" t="s">
        <v>3285</v>
      </c>
      <c r="C302" s="80">
        <v>3</v>
      </c>
      <c r="D302" s="105">
        <v>0.0012765254570881364</v>
      </c>
      <c r="E302" s="105">
        <v>2.3965867641436427</v>
      </c>
      <c r="F302" s="80" t="s">
        <v>3896</v>
      </c>
      <c r="G302" s="80" t="b">
        <v>0</v>
      </c>
      <c r="H302" s="80" t="b">
        <v>0</v>
      </c>
      <c r="I302" s="80" t="b">
        <v>0</v>
      </c>
      <c r="J302" s="80" t="b">
        <v>0</v>
      </c>
      <c r="K302" s="80" t="b">
        <v>0</v>
      </c>
      <c r="L302" s="80" t="b">
        <v>0</v>
      </c>
    </row>
    <row r="303" spans="1:12" ht="15">
      <c r="A303" s="81" t="s">
        <v>3285</v>
      </c>
      <c r="B303" s="80" t="s">
        <v>3563</v>
      </c>
      <c r="C303" s="80">
        <v>3</v>
      </c>
      <c r="D303" s="105">
        <v>0.0012765254570881364</v>
      </c>
      <c r="E303" s="105">
        <v>2.3965867641436427</v>
      </c>
      <c r="F303" s="80" t="s">
        <v>3896</v>
      </c>
      <c r="G303" s="80" t="b">
        <v>0</v>
      </c>
      <c r="H303" s="80" t="b">
        <v>0</v>
      </c>
      <c r="I303" s="80" t="b">
        <v>0</v>
      </c>
      <c r="J303" s="80" t="b">
        <v>0</v>
      </c>
      <c r="K303" s="80" t="b">
        <v>0</v>
      </c>
      <c r="L303" s="80" t="b">
        <v>0</v>
      </c>
    </row>
    <row r="304" spans="1:12" ht="15">
      <c r="A304" s="81" t="s">
        <v>3563</v>
      </c>
      <c r="B304" s="80" t="s">
        <v>3564</v>
      </c>
      <c r="C304" s="80">
        <v>3</v>
      </c>
      <c r="D304" s="105">
        <v>0.0012765254570881364</v>
      </c>
      <c r="E304" s="105">
        <v>3.1747380145272865</v>
      </c>
      <c r="F304" s="80" t="s">
        <v>3896</v>
      </c>
      <c r="G304" s="80" t="b">
        <v>0</v>
      </c>
      <c r="H304" s="80" t="b">
        <v>0</v>
      </c>
      <c r="I304" s="80" t="b">
        <v>0</v>
      </c>
      <c r="J304" s="80" t="b">
        <v>0</v>
      </c>
      <c r="K304" s="80" t="b">
        <v>0</v>
      </c>
      <c r="L304" s="80" t="b">
        <v>0</v>
      </c>
    </row>
    <row r="305" spans="1:12" ht="15">
      <c r="A305" s="81" t="s">
        <v>3564</v>
      </c>
      <c r="B305" s="80" t="s">
        <v>3565</v>
      </c>
      <c r="C305" s="80">
        <v>3</v>
      </c>
      <c r="D305" s="105">
        <v>0.0012765254570881364</v>
      </c>
      <c r="E305" s="105">
        <v>3.1747380145272865</v>
      </c>
      <c r="F305" s="80" t="s">
        <v>3896</v>
      </c>
      <c r="G305" s="80" t="b">
        <v>0</v>
      </c>
      <c r="H305" s="80" t="b">
        <v>0</v>
      </c>
      <c r="I305" s="80" t="b">
        <v>0</v>
      </c>
      <c r="J305" s="80" t="b">
        <v>0</v>
      </c>
      <c r="K305" s="80" t="b">
        <v>0</v>
      </c>
      <c r="L305" s="80" t="b">
        <v>0</v>
      </c>
    </row>
    <row r="306" spans="1:12" ht="15">
      <c r="A306" s="81" t="s">
        <v>3565</v>
      </c>
      <c r="B306" s="80" t="s">
        <v>3260</v>
      </c>
      <c r="C306" s="80">
        <v>3</v>
      </c>
      <c r="D306" s="105">
        <v>0.0012765254570881364</v>
      </c>
      <c r="E306" s="105">
        <v>1.1440033975511181</v>
      </c>
      <c r="F306" s="80" t="s">
        <v>3896</v>
      </c>
      <c r="G306" s="80" t="b">
        <v>0</v>
      </c>
      <c r="H306" s="80" t="b">
        <v>0</v>
      </c>
      <c r="I306" s="80" t="b">
        <v>0</v>
      </c>
      <c r="J306" s="80" t="b">
        <v>0</v>
      </c>
      <c r="K306" s="80" t="b">
        <v>0</v>
      </c>
      <c r="L306" s="80" t="b">
        <v>0</v>
      </c>
    </row>
    <row r="307" spans="1:12" ht="15">
      <c r="A307" s="81" t="s">
        <v>3260</v>
      </c>
      <c r="B307" s="80" t="s">
        <v>3459</v>
      </c>
      <c r="C307" s="80">
        <v>3</v>
      </c>
      <c r="D307" s="105">
        <v>0.0012765254570881364</v>
      </c>
      <c r="E307" s="105">
        <v>1.276500530329755</v>
      </c>
      <c r="F307" s="80" t="s">
        <v>3896</v>
      </c>
      <c r="G307" s="80" t="b">
        <v>0</v>
      </c>
      <c r="H307" s="80" t="b">
        <v>0</v>
      </c>
      <c r="I307" s="80" t="b">
        <v>0</v>
      </c>
      <c r="J307" s="80" t="b">
        <v>0</v>
      </c>
      <c r="K307" s="80" t="b">
        <v>0</v>
      </c>
      <c r="L307" s="80" t="b">
        <v>0</v>
      </c>
    </row>
    <row r="308" spans="1:12" ht="15">
      <c r="A308" s="81" t="s">
        <v>3459</v>
      </c>
      <c r="B308" s="80" t="s">
        <v>3269</v>
      </c>
      <c r="C308" s="80">
        <v>3</v>
      </c>
      <c r="D308" s="105">
        <v>0.0012765254570881364</v>
      </c>
      <c r="E308" s="105">
        <v>2.095556768479662</v>
      </c>
      <c r="F308" s="80" t="s">
        <v>3896</v>
      </c>
      <c r="G308" s="80" t="b">
        <v>0</v>
      </c>
      <c r="H308" s="80" t="b">
        <v>0</v>
      </c>
      <c r="I308" s="80" t="b">
        <v>0</v>
      </c>
      <c r="J308" s="80" t="b">
        <v>0</v>
      </c>
      <c r="K308" s="80" t="b">
        <v>0</v>
      </c>
      <c r="L308" s="80" t="b">
        <v>0</v>
      </c>
    </row>
    <row r="309" spans="1:12" ht="15">
      <c r="A309" s="81" t="s">
        <v>3566</v>
      </c>
      <c r="B309" s="80" t="s">
        <v>3567</v>
      </c>
      <c r="C309" s="80">
        <v>3</v>
      </c>
      <c r="D309" s="105">
        <v>0.0012765254570881364</v>
      </c>
      <c r="E309" s="105">
        <v>3.1747380145272865</v>
      </c>
      <c r="F309" s="80" t="s">
        <v>3896</v>
      </c>
      <c r="G309" s="80" t="b">
        <v>0</v>
      </c>
      <c r="H309" s="80" t="b">
        <v>0</v>
      </c>
      <c r="I309" s="80" t="b">
        <v>0</v>
      </c>
      <c r="J309" s="80" t="b">
        <v>0</v>
      </c>
      <c r="K309" s="80" t="b">
        <v>0</v>
      </c>
      <c r="L309" s="80" t="b">
        <v>0</v>
      </c>
    </row>
    <row r="310" spans="1:12" ht="15">
      <c r="A310" s="81" t="s">
        <v>3567</v>
      </c>
      <c r="B310" s="80" t="s">
        <v>3568</v>
      </c>
      <c r="C310" s="80">
        <v>3</v>
      </c>
      <c r="D310" s="105">
        <v>0.0012765254570881364</v>
      </c>
      <c r="E310" s="105">
        <v>3.1747380145272865</v>
      </c>
      <c r="F310" s="80" t="s">
        <v>3896</v>
      </c>
      <c r="G310" s="80" t="b">
        <v>0</v>
      </c>
      <c r="H310" s="80" t="b">
        <v>0</v>
      </c>
      <c r="I310" s="80" t="b">
        <v>0</v>
      </c>
      <c r="J310" s="80" t="b">
        <v>0</v>
      </c>
      <c r="K310" s="80" t="b">
        <v>0</v>
      </c>
      <c r="L310" s="80" t="b">
        <v>0</v>
      </c>
    </row>
    <row r="311" spans="1:12" ht="15">
      <c r="A311" s="81" t="s">
        <v>3568</v>
      </c>
      <c r="B311" s="80" t="s">
        <v>3569</v>
      </c>
      <c r="C311" s="80">
        <v>3</v>
      </c>
      <c r="D311" s="105">
        <v>0.0012765254570881364</v>
      </c>
      <c r="E311" s="105">
        <v>3.1747380145272865</v>
      </c>
      <c r="F311" s="80" t="s">
        <v>3896</v>
      </c>
      <c r="G311" s="80" t="b">
        <v>0</v>
      </c>
      <c r="H311" s="80" t="b">
        <v>0</v>
      </c>
      <c r="I311" s="80" t="b">
        <v>0</v>
      </c>
      <c r="J311" s="80" t="b">
        <v>0</v>
      </c>
      <c r="K311" s="80" t="b">
        <v>0</v>
      </c>
      <c r="L311" s="80" t="b">
        <v>0</v>
      </c>
    </row>
    <row r="312" spans="1:12" ht="15">
      <c r="A312" s="81" t="s">
        <v>3569</v>
      </c>
      <c r="B312" s="80" t="s">
        <v>3570</v>
      </c>
      <c r="C312" s="80">
        <v>3</v>
      </c>
      <c r="D312" s="105">
        <v>0.0012765254570881364</v>
      </c>
      <c r="E312" s="105">
        <v>3.1747380145272865</v>
      </c>
      <c r="F312" s="80" t="s">
        <v>3896</v>
      </c>
      <c r="G312" s="80" t="b">
        <v>0</v>
      </c>
      <c r="H312" s="80" t="b">
        <v>0</v>
      </c>
      <c r="I312" s="80" t="b">
        <v>0</v>
      </c>
      <c r="J312" s="80" t="b">
        <v>0</v>
      </c>
      <c r="K312" s="80" t="b">
        <v>0</v>
      </c>
      <c r="L312" s="80" t="b">
        <v>0</v>
      </c>
    </row>
    <row r="313" spans="1:12" ht="15">
      <c r="A313" s="81" t="s">
        <v>3570</v>
      </c>
      <c r="B313" s="80" t="s">
        <v>3571</v>
      </c>
      <c r="C313" s="80">
        <v>3</v>
      </c>
      <c r="D313" s="105">
        <v>0.0012765254570881364</v>
      </c>
      <c r="E313" s="105">
        <v>3.1747380145272865</v>
      </c>
      <c r="F313" s="80" t="s">
        <v>3896</v>
      </c>
      <c r="G313" s="80" t="b">
        <v>0</v>
      </c>
      <c r="H313" s="80" t="b">
        <v>0</v>
      </c>
      <c r="I313" s="80" t="b">
        <v>0</v>
      </c>
      <c r="J313" s="80" t="b">
        <v>0</v>
      </c>
      <c r="K313" s="80" t="b">
        <v>0</v>
      </c>
      <c r="L313" s="80" t="b">
        <v>0</v>
      </c>
    </row>
    <row r="314" spans="1:12" ht="15">
      <c r="A314" s="81" t="s">
        <v>3571</v>
      </c>
      <c r="B314" s="80" t="s">
        <v>3572</v>
      </c>
      <c r="C314" s="80">
        <v>3</v>
      </c>
      <c r="D314" s="105">
        <v>0.0012765254570881364</v>
      </c>
      <c r="E314" s="105">
        <v>3.1747380145272865</v>
      </c>
      <c r="F314" s="80" t="s">
        <v>3896</v>
      </c>
      <c r="G314" s="80" t="b">
        <v>0</v>
      </c>
      <c r="H314" s="80" t="b">
        <v>0</v>
      </c>
      <c r="I314" s="80" t="b">
        <v>0</v>
      </c>
      <c r="J314" s="80" t="b">
        <v>0</v>
      </c>
      <c r="K314" s="80" t="b">
        <v>0</v>
      </c>
      <c r="L314" s="80" t="b">
        <v>0</v>
      </c>
    </row>
    <row r="315" spans="1:12" ht="15">
      <c r="A315" s="81" t="s">
        <v>3572</v>
      </c>
      <c r="B315" s="80" t="s">
        <v>3285</v>
      </c>
      <c r="C315" s="80">
        <v>3</v>
      </c>
      <c r="D315" s="105">
        <v>0.0012765254570881364</v>
      </c>
      <c r="E315" s="105">
        <v>2.3965867641436427</v>
      </c>
      <c r="F315" s="80" t="s">
        <v>3896</v>
      </c>
      <c r="G315" s="80" t="b">
        <v>0</v>
      </c>
      <c r="H315" s="80" t="b">
        <v>0</v>
      </c>
      <c r="I315" s="80" t="b">
        <v>0</v>
      </c>
      <c r="J315" s="80" t="b">
        <v>0</v>
      </c>
      <c r="K315" s="80" t="b">
        <v>0</v>
      </c>
      <c r="L315" s="80" t="b">
        <v>0</v>
      </c>
    </row>
    <row r="316" spans="1:12" ht="15">
      <c r="A316" s="81" t="s">
        <v>3285</v>
      </c>
      <c r="B316" s="80" t="s">
        <v>3573</v>
      </c>
      <c r="C316" s="80">
        <v>3</v>
      </c>
      <c r="D316" s="105">
        <v>0.0012765254570881364</v>
      </c>
      <c r="E316" s="105">
        <v>2.3965867641436427</v>
      </c>
      <c r="F316" s="80" t="s">
        <v>3896</v>
      </c>
      <c r="G316" s="80" t="b">
        <v>0</v>
      </c>
      <c r="H316" s="80" t="b">
        <v>0</v>
      </c>
      <c r="I316" s="80" t="b">
        <v>0</v>
      </c>
      <c r="J316" s="80" t="b">
        <v>0</v>
      </c>
      <c r="K316" s="80" t="b">
        <v>0</v>
      </c>
      <c r="L316" s="80" t="b">
        <v>0</v>
      </c>
    </row>
    <row r="317" spans="1:12" ht="15">
      <c r="A317" s="81" t="s">
        <v>3573</v>
      </c>
      <c r="B317" s="80" t="s">
        <v>3574</v>
      </c>
      <c r="C317" s="80">
        <v>3</v>
      </c>
      <c r="D317" s="105">
        <v>0.0012765254570881364</v>
      </c>
      <c r="E317" s="105">
        <v>3.1747380145272865</v>
      </c>
      <c r="F317" s="80" t="s">
        <v>3896</v>
      </c>
      <c r="G317" s="80" t="b">
        <v>0</v>
      </c>
      <c r="H317" s="80" t="b">
        <v>0</v>
      </c>
      <c r="I317" s="80" t="b">
        <v>0</v>
      </c>
      <c r="J317" s="80" t="b">
        <v>0</v>
      </c>
      <c r="K317" s="80" t="b">
        <v>0</v>
      </c>
      <c r="L317" s="80" t="b">
        <v>0</v>
      </c>
    </row>
    <row r="318" spans="1:12" ht="15">
      <c r="A318" s="81" t="s">
        <v>3574</v>
      </c>
      <c r="B318" s="80" t="s">
        <v>3575</v>
      </c>
      <c r="C318" s="80">
        <v>3</v>
      </c>
      <c r="D318" s="105">
        <v>0.0012765254570881364</v>
      </c>
      <c r="E318" s="105">
        <v>3.1747380145272865</v>
      </c>
      <c r="F318" s="80" t="s">
        <v>3896</v>
      </c>
      <c r="G318" s="80" t="b">
        <v>0</v>
      </c>
      <c r="H318" s="80" t="b">
        <v>0</v>
      </c>
      <c r="I318" s="80" t="b">
        <v>0</v>
      </c>
      <c r="J318" s="80" t="b">
        <v>0</v>
      </c>
      <c r="K318" s="80" t="b">
        <v>0</v>
      </c>
      <c r="L318" s="80" t="b">
        <v>0</v>
      </c>
    </row>
    <row r="319" spans="1:12" ht="15">
      <c r="A319" s="81" t="s">
        <v>3575</v>
      </c>
      <c r="B319" s="80" t="s">
        <v>3576</v>
      </c>
      <c r="C319" s="80">
        <v>3</v>
      </c>
      <c r="D319" s="105">
        <v>0.0012765254570881364</v>
      </c>
      <c r="E319" s="105">
        <v>3.1747380145272865</v>
      </c>
      <c r="F319" s="80" t="s">
        <v>3896</v>
      </c>
      <c r="G319" s="80" t="b">
        <v>0</v>
      </c>
      <c r="H319" s="80" t="b">
        <v>0</v>
      </c>
      <c r="I319" s="80" t="b">
        <v>0</v>
      </c>
      <c r="J319" s="80" t="b">
        <v>0</v>
      </c>
      <c r="K319" s="80" t="b">
        <v>0</v>
      </c>
      <c r="L319" s="80" t="b">
        <v>0</v>
      </c>
    </row>
    <row r="320" spans="1:12" ht="15">
      <c r="A320" s="81" t="s">
        <v>3576</v>
      </c>
      <c r="B320" s="80" t="s">
        <v>3577</v>
      </c>
      <c r="C320" s="80">
        <v>3</v>
      </c>
      <c r="D320" s="105">
        <v>0.0012765254570881364</v>
      </c>
      <c r="E320" s="105">
        <v>3.1747380145272865</v>
      </c>
      <c r="F320" s="80" t="s">
        <v>3896</v>
      </c>
      <c r="G320" s="80" t="b">
        <v>0</v>
      </c>
      <c r="H320" s="80" t="b">
        <v>0</v>
      </c>
      <c r="I320" s="80" t="b">
        <v>0</v>
      </c>
      <c r="J320" s="80" t="b">
        <v>0</v>
      </c>
      <c r="K320" s="80" t="b">
        <v>0</v>
      </c>
      <c r="L320" s="80" t="b">
        <v>0</v>
      </c>
    </row>
    <row r="321" spans="1:12" ht="15">
      <c r="A321" s="81" t="s">
        <v>3577</v>
      </c>
      <c r="B321" s="80" t="s">
        <v>3578</v>
      </c>
      <c r="C321" s="80">
        <v>3</v>
      </c>
      <c r="D321" s="105">
        <v>0.0012765254570881364</v>
      </c>
      <c r="E321" s="105">
        <v>3.1747380145272865</v>
      </c>
      <c r="F321" s="80" t="s">
        <v>3896</v>
      </c>
      <c r="G321" s="80" t="b">
        <v>0</v>
      </c>
      <c r="H321" s="80" t="b">
        <v>0</v>
      </c>
      <c r="I321" s="80" t="b">
        <v>0</v>
      </c>
      <c r="J321" s="80" t="b">
        <v>0</v>
      </c>
      <c r="K321" s="80" t="b">
        <v>0</v>
      </c>
      <c r="L321" s="80" t="b">
        <v>0</v>
      </c>
    </row>
    <row r="322" spans="1:12" ht="15">
      <c r="A322" s="81" t="s">
        <v>3578</v>
      </c>
      <c r="B322" s="80" t="s">
        <v>3579</v>
      </c>
      <c r="C322" s="80">
        <v>3</v>
      </c>
      <c r="D322" s="105">
        <v>0.0012765254570881364</v>
      </c>
      <c r="E322" s="105">
        <v>3.1747380145272865</v>
      </c>
      <c r="F322" s="80" t="s">
        <v>3896</v>
      </c>
      <c r="G322" s="80" t="b">
        <v>0</v>
      </c>
      <c r="H322" s="80" t="b">
        <v>0</v>
      </c>
      <c r="I322" s="80" t="b">
        <v>0</v>
      </c>
      <c r="J322" s="80" t="b">
        <v>0</v>
      </c>
      <c r="K322" s="80" t="b">
        <v>0</v>
      </c>
      <c r="L322" s="80" t="b">
        <v>0</v>
      </c>
    </row>
    <row r="323" spans="1:12" ht="15">
      <c r="A323" s="81" t="s">
        <v>3579</v>
      </c>
      <c r="B323" s="80" t="s">
        <v>3580</v>
      </c>
      <c r="C323" s="80">
        <v>3</v>
      </c>
      <c r="D323" s="105">
        <v>0.0012765254570881364</v>
      </c>
      <c r="E323" s="105">
        <v>3.1747380145272865</v>
      </c>
      <c r="F323" s="80" t="s">
        <v>3896</v>
      </c>
      <c r="G323" s="80" t="b">
        <v>0</v>
      </c>
      <c r="H323" s="80" t="b">
        <v>0</v>
      </c>
      <c r="I323" s="80" t="b">
        <v>0</v>
      </c>
      <c r="J323" s="80" t="b">
        <v>0</v>
      </c>
      <c r="K323" s="80" t="b">
        <v>0</v>
      </c>
      <c r="L323" s="80" t="b">
        <v>0</v>
      </c>
    </row>
    <row r="324" spans="1:12" ht="15">
      <c r="A324" s="81" t="s">
        <v>3580</v>
      </c>
      <c r="B324" s="80" t="s">
        <v>3380</v>
      </c>
      <c r="C324" s="80">
        <v>3</v>
      </c>
      <c r="D324" s="105">
        <v>0.0012765254570881364</v>
      </c>
      <c r="E324" s="105">
        <v>2.8737080188633053</v>
      </c>
      <c r="F324" s="80" t="s">
        <v>3896</v>
      </c>
      <c r="G324" s="80" t="b">
        <v>0</v>
      </c>
      <c r="H324" s="80" t="b">
        <v>0</v>
      </c>
      <c r="I324" s="80" t="b">
        <v>0</v>
      </c>
      <c r="J324" s="80" t="b">
        <v>0</v>
      </c>
      <c r="K324" s="80" t="b">
        <v>0</v>
      </c>
      <c r="L324" s="80" t="b">
        <v>0</v>
      </c>
    </row>
    <row r="325" spans="1:12" ht="15">
      <c r="A325" s="81" t="s">
        <v>3380</v>
      </c>
      <c r="B325" s="80" t="s">
        <v>3581</v>
      </c>
      <c r="C325" s="80">
        <v>3</v>
      </c>
      <c r="D325" s="105">
        <v>0.0012765254570881364</v>
      </c>
      <c r="E325" s="105">
        <v>2.8737080188633053</v>
      </c>
      <c r="F325" s="80" t="s">
        <v>3896</v>
      </c>
      <c r="G325" s="80" t="b">
        <v>0</v>
      </c>
      <c r="H325" s="80" t="b">
        <v>0</v>
      </c>
      <c r="I325" s="80" t="b">
        <v>0</v>
      </c>
      <c r="J325" s="80" t="b">
        <v>0</v>
      </c>
      <c r="K325" s="80" t="b">
        <v>0</v>
      </c>
      <c r="L325" s="80" t="b">
        <v>0</v>
      </c>
    </row>
    <row r="326" spans="1:12" ht="15">
      <c r="A326" s="81" t="s">
        <v>3581</v>
      </c>
      <c r="B326" s="80" t="s">
        <v>3582</v>
      </c>
      <c r="C326" s="80">
        <v>3</v>
      </c>
      <c r="D326" s="105">
        <v>0.0012765254570881364</v>
      </c>
      <c r="E326" s="105">
        <v>3.1747380145272865</v>
      </c>
      <c r="F326" s="80" t="s">
        <v>3896</v>
      </c>
      <c r="G326" s="80" t="b">
        <v>0</v>
      </c>
      <c r="H326" s="80" t="b">
        <v>0</v>
      </c>
      <c r="I326" s="80" t="b">
        <v>0</v>
      </c>
      <c r="J326" s="80" t="b">
        <v>0</v>
      </c>
      <c r="K326" s="80" t="b">
        <v>0</v>
      </c>
      <c r="L326" s="80" t="b">
        <v>0</v>
      </c>
    </row>
    <row r="327" spans="1:12" ht="15">
      <c r="A327" s="81" t="s">
        <v>3582</v>
      </c>
      <c r="B327" s="80" t="s">
        <v>3381</v>
      </c>
      <c r="C327" s="80">
        <v>3</v>
      </c>
      <c r="D327" s="105">
        <v>0.0012765254570881364</v>
      </c>
      <c r="E327" s="105">
        <v>2.8737080188633053</v>
      </c>
      <c r="F327" s="80" t="s">
        <v>3896</v>
      </c>
      <c r="G327" s="80" t="b">
        <v>0</v>
      </c>
      <c r="H327" s="80" t="b">
        <v>0</v>
      </c>
      <c r="I327" s="80" t="b">
        <v>0</v>
      </c>
      <c r="J327" s="80" t="b">
        <v>0</v>
      </c>
      <c r="K327" s="80" t="b">
        <v>0</v>
      </c>
      <c r="L327" s="80" t="b">
        <v>0</v>
      </c>
    </row>
    <row r="328" spans="1:12" ht="15">
      <c r="A328" s="81" t="s">
        <v>3381</v>
      </c>
      <c r="B328" s="80" t="s">
        <v>3583</v>
      </c>
      <c r="C328" s="80">
        <v>3</v>
      </c>
      <c r="D328" s="105">
        <v>0.0012765254570881364</v>
      </c>
      <c r="E328" s="105">
        <v>2.8737080188633053</v>
      </c>
      <c r="F328" s="80" t="s">
        <v>3896</v>
      </c>
      <c r="G328" s="80" t="b">
        <v>0</v>
      </c>
      <c r="H328" s="80" t="b">
        <v>0</v>
      </c>
      <c r="I328" s="80" t="b">
        <v>0</v>
      </c>
      <c r="J328" s="80" t="b">
        <v>0</v>
      </c>
      <c r="K328" s="80" t="b">
        <v>0</v>
      </c>
      <c r="L328" s="80" t="b">
        <v>0</v>
      </c>
    </row>
    <row r="329" spans="1:12" ht="15">
      <c r="A329" s="81" t="s">
        <v>3583</v>
      </c>
      <c r="B329" s="80" t="s">
        <v>3584</v>
      </c>
      <c r="C329" s="80">
        <v>3</v>
      </c>
      <c r="D329" s="105">
        <v>0.0012765254570881364</v>
      </c>
      <c r="E329" s="105">
        <v>3.1747380145272865</v>
      </c>
      <c r="F329" s="80" t="s">
        <v>3896</v>
      </c>
      <c r="G329" s="80" t="b">
        <v>0</v>
      </c>
      <c r="H329" s="80" t="b">
        <v>0</v>
      </c>
      <c r="I329" s="80" t="b">
        <v>0</v>
      </c>
      <c r="J329" s="80" t="b">
        <v>0</v>
      </c>
      <c r="K329" s="80" t="b">
        <v>0</v>
      </c>
      <c r="L329" s="80" t="b">
        <v>0</v>
      </c>
    </row>
    <row r="330" spans="1:12" ht="15">
      <c r="A330" s="81" t="s">
        <v>3584</v>
      </c>
      <c r="B330" s="80" t="s">
        <v>3585</v>
      </c>
      <c r="C330" s="80">
        <v>3</v>
      </c>
      <c r="D330" s="105">
        <v>0.0012765254570881364</v>
      </c>
      <c r="E330" s="105">
        <v>3.1747380145272865</v>
      </c>
      <c r="F330" s="80" t="s">
        <v>3896</v>
      </c>
      <c r="G330" s="80" t="b">
        <v>0</v>
      </c>
      <c r="H330" s="80" t="b">
        <v>0</v>
      </c>
      <c r="I330" s="80" t="b">
        <v>0</v>
      </c>
      <c r="J330" s="80" t="b">
        <v>0</v>
      </c>
      <c r="K330" s="80" t="b">
        <v>0</v>
      </c>
      <c r="L330" s="80" t="b">
        <v>0</v>
      </c>
    </row>
    <row r="331" spans="1:12" ht="15">
      <c r="A331" s="81" t="s">
        <v>3585</v>
      </c>
      <c r="B331" s="80" t="s">
        <v>3586</v>
      </c>
      <c r="C331" s="80">
        <v>3</v>
      </c>
      <c r="D331" s="105">
        <v>0.0012765254570881364</v>
      </c>
      <c r="E331" s="105">
        <v>3.1747380145272865</v>
      </c>
      <c r="F331" s="80" t="s">
        <v>3896</v>
      </c>
      <c r="G331" s="80" t="b">
        <v>0</v>
      </c>
      <c r="H331" s="80" t="b">
        <v>0</v>
      </c>
      <c r="I331" s="80" t="b">
        <v>0</v>
      </c>
      <c r="J331" s="80" t="b">
        <v>0</v>
      </c>
      <c r="K331" s="80" t="b">
        <v>0</v>
      </c>
      <c r="L331" s="80" t="b">
        <v>0</v>
      </c>
    </row>
    <row r="332" spans="1:12" ht="15">
      <c r="A332" s="81" t="s">
        <v>3586</v>
      </c>
      <c r="B332" s="80" t="s">
        <v>3587</v>
      </c>
      <c r="C332" s="80">
        <v>3</v>
      </c>
      <c r="D332" s="105">
        <v>0.0012765254570881364</v>
      </c>
      <c r="E332" s="105">
        <v>3.1747380145272865</v>
      </c>
      <c r="F332" s="80" t="s">
        <v>3896</v>
      </c>
      <c r="G332" s="80" t="b">
        <v>0</v>
      </c>
      <c r="H332" s="80" t="b">
        <v>0</v>
      </c>
      <c r="I332" s="80" t="b">
        <v>0</v>
      </c>
      <c r="J332" s="80" t="b">
        <v>0</v>
      </c>
      <c r="K332" s="80" t="b">
        <v>0</v>
      </c>
      <c r="L332" s="80" t="b">
        <v>0</v>
      </c>
    </row>
    <row r="333" spans="1:12" ht="15">
      <c r="A333" s="81" t="s">
        <v>3587</v>
      </c>
      <c r="B333" s="80" t="s">
        <v>3588</v>
      </c>
      <c r="C333" s="80">
        <v>3</v>
      </c>
      <c r="D333" s="105">
        <v>0.0012765254570881364</v>
      </c>
      <c r="E333" s="105">
        <v>3.1747380145272865</v>
      </c>
      <c r="F333" s="80" t="s">
        <v>3896</v>
      </c>
      <c r="G333" s="80" t="b">
        <v>0</v>
      </c>
      <c r="H333" s="80" t="b">
        <v>0</v>
      </c>
      <c r="I333" s="80" t="b">
        <v>0</v>
      </c>
      <c r="J333" s="80" t="b">
        <v>0</v>
      </c>
      <c r="K333" s="80" t="b">
        <v>0</v>
      </c>
      <c r="L333" s="80" t="b">
        <v>0</v>
      </c>
    </row>
    <row r="334" spans="1:12" ht="15">
      <c r="A334" s="81" t="s">
        <v>3588</v>
      </c>
      <c r="B334" s="80" t="s">
        <v>3589</v>
      </c>
      <c r="C334" s="80">
        <v>3</v>
      </c>
      <c r="D334" s="105">
        <v>0.0012765254570881364</v>
      </c>
      <c r="E334" s="105">
        <v>3.1747380145272865</v>
      </c>
      <c r="F334" s="80" t="s">
        <v>3896</v>
      </c>
      <c r="G334" s="80" t="b">
        <v>0</v>
      </c>
      <c r="H334" s="80" t="b">
        <v>0</v>
      </c>
      <c r="I334" s="80" t="b">
        <v>0</v>
      </c>
      <c r="J334" s="80" t="b">
        <v>0</v>
      </c>
      <c r="K334" s="80" t="b">
        <v>0</v>
      </c>
      <c r="L334" s="80" t="b">
        <v>0</v>
      </c>
    </row>
    <row r="335" spans="1:12" ht="15">
      <c r="A335" s="81" t="s">
        <v>3589</v>
      </c>
      <c r="B335" s="80" t="s">
        <v>3590</v>
      </c>
      <c r="C335" s="80">
        <v>3</v>
      </c>
      <c r="D335" s="105">
        <v>0.0012765254570881364</v>
      </c>
      <c r="E335" s="105">
        <v>3.1747380145272865</v>
      </c>
      <c r="F335" s="80" t="s">
        <v>3896</v>
      </c>
      <c r="G335" s="80" t="b">
        <v>0</v>
      </c>
      <c r="H335" s="80" t="b">
        <v>0</v>
      </c>
      <c r="I335" s="80" t="b">
        <v>0</v>
      </c>
      <c r="J335" s="80" t="b">
        <v>0</v>
      </c>
      <c r="K335" s="80" t="b">
        <v>0</v>
      </c>
      <c r="L335" s="80" t="b">
        <v>0</v>
      </c>
    </row>
    <row r="336" spans="1:12" ht="15">
      <c r="A336" s="81" t="s">
        <v>3590</v>
      </c>
      <c r="B336" s="80" t="s">
        <v>3460</v>
      </c>
      <c r="C336" s="80">
        <v>3</v>
      </c>
      <c r="D336" s="105">
        <v>0.0012765254570881364</v>
      </c>
      <c r="E336" s="105">
        <v>3.0497992779189866</v>
      </c>
      <c r="F336" s="80" t="s">
        <v>3896</v>
      </c>
      <c r="G336" s="80" t="b">
        <v>0</v>
      </c>
      <c r="H336" s="80" t="b">
        <v>0</v>
      </c>
      <c r="I336" s="80" t="b">
        <v>0</v>
      </c>
      <c r="J336" s="80" t="b">
        <v>0</v>
      </c>
      <c r="K336" s="80" t="b">
        <v>0</v>
      </c>
      <c r="L336" s="80" t="b">
        <v>0</v>
      </c>
    </row>
    <row r="337" spans="1:12" ht="15">
      <c r="A337" s="81" t="s">
        <v>3460</v>
      </c>
      <c r="B337" s="80" t="s">
        <v>3380</v>
      </c>
      <c r="C337" s="80">
        <v>3</v>
      </c>
      <c r="D337" s="105">
        <v>0.0012765254570881364</v>
      </c>
      <c r="E337" s="105">
        <v>2.7487692822550054</v>
      </c>
      <c r="F337" s="80" t="s">
        <v>3896</v>
      </c>
      <c r="G337" s="80" t="b">
        <v>0</v>
      </c>
      <c r="H337" s="80" t="b">
        <v>0</v>
      </c>
      <c r="I337" s="80" t="b">
        <v>0</v>
      </c>
      <c r="J337" s="80" t="b">
        <v>0</v>
      </c>
      <c r="K337" s="80" t="b">
        <v>0</v>
      </c>
      <c r="L337" s="80" t="b">
        <v>0</v>
      </c>
    </row>
    <row r="338" spans="1:12" ht="15">
      <c r="A338" s="81" t="s">
        <v>3380</v>
      </c>
      <c r="B338" s="80" t="s">
        <v>3591</v>
      </c>
      <c r="C338" s="80">
        <v>3</v>
      </c>
      <c r="D338" s="105">
        <v>0.0012765254570881364</v>
      </c>
      <c r="E338" s="105">
        <v>2.8737080188633053</v>
      </c>
      <c r="F338" s="80" t="s">
        <v>3896</v>
      </c>
      <c r="G338" s="80" t="b">
        <v>0</v>
      </c>
      <c r="H338" s="80" t="b">
        <v>0</v>
      </c>
      <c r="I338" s="80" t="b">
        <v>0</v>
      </c>
      <c r="J338" s="80" t="b">
        <v>0</v>
      </c>
      <c r="K338" s="80" t="b">
        <v>0</v>
      </c>
      <c r="L338" s="80" t="b">
        <v>0</v>
      </c>
    </row>
    <row r="339" spans="1:12" ht="15">
      <c r="A339" s="81" t="s">
        <v>3591</v>
      </c>
      <c r="B339" s="80" t="s">
        <v>3592</v>
      </c>
      <c r="C339" s="80">
        <v>3</v>
      </c>
      <c r="D339" s="105">
        <v>0.0012765254570881364</v>
      </c>
      <c r="E339" s="105">
        <v>3.1747380145272865</v>
      </c>
      <c r="F339" s="80" t="s">
        <v>3896</v>
      </c>
      <c r="G339" s="80" t="b">
        <v>0</v>
      </c>
      <c r="H339" s="80" t="b">
        <v>0</v>
      </c>
      <c r="I339" s="80" t="b">
        <v>0</v>
      </c>
      <c r="J339" s="80" t="b">
        <v>0</v>
      </c>
      <c r="K339" s="80" t="b">
        <v>0</v>
      </c>
      <c r="L339" s="80" t="b">
        <v>0</v>
      </c>
    </row>
    <row r="340" spans="1:12" ht="15">
      <c r="A340" s="81" t="s">
        <v>3592</v>
      </c>
      <c r="B340" s="80" t="s">
        <v>3593</v>
      </c>
      <c r="C340" s="80">
        <v>3</v>
      </c>
      <c r="D340" s="105">
        <v>0.0012765254570881364</v>
      </c>
      <c r="E340" s="105">
        <v>3.1747380145272865</v>
      </c>
      <c r="F340" s="80" t="s">
        <v>3896</v>
      </c>
      <c r="G340" s="80" t="b">
        <v>0</v>
      </c>
      <c r="H340" s="80" t="b">
        <v>0</v>
      </c>
      <c r="I340" s="80" t="b">
        <v>0</v>
      </c>
      <c r="J340" s="80" t="b">
        <v>0</v>
      </c>
      <c r="K340" s="80" t="b">
        <v>0</v>
      </c>
      <c r="L340" s="80" t="b">
        <v>0</v>
      </c>
    </row>
    <row r="341" spans="1:12" ht="15">
      <c r="A341" s="81" t="s">
        <v>3593</v>
      </c>
      <c r="B341" s="80" t="s">
        <v>3260</v>
      </c>
      <c r="C341" s="80">
        <v>3</v>
      </c>
      <c r="D341" s="105">
        <v>0.0012765254570881364</v>
      </c>
      <c r="E341" s="105">
        <v>1.1440033975511181</v>
      </c>
      <c r="F341" s="80" t="s">
        <v>3896</v>
      </c>
      <c r="G341" s="80" t="b">
        <v>0</v>
      </c>
      <c r="H341" s="80" t="b">
        <v>0</v>
      </c>
      <c r="I341" s="80" t="b">
        <v>0</v>
      </c>
      <c r="J341" s="80" t="b">
        <v>0</v>
      </c>
      <c r="K341" s="80" t="b">
        <v>0</v>
      </c>
      <c r="L341" s="80" t="b">
        <v>0</v>
      </c>
    </row>
    <row r="342" spans="1:12" ht="15">
      <c r="A342" s="81" t="s">
        <v>3357</v>
      </c>
      <c r="B342" s="80" t="s">
        <v>3594</v>
      </c>
      <c r="C342" s="80">
        <v>3</v>
      </c>
      <c r="D342" s="105">
        <v>0.0012765254570881364</v>
      </c>
      <c r="E342" s="105">
        <v>2.7487692822550054</v>
      </c>
      <c r="F342" s="80" t="s">
        <v>3896</v>
      </c>
      <c r="G342" s="80" t="b">
        <v>0</v>
      </c>
      <c r="H342" s="80" t="b">
        <v>0</v>
      </c>
      <c r="I342" s="80" t="b">
        <v>0</v>
      </c>
      <c r="J342" s="80" t="b">
        <v>0</v>
      </c>
      <c r="K342" s="80" t="b">
        <v>0</v>
      </c>
      <c r="L342" s="80" t="b">
        <v>0</v>
      </c>
    </row>
    <row r="343" spans="1:12" ht="15">
      <c r="A343" s="81" t="s">
        <v>3594</v>
      </c>
      <c r="B343" s="80" t="s">
        <v>3315</v>
      </c>
      <c r="C343" s="80">
        <v>3</v>
      </c>
      <c r="D343" s="105">
        <v>0.0012765254570881364</v>
      </c>
      <c r="E343" s="105">
        <v>2.8737080188633053</v>
      </c>
      <c r="F343" s="80" t="s">
        <v>3896</v>
      </c>
      <c r="G343" s="80" t="b">
        <v>0</v>
      </c>
      <c r="H343" s="80" t="b">
        <v>0</v>
      </c>
      <c r="I343" s="80" t="b">
        <v>0</v>
      </c>
      <c r="J343" s="80" t="b">
        <v>0</v>
      </c>
      <c r="K343" s="80" t="b">
        <v>0</v>
      </c>
      <c r="L343" s="80" t="b">
        <v>0</v>
      </c>
    </row>
    <row r="344" spans="1:12" ht="15">
      <c r="A344" s="81" t="s">
        <v>3315</v>
      </c>
      <c r="B344" s="80" t="s">
        <v>3595</v>
      </c>
      <c r="C344" s="80">
        <v>3</v>
      </c>
      <c r="D344" s="105">
        <v>0.0012765254570881364</v>
      </c>
      <c r="E344" s="105">
        <v>2.537915916940112</v>
      </c>
      <c r="F344" s="80" t="s">
        <v>3896</v>
      </c>
      <c r="G344" s="80" t="b">
        <v>0</v>
      </c>
      <c r="H344" s="80" t="b">
        <v>0</v>
      </c>
      <c r="I344" s="80" t="b">
        <v>0</v>
      </c>
      <c r="J344" s="80" t="b">
        <v>0</v>
      </c>
      <c r="K344" s="80" t="b">
        <v>0</v>
      </c>
      <c r="L344" s="80" t="b">
        <v>0</v>
      </c>
    </row>
    <row r="345" spans="1:12" ht="15">
      <c r="A345" s="81" t="s">
        <v>3595</v>
      </c>
      <c r="B345" s="80" t="s">
        <v>3596</v>
      </c>
      <c r="C345" s="80">
        <v>3</v>
      </c>
      <c r="D345" s="105">
        <v>0.0012765254570881364</v>
      </c>
      <c r="E345" s="105">
        <v>3.1747380145272865</v>
      </c>
      <c r="F345" s="80" t="s">
        <v>3896</v>
      </c>
      <c r="G345" s="80" t="b">
        <v>0</v>
      </c>
      <c r="H345" s="80" t="b">
        <v>0</v>
      </c>
      <c r="I345" s="80" t="b">
        <v>0</v>
      </c>
      <c r="J345" s="80" t="b">
        <v>0</v>
      </c>
      <c r="K345" s="80" t="b">
        <v>0</v>
      </c>
      <c r="L345" s="80" t="b">
        <v>0</v>
      </c>
    </row>
    <row r="346" spans="1:12" ht="15">
      <c r="A346" s="81" t="s">
        <v>3596</v>
      </c>
      <c r="B346" s="80" t="s">
        <v>3597</v>
      </c>
      <c r="C346" s="80">
        <v>3</v>
      </c>
      <c r="D346" s="105">
        <v>0.0012765254570881364</v>
      </c>
      <c r="E346" s="105">
        <v>3.1747380145272865</v>
      </c>
      <c r="F346" s="80" t="s">
        <v>3896</v>
      </c>
      <c r="G346" s="80" t="b">
        <v>0</v>
      </c>
      <c r="H346" s="80" t="b">
        <v>0</v>
      </c>
      <c r="I346" s="80" t="b">
        <v>0</v>
      </c>
      <c r="J346" s="80" t="b">
        <v>0</v>
      </c>
      <c r="K346" s="80" t="b">
        <v>0</v>
      </c>
      <c r="L346" s="80" t="b">
        <v>0</v>
      </c>
    </row>
    <row r="347" spans="1:12" ht="15">
      <c r="A347" s="81" t="s">
        <v>3597</v>
      </c>
      <c r="B347" s="80" t="s">
        <v>3598</v>
      </c>
      <c r="C347" s="80">
        <v>3</v>
      </c>
      <c r="D347" s="105">
        <v>0.0012765254570881364</v>
      </c>
      <c r="E347" s="105">
        <v>3.1747380145272865</v>
      </c>
      <c r="F347" s="80" t="s">
        <v>3896</v>
      </c>
      <c r="G347" s="80" t="b">
        <v>0</v>
      </c>
      <c r="H347" s="80" t="b">
        <v>0</v>
      </c>
      <c r="I347" s="80" t="b">
        <v>0</v>
      </c>
      <c r="J347" s="80" t="b">
        <v>0</v>
      </c>
      <c r="K347" s="80" t="b">
        <v>0</v>
      </c>
      <c r="L347" s="80" t="b">
        <v>0</v>
      </c>
    </row>
    <row r="348" spans="1:12" ht="15">
      <c r="A348" s="81" t="s">
        <v>3598</v>
      </c>
      <c r="B348" s="80" t="s">
        <v>3397</v>
      </c>
      <c r="C348" s="80">
        <v>3</v>
      </c>
      <c r="D348" s="105">
        <v>0.0012765254570881364</v>
      </c>
      <c r="E348" s="105">
        <v>2.95288926491093</v>
      </c>
      <c r="F348" s="80" t="s">
        <v>3896</v>
      </c>
      <c r="G348" s="80" t="b">
        <v>0</v>
      </c>
      <c r="H348" s="80" t="b">
        <v>0</v>
      </c>
      <c r="I348" s="80" t="b">
        <v>0</v>
      </c>
      <c r="J348" s="80" t="b">
        <v>0</v>
      </c>
      <c r="K348" s="80" t="b">
        <v>0</v>
      </c>
      <c r="L348" s="80" t="b">
        <v>0</v>
      </c>
    </row>
    <row r="349" spans="1:12" ht="15">
      <c r="A349" s="81" t="s">
        <v>3397</v>
      </c>
      <c r="B349" s="80" t="s">
        <v>3599</v>
      </c>
      <c r="C349" s="80">
        <v>3</v>
      </c>
      <c r="D349" s="105">
        <v>0.0012765254570881364</v>
      </c>
      <c r="E349" s="105">
        <v>2.95288926491093</v>
      </c>
      <c r="F349" s="80" t="s">
        <v>3896</v>
      </c>
      <c r="G349" s="80" t="b">
        <v>0</v>
      </c>
      <c r="H349" s="80" t="b">
        <v>0</v>
      </c>
      <c r="I349" s="80" t="b">
        <v>0</v>
      </c>
      <c r="J349" s="80" t="b">
        <v>0</v>
      </c>
      <c r="K349" s="80" t="b">
        <v>0</v>
      </c>
      <c r="L349" s="80" t="b">
        <v>0</v>
      </c>
    </row>
    <row r="350" spans="1:12" ht="15">
      <c r="A350" s="81" t="s">
        <v>3599</v>
      </c>
      <c r="B350" s="80" t="s">
        <v>3600</v>
      </c>
      <c r="C350" s="80">
        <v>3</v>
      </c>
      <c r="D350" s="105">
        <v>0.0012765254570881364</v>
      </c>
      <c r="E350" s="105">
        <v>3.1747380145272865</v>
      </c>
      <c r="F350" s="80" t="s">
        <v>3896</v>
      </c>
      <c r="G350" s="80" t="b">
        <v>0</v>
      </c>
      <c r="H350" s="80" t="b">
        <v>0</v>
      </c>
      <c r="I350" s="80" t="b">
        <v>0</v>
      </c>
      <c r="J350" s="80" t="b">
        <v>0</v>
      </c>
      <c r="K350" s="80" t="b">
        <v>0</v>
      </c>
      <c r="L350" s="80" t="b">
        <v>0</v>
      </c>
    </row>
    <row r="351" spans="1:12" ht="15">
      <c r="A351" s="81" t="s">
        <v>3600</v>
      </c>
      <c r="B351" s="80" t="s">
        <v>3260</v>
      </c>
      <c r="C351" s="80">
        <v>3</v>
      </c>
      <c r="D351" s="105">
        <v>0.0012765254570881364</v>
      </c>
      <c r="E351" s="105">
        <v>1.1440033975511181</v>
      </c>
      <c r="F351" s="80" t="s">
        <v>3896</v>
      </c>
      <c r="G351" s="80" t="b">
        <v>0</v>
      </c>
      <c r="H351" s="80" t="b">
        <v>0</v>
      </c>
      <c r="I351" s="80" t="b">
        <v>0</v>
      </c>
      <c r="J351" s="80" t="b">
        <v>0</v>
      </c>
      <c r="K351" s="80" t="b">
        <v>0</v>
      </c>
      <c r="L351" s="80" t="b">
        <v>0</v>
      </c>
    </row>
    <row r="352" spans="1:12" ht="15">
      <c r="A352" s="81" t="s">
        <v>3260</v>
      </c>
      <c r="B352" s="80" t="s">
        <v>3269</v>
      </c>
      <c r="C352" s="80">
        <v>3</v>
      </c>
      <c r="D352" s="105">
        <v>0.0012765254570881364</v>
      </c>
      <c r="E352" s="105">
        <v>0.44719675749873017</v>
      </c>
      <c r="F352" s="80" t="s">
        <v>3896</v>
      </c>
      <c r="G352" s="80" t="b">
        <v>0</v>
      </c>
      <c r="H352" s="80" t="b">
        <v>0</v>
      </c>
      <c r="I352" s="80" t="b">
        <v>0</v>
      </c>
      <c r="J352" s="80" t="b">
        <v>0</v>
      </c>
      <c r="K352" s="80" t="b">
        <v>0</v>
      </c>
      <c r="L352" s="80" t="b">
        <v>0</v>
      </c>
    </row>
    <row r="353" spans="1:12" ht="15">
      <c r="A353" s="81" t="s">
        <v>3269</v>
      </c>
      <c r="B353" s="80" t="s">
        <v>3261</v>
      </c>
      <c r="C353" s="80">
        <v>3</v>
      </c>
      <c r="D353" s="105">
        <v>0.0012765254570881364</v>
      </c>
      <c r="E353" s="105">
        <v>1.3282634456842264</v>
      </c>
      <c r="F353" s="80" t="s">
        <v>3896</v>
      </c>
      <c r="G353" s="80" t="b">
        <v>0</v>
      </c>
      <c r="H353" s="80" t="b">
        <v>0</v>
      </c>
      <c r="I353" s="80" t="b">
        <v>0</v>
      </c>
      <c r="J353" s="80" t="b">
        <v>0</v>
      </c>
      <c r="K353" s="80" t="b">
        <v>0</v>
      </c>
      <c r="L353" s="80" t="b">
        <v>0</v>
      </c>
    </row>
    <row r="354" spans="1:12" ht="15">
      <c r="A354" s="81" t="s">
        <v>3374</v>
      </c>
      <c r="B354" s="80" t="s">
        <v>3382</v>
      </c>
      <c r="C354" s="80">
        <v>3</v>
      </c>
      <c r="D354" s="105">
        <v>0.0012765254570881364</v>
      </c>
      <c r="E354" s="105">
        <v>2.505731233568711</v>
      </c>
      <c r="F354" s="80" t="s">
        <v>3896</v>
      </c>
      <c r="G354" s="80" t="b">
        <v>0</v>
      </c>
      <c r="H354" s="80" t="b">
        <v>0</v>
      </c>
      <c r="I354" s="80" t="b">
        <v>0</v>
      </c>
      <c r="J354" s="80" t="b">
        <v>0</v>
      </c>
      <c r="K354" s="80" t="b">
        <v>0</v>
      </c>
      <c r="L354" s="80" t="b">
        <v>0</v>
      </c>
    </row>
    <row r="355" spans="1:12" ht="15">
      <c r="A355" s="81" t="s">
        <v>3382</v>
      </c>
      <c r="B355" s="80" t="s">
        <v>3601</v>
      </c>
      <c r="C355" s="80">
        <v>3</v>
      </c>
      <c r="D355" s="105">
        <v>0.0012765254570881364</v>
      </c>
      <c r="E355" s="105">
        <v>2.8737080188633053</v>
      </c>
      <c r="F355" s="80" t="s">
        <v>3896</v>
      </c>
      <c r="G355" s="80" t="b">
        <v>0</v>
      </c>
      <c r="H355" s="80" t="b">
        <v>0</v>
      </c>
      <c r="I355" s="80" t="b">
        <v>0</v>
      </c>
      <c r="J355" s="80" t="b">
        <v>0</v>
      </c>
      <c r="K355" s="80" t="b">
        <v>0</v>
      </c>
      <c r="L355" s="80" t="b">
        <v>0</v>
      </c>
    </row>
    <row r="356" spans="1:12" ht="15">
      <c r="A356" s="81" t="s">
        <v>3601</v>
      </c>
      <c r="B356" s="80" t="s">
        <v>3602</v>
      </c>
      <c r="C356" s="80">
        <v>3</v>
      </c>
      <c r="D356" s="105">
        <v>0.0012765254570881364</v>
      </c>
      <c r="E356" s="105">
        <v>3.1747380145272865</v>
      </c>
      <c r="F356" s="80" t="s">
        <v>3896</v>
      </c>
      <c r="G356" s="80" t="b">
        <v>0</v>
      </c>
      <c r="H356" s="80" t="b">
        <v>0</v>
      </c>
      <c r="I356" s="80" t="b">
        <v>0</v>
      </c>
      <c r="J356" s="80" t="b">
        <v>0</v>
      </c>
      <c r="K356" s="80" t="b">
        <v>0</v>
      </c>
      <c r="L356" s="80" t="b">
        <v>0</v>
      </c>
    </row>
    <row r="357" spans="1:12" ht="15">
      <c r="A357" s="81" t="s">
        <v>3602</v>
      </c>
      <c r="B357" s="80" t="s">
        <v>3603</v>
      </c>
      <c r="C357" s="80">
        <v>3</v>
      </c>
      <c r="D357" s="105">
        <v>0.0012765254570881364</v>
      </c>
      <c r="E357" s="105">
        <v>3.1747380145272865</v>
      </c>
      <c r="F357" s="80" t="s">
        <v>3896</v>
      </c>
      <c r="G357" s="80" t="b">
        <v>0</v>
      </c>
      <c r="H357" s="80" t="b">
        <v>0</v>
      </c>
      <c r="I357" s="80" t="b">
        <v>0</v>
      </c>
      <c r="J357" s="80" t="b">
        <v>0</v>
      </c>
      <c r="K357" s="80" t="b">
        <v>0</v>
      </c>
      <c r="L357" s="80" t="b">
        <v>0</v>
      </c>
    </row>
    <row r="358" spans="1:12" ht="15">
      <c r="A358" s="81" t="s">
        <v>3603</v>
      </c>
      <c r="B358" s="80" t="s">
        <v>497</v>
      </c>
      <c r="C358" s="80">
        <v>3</v>
      </c>
      <c r="D358" s="105">
        <v>0.0012765254570881364</v>
      </c>
      <c r="E358" s="105">
        <v>2.8737080188633053</v>
      </c>
      <c r="F358" s="80" t="s">
        <v>3896</v>
      </c>
      <c r="G358" s="80" t="b">
        <v>0</v>
      </c>
      <c r="H358" s="80" t="b">
        <v>0</v>
      </c>
      <c r="I358" s="80" t="b">
        <v>0</v>
      </c>
      <c r="J358" s="80" t="b">
        <v>0</v>
      </c>
      <c r="K358" s="80" t="b">
        <v>0</v>
      </c>
      <c r="L358" s="80" t="b">
        <v>0</v>
      </c>
    </row>
    <row r="359" spans="1:12" ht="15">
      <c r="A359" s="81" t="s">
        <v>497</v>
      </c>
      <c r="B359" s="80" t="s">
        <v>3260</v>
      </c>
      <c r="C359" s="80">
        <v>3</v>
      </c>
      <c r="D359" s="105">
        <v>0.0012765254570881364</v>
      </c>
      <c r="E359" s="105">
        <v>0.6668821428314556</v>
      </c>
      <c r="F359" s="80" t="s">
        <v>3896</v>
      </c>
      <c r="G359" s="80" t="b">
        <v>0</v>
      </c>
      <c r="H359" s="80" t="b">
        <v>0</v>
      </c>
      <c r="I359" s="80" t="b">
        <v>0</v>
      </c>
      <c r="J359" s="80" t="b">
        <v>0</v>
      </c>
      <c r="K359" s="80" t="b">
        <v>0</v>
      </c>
      <c r="L359" s="80" t="b">
        <v>0</v>
      </c>
    </row>
    <row r="360" spans="1:12" ht="15">
      <c r="A360" s="81" t="s">
        <v>3604</v>
      </c>
      <c r="B360" s="80" t="s">
        <v>3285</v>
      </c>
      <c r="C360" s="80">
        <v>3</v>
      </c>
      <c r="D360" s="105">
        <v>0.0012765254570881364</v>
      </c>
      <c r="E360" s="105">
        <v>2.3965867641436427</v>
      </c>
      <c r="F360" s="80" t="s">
        <v>3896</v>
      </c>
      <c r="G360" s="80" t="b">
        <v>0</v>
      </c>
      <c r="H360" s="80" t="b">
        <v>0</v>
      </c>
      <c r="I360" s="80" t="b">
        <v>0</v>
      </c>
      <c r="J360" s="80" t="b">
        <v>0</v>
      </c>
      <c r="K360" s="80" t="b">
        <v>0</v>
      </c>
      <c r="L360" s="80" t="b">
        <v>0</v>
      </c>
    </row>
    <row r="361" spans="1:12" ht="15">
      <c r="A361" s="81" t="s">
        <v>3285</v>
      </c>
      <c r="B361" s="80" t="s">
        <v>3605</v>
      </c>
      <c r="C361" s="80">
        <v>3</v>
      </c>
      <c r="D361" s="105">
        <v>0.0012765254570881364</v>
      </c>
      <c r="E361" s="105">
        <v>2.3965867641436427</v>
      </c>
      <c r="F361" s="80" t="s">
        <v>3896</v>
      </c>
      <c r="G361" s="80" t="b">
        <v>0</v>
      </c>
      <c r="H361" s="80" t="b">
        <v>0</v>
      </c>
      <c r="I361" s="80" t="b">
        <v>0</v>
      </c>
      <c r="J361" s="80" t="b">
        <v>0</v>
      </c>
      <c r="K361" s="80" t="b">
        <v>0</v>
      </c>
      <c r="L361" s="80" t="b">
        <v>0</v>
      </c>
    </row>
    <row r="362" spans="1:12" ht="15">
      <c r="A362" s="81" t="s">
        <v>3605</v>
      </c>
      <c r="B362" s="80" t="s">
        <v>3606</v>
      </c>
      <c r="C362" s="80">
        <v>3</v>
      </c>
      <c r="D362" s="105">
        <v>0.0012765254570881364</v>
      </c>
      <c r="E362" s="105">
        <v>3.1747380145272865</v>
      </c>
      <c r="F362" s="80" t="s">
        <v>3896</v>
      </c>
      <c r="G362" s="80" t="b">
        <v>0</v>
      </c>
      <c r="H362" s="80" t="b">
        <v>0</v>
      </c>
      <c r="I362" s="80" t="b">
        <v>0</v>
      </c>
      <c r="J362" s="80" t="b">
        <v>0</v>
      </c>
      <c r="K362" s="80" t="b">
        <v>0</v>
      </c>
      <c r="L362" s="80" t="b">
        <v>0</v>
      </c>
    </row>
    <row r="363" spans="1:12" ht="15">
      <c r="A363" s="81" t="s">
        <v>3606</v>
      </c>
      <c r="B363" s="80" t="s">
        <v>3607</v>
      </c>
      <c r="C363" s="80">
        <v>3</v>
      </c>
      <c r="D363" s="105">
        <v>0.0012765254570881364</v>
      </c>
      <c r="E363" s="105">
        <v>3.1747380145272865</v>
      </c>
      <c r="F363" s="80" t="s">
        <v>3896</v>
      </c>
      <c r="G363" s="80" t="b">
        <v>0</v>
      </c>
      <c r="H363" s="80" t="b">
        <v>0</v>
      </c>
      <c r="I363" s="80" t="b">
        <v>0</v>
      </c>
      <c r="J363" s="80" t="b">
        <v>0</v>
      </c>
      <c r="K363" s="80" t="b">
        <v>0</v>
      </c>
      <c r="L363" s="80" t="b">
        <v>0</v>
      </c>
    </row>
    <row r="364" spans="1:12" ht="15">
      <c r="A364" s="81" t="s">
        <v>3607</v>
      </c>
      <c r="B364" s="80" t="s">
        <v>3307</v>
      </c>
      <c r="C364" s="80">
        <v>3</v>
      </c>
      <c r="D364" s="105">
        <v>0.0012765254570881364</v>
      </c>
      <c r="E364" s="105">
        <v>2.505731233568711</v>
      </c>
      <c r="F364" s="80" t="s">
        <v>3896</v>
      </c>
      <c r="G364" s="80" t="b">
        <v>0</v>
      </c>
      <c r="H364" s="80" t="b">
        <v>0</v>
      </c>
      <c r="I364" s="80" t="b">
        <v>0</v>
      </c>
      <c r="J364" s="80" t="b">
        <v>0</v>
      </c>
      <c r="K364" s="80" t="b">
        <v>0</v>
      </c>
      <c r="L364" s="80" t="b">
        <v>0</v>
      </c>
    </row>
    <row r="365" spans="1:12" ht="15">
      <c r="A365" s="81" t="s">
        <v>3307</v>
      </c>
      <c r="B365" s="80" t="s">
        <v>3357</v>
      </c>
      <c r="C365" s="80">
        <v>3</v>
      </c>
      <c r="D365" s="105">
        <v>0.0012765254570881364</v>
      </c>
      <c r="E365" s="105">
        <v>2.2838824839523544</v>
      </c>
      <c r="F365" s="80" t="s">
        <v>3896</v>
      </c>
      <c r="G365" s="80" t="b">
        <v>0</v>
      </c>
      <c r="H365" s="80" t="b">
        <v>0</v>
      </c>
      <c r="I365" s="80" t="b">
        <v>0</v>
      </c>
      <c r="J365" s="80" t="b">
        <v>0</v>
      </c>
      <c r="K365" s="80" t="b">
        <v>0</v>
      </c>
      <c r="L365" s="80" t="b">
        <v>0</v>
      </c>
    </row>
    <row r="366" spans="1:12" ht="15">
      <c r="A366" s="81" t="s">
        <v>3357</v>
      </c>
      <c r="B366" s="80" t="s">
        <v>3608</v>
      </c>
      <c r="C366" s="80">
        <v>3</v>
      </c>
      <c r="D366" s="105">
        <v>0.0012765254570881364</v>
      </c>
      <c r="E366" s="105">
        <v>2.7487692822550054</v>
      </c>
      <c r="F366" s="80" t="s">
        <v>3896</v>
      </c>
      <c r="G366" s="80" t="b">
        <v>0</v>
      </c>
      <c r="H366" s="80" t="b">
        <v>0</v>
      </c>
      <c r="I366" s="80" t="b">
        <v>0</v>
      </c>
      <c r="J366" s="80" t="b">
        <v>0</v>
      </c>
      <c r="K366" s="80" t="b">
        <v>0</v>
      </c>
      <c r="L366" s="80" t="b">
        <v>0</v>
      </c>
    </row>
    <row r="367" spans="1:12" ht="15">
      <c r="A367" s="81" t="s">
        <v>3608</v>
      </c>
      <c r="B367" s="80" t="s">
        <v>3609</v>
      </c>
      <c r="C367" s="80">
        <v>3</v>
      </c>
      <c r="D367" s="105">
        <v>0.0012765254570881364</v>
      </c>
      <c r="E367" s="105">
        <v>3.1747380145272865</v>
      </c>
      <c r="F367" s="80" t="s">
        <v>3896</v>
      </c>
      <c r="G367" s="80" t="b">
        <v>0</v>
      </c>
      <c r="H367" s="80" t="b">
        <v>0</v>
      </c>
      <c r="I367" s="80" t="b">
        <v>0</v>
      </c>
      <c r="J367" s="80" t="b">
        <v>0</v>
      </c>
      <c r="K367" s="80" t="b">
        <v>0</v>
      </c>
      <c r="L367" s="80" t="b">
        <v>0</v>
      </c>
    </row>
    <row r="368" spans="1:12" ht="15">
      <c r="A368" s="81" t="s">
        <v>3609</v>
      </c>
      <c r="B368" s="80" t="s">
        <v>3260</v>
      </c>
      <c r="C368" s="80">
        <v>3</v>
      </c>
      <c r="D368" s="105">
        <v>0.0012765254570881364</v>
      </c>
      <c r="E368" s="105">
        <v>1.1440033975511181</v>
      </c>
      <c r="F368" s="80" t="s">
        <v>3896</v>
      </c>
      <c r="G368" s="80" t="b">
        <v>0</v>
      </c>
      <c r="H368" s="80" t="b">
        <v>0</v>
      </c>
      <c r="I368" s="80" t="b">
        <v>0</v>
      </c>
      <c r="J368" s="80" t="b">
        <v>0</v>
      </c>
      <c r="K368" s="80" t="b">
        <v>0</v>
      </c>
      <c r="L368" s="80" t="b">
        <v>0</v>
      </c>
    </row>
    <row r="369" spans="1:12" ht="15">
      <c r="A369" s="81" t="s">
        <v>3315</v>
      </c>
      <c r="B369" s="80" t="s">
        <v>3610</v>
      </c>
      <c r="C369" s="80">
        <v>3</v>
      </c>
      <c r="D369" s="105">
        <v>0.0012765254570881364</v>
      </c>
      <c r="E369" s="105">
        <v>2.537915916940112</v>
      </c>
      <c r="F369" s="80" t="s">
        <v>3896</v>
      </c>
      <c r="G369" s="80" t="b">
        <v>0</v>
      </c>
      <c r="H369" s="80" t="b">
        <v>0</v>
      </c>
      <c r="I369" s="80" t="b">
        <v>0</v>
      </c>
      <c r="J369" s="80" t="b">
        <v>0</v>
      </c>
      <c r="K369" s="80" t="b">
        <v>0</v>
      </c>
      <c r="L369" s="80" t="b">
        <v>0</v>
      </c>
    </row>
    <row r="370" spans="1:12" ht="15">
      <c r="A370" s="81" t="s">
        <v>3610</v>
      </c>
      <c r="B370" s="80" t="s">
        <v>3382</v>
      </c>
      <c r="C370" s="80">
        <v>3</v>
      </c>
      <c r="D370" s="105">
        <v>0.0012765254570881364</v>
      </c>
      <c r="E370" s="105">
        <v>2.8737080188633053</v>
      </c>
      <c r="F370" s="80" t="s">
        <v>3896</v>
      </c>
      <c r="G370" s="80" t="b">
        <v>0</v>
      </c>
      <c r="H370" s="80" t="b">
        <v>0</v>
      </c>
      <c r="I370" s="80" t="b">
        <v>0</v>
      </c>
      <c r="J370" s="80" t="b">
        <v>0</v>
      </c>
      <c r="K370" s="80" t="b">
        <v>0</v>
      </c>
      <c r="L370" s="80" t="b">
        <v>0</v>
      </c>
    </row>
    <row r="371" spans="1:12" ht="15">
      <c r="A371" s="81" t="s">
        <v>3382</v>
      </c>
      <c r="B371" s="80" t="s">
        <v>3285</v>
      </c>
      <c r="C371" s="80">
        <v>3</v>
      </c>
      <c r="D371" s="105">
        <v>0.0012765254570881364</v>
      </c>
      <c r="E371" s="105">
        <v>2.095556768479662</v>
      </c>
      <c r="F371" s="80" t="s">
        <v>3896</v>
      </c>
      <c r="G371" s="80" t="b">
        <v>0</v>
      </c>
      <c r="H371" s="80" t="b">
        <v>0</v>
      </c>
      <c r="I371" s="80" t="b">
        <v>0</v>
      </c>
      <c r="J371" s="80" t="b">
        <v>0</v>
      </c>
      <c r="K371" s="80" t="b">
        <v>0</v>
      </c>
      <c r="L371" s="80" t="b">
        <v>0</v>
      </c>
    </row>
    <row r="372" spans="1:12" ht="15">
      <c r="A372" s="81" t="s">
        <v>3285</v>
      </c>
      <c r="B372" s="80" t="s">
        <v>3611</v>
      </c>
      <c r="C372" s="80">
        <v>3</v>
      </c>
      <c r="D372" s="105">
        <v>0.0012765254570881364</v>
      </c>
      <c r="E372" s="105">
        <v>2.3965867641436427</v>
      </c>
      <c r="F372" s="80" t="s">
        <v>3896</v>
      </c>
      <c r="G372" s="80" t="b">
        <v>0</v>
      </c>
      <c r="H372" s="80" t="b">
        <v>0</v>
      </c>
      <c r="I372" s="80" t="b">
        <v>0</v>
      </c>
      <c r="J372" s="80" t="b">
        <v>0</v>
      </c>
      <c r="K372" s="80" t="b">
        <v>0</v>
      </c>
      <c r="L372" s="80" t="b">
        <v>0</v>
      </c>
    </row>
    <row r="373" spans="1:12" ht="15">
      <c r="A373" s="81" t="s">
        <v>3611</v>
      </c>
      <c r="B373" s="80" t="s">
        <v>3612</v>
      </c>
      <c r="C373" s="80">
        <v>3</v>
      </c>
      <c r="D373" s="105">
        <v>0.0012765254570881364</v>
      </c>
      <c r="E373" s="105">
        <v>3.1747380145272865</v>
      </c>
      <c r="F373" s="80" t="s">
        <v>3896</v>
      </c>
      <c r="G373" s="80" t="b">
        <v>0</v>
      </c>
      <c r="H373" s="80" t="b">
        <v>0</v>
      </c>
      <c r="I373" s="80" t="b">
        <v>0</v>
      </c>
      <c r="J373" s="80" t="b">
        <v>0</v>
      </c>
      <c r="K373" s="80" t="b">
        <v>0</v>
      </c>
      <c r="L373" s="80" t="b">
        <v>0</v>
      </c>
    </row>
    <row r="374" spans="1:12" ht="15">
      <c r="A374" s="81" t="s">
        <v>3612</v>
      </c>
      <c r="B374" s="80" t="s">
        <v>3613</v>
      </c>
      <c r="C374" s="80">
        <v>3</v>
      </c>
      <c r="D374" s="105">
        <v>0.0012765254570881364</v>
      </c>
      <c r="E374" s="105">
        <v>3.1747380145272865</v>
      </c>
      <c r="F374" s="80" t="s">
        <v>3896</v>
      </c>
      <c r="G374" s="80" t="b">
        <v>0</v>
      </c>
      <c r="H374" s="80" t="b">
        <v>0</v>
      </c>
      <c r="I374" s="80" t="b">
        <v>0</v>
      </c>
      <c r="J374" s="80" t="b">
        <v>0</v>
      </c>
      <c r="K374" s="80" t="b">
        <v>0</v>
      </c>
      <c r="L374" s="80" t="b">
        <v>0</v>
      </c>
    </row>
    <row r="375" spans="1:12" ht="15">
      <c r="A375" s="81" t="s">
        <v>3613</v>
      </c>
      <c r="B375" s="80" t="s">
        <v>3381</v>
      </c>
      <c r="C375" s="80">
        <v>3</v>
      </c>
      <c r="D375" s="105">
        <v>0.0012765254570881364</v>
      </c>
      <c r="E375" s="105">
        <v>2.8737080188633053</v>
      </c>
      <c r="F375" s="80" t="s">
        <v>3896</v>
      </c>
      <c r="G375" s="80" t="b">
        <v>0</v>
      </c>
      <c r="H375" s="80" t="b">
        <v>0</v>
      </c>
      <c r="I375" s="80" t="b">
        <v>0</v>
      </c>
      <c r="J375" s="80" t="b">
        <v>0</v>
      </c>
      <c r="K375" s="80" t="b">
        <v>0</v>
      </c>
      <c r="L375" s="80" t="b">
        <v>0</v>
      </c>
    </row>
    <row r="376" spans="1:12" ht="15">
      <c r="A376" s="81" t="s">
        <v>3381</v>
      </c>
      <c r="B376" s="80" t="s">
        <v>3614</v>
      </c>
      <c r="C376" s="80">
        <v>3</v>
      </c>
      <c r="D376" s="105">
        <v>0.0012765254570881364</v>
      </c>
      <c r="E376" s="105">
        <v>2.8737080188633053</v>
      </c>
      <c r="F376" s="80" t="s">
        <v>3896</v>
      </c>
      <c r="G376" s="80" t="b">
        <v>0</v>
      </c>
      <c r="H376" s="80" t="b">
        <v>0</v>
      </c>
      <c r="I376" s="80" t="b">
        <v>0</v>
      </c>
      <c r="J376" s="80" t="b">
        <v>0</v>
      </c>
      <c r="K376" s="80" t="b">
        <v>0</v>
      </c>
      <c r="L376" s="80" t="b">
        <v>0</v>
      </c>
    </row>
    <row r="377" spans="1:12" ht="15">
      <c r="A377" s="81" t="s">
        <v>3614</v>
      </c>
      <c r="B377" s="80" t="s">
        <v>3615</v>
      </c>
      <c r="C377" s="80">
        <v>3</v>
      </c>
      <c r="D377" s="105">
        <v>0.0012765254570881364</v>
      </c>
      <c r="E377" s="105">
        <v>3.1747380145272865</v>
      </c>
      <c r="F377" s="80" t="s">
        <v>3896</v>
      </c>
      <c r="G377" s="80" t="b">
        <v>0</v>
      </c>
      <c r="H377" s="80" t="b">
        <v>0</v>
      </c>
      <c r="I377" s="80" t="b">
        <v>0</v>
      </c>
      <c r="J377" s="80" t="b">
        <v>0</v>
      </c>
      <c r="K377" s="80" t="b">
        <v>0</v>
      </c>
      <c r="L377" s="80" t="b">
        <v>0</v>
      </c>
    </row>
    <row r="378" spans="1:12" ht="15">
      <c r="A378" s="81" t="s">
        <v>3615</v>
      </c>
      <c r="B378" s="80" t="s">
        <v>3616</v>
      </c>
      <c r="C378" s="80">
        <v>3</v>
      </c>
      <c r="D378" s="105">
        <v>0.0012765254570881364</v>
      </c>
      <c r="E378" s="105">
        <v>3.1747380145272865</v>
      </c>
      <c r="F378" s="80" t="s">
        <v>3896</v>
      </c>
      <c r="G378" s="80" t="b">
        <v>0</v>
      </c>
      <c r="H378" s="80" t="b">
        <v>0</v>
      </c>
      <c r="I378" s="80" t="b">
        <v>0</v>
      </c>
      <c r="J378" s="80" t="b">
        <v>0</v>
      </c>
      <c r="K378" s="80" t="b">
        <v>0</v>
      </c>
      <c r="L378" s="80" t="b">
        <v>0</v>
      </c>
    </row>
    <row r="379" spans="1:12" ht="15">
      <c r="A379" s="81" t="s">
        <v>3616</v>
      </c>
      <c r="B379" s="80" t="s">
        <v>3617</v>
      </c>
      <c r="C379" s="80">
        <v>3</v>
      </c>
      <c r="D379" s="105">
        <v>0.0012765254570881364</v>
      </c>
      <c r="E379" s="105">
        <v>3.1747380145272865</v>
      </c>
      <c r="F379" s="80" t="s">
        <v>3896</v>
      </c>
      <c r="G379" s="80" t="b">
        <v>0</v>
      </c>
      <c r="H379" s="80" t="b">
        <v>0</v>
      </c>
      <c r="I379" s="80" t="b">
        <v>0</v>
      </c>
      <c r="J379" s="80" t="b">
        <v>0</v>
      </c>
      <c r="K379" s="80" t="b">
        <v>0</v>
      </c>
      <c r="L379" s="80" t="b">
        <v>0</v>
      </c>
    </row>
    <row r="380" spans="1:12" ht="15">
      <c r="A380" s="81" t="s">
        <v>3617</v>
      </c>
      <c r="B380" s="80" t="s">
        <v>3285</v>
      </c>
      <c r="C380" s="80">
        <v>3</v>
      </c>
      <c r="D380" s="105">
        <v>0.0012765254570881364</v>
      </c>
      <c r="E380" s="105">
        <v>2.3965867641436427</v>
      </c>
      <c r="F380" s="80" t="s">
        <v>3896</v>
      </c>
      <c r="G380" s="80" t="b">
        <v>0</v>
      </c>
      <c r="H380" s="80" t="b">
        <v>0</v>
      </c>
      <c r="I380" s="80" t="b">
        <v>0</v>
      </c>
      <c r="J380" s="80" t="b">
        <v>0</v>
      </c>
      <c r="K380" s="80" t="b">
        <v>0</v>
      </c>
      <c r="L380" s="80" t="b">
        <v>0</v>
      </c>
    </row>
    <row r="381" spans="1:12" ht="15">
      <c r="A381" s="81" t="s">
        <v>3285</v>
      </c>
      <c r="B381" s="80" t="s">
        <v>3618</v>
      </c>
      <c r="C381" s="80">
        <v>3</v>
      </c>
      <c r="D381" s="105">
        <v>0.0012765254570881364</v>
      </c>
      <c r="E381" s="105">
        <v>2.3965867641436427</v>
      </c>
      <c r="F381" s="80" t="s">
        <v>3896</v>
      </c>
      <c r="G381" s="80" t="b">
        <v>0</v>
      </c>
      <c r="H381" s="80" t="b">
        <v>0</v>
      </c>
      <c r="I381" s="80" t="b">
        <v>0</v>
      </c>
      <c r="J381" s="80" t="b">
        <v>0</v>
      </c>
      <c r="K381" s="80" t="b">
        <v>0</v>
      </c>
      <c r="L381" s="80" t="b">
        <v>0</v>
      </c>
    </row>
    <row r="382" spans="1:12" ht="15">
      <c r="A382" s="81" t="s">
        <v>3618</v>
      </c>
      <c r="B382" s="80" t="s">
        <v>3619</v>
      </c>
      <c r="C382" s="80">
        <v>3</v>
      </c>
      <c r="D382" s="105">
        <v>0.0012765254570881364</v>
      </c>
      <c r="E382" s="105">
        <v>3.1747380145272865</v>
      </c>
      <c r="F382" s="80" t="s">
        <v>3896</v>
      </c>
      <c r="G382" s="80" t="b">
        <v>0</v>
      </c>
      <c r="H382" s="80" t="b">
        <v>0</v>
      </c>
      <c r="I382" s="80" t="b">
        <v>0</v>
      </c>
      <c r="J382" s="80" t="b">
        <v>0</v>
      </c>
      <c r="K382" s="80" t="b">
        <v>0</v>
      </c>
      <c r="L382" s="80" t="b">
        <v>0</v>
      </c>
    </row>
    <row r="383" spans="1:12" ht="15">
      <c r="A383" s="81" t="s">
        <v>3619</v>
      </c>
      <c r="B383" s="80" t="s">
        <v>3620</v>
      </c>
      <c r="C383" s="80">
        <v>3</v>
      </c>
      <c r="D383" s="105">
        <v>0.0012765254570881364</v>
      </c>
      <c r="E383" s="105">
        <v>3.1747380145272865</v>
      </c>
      <c r="F383" s="80" t="s">
        <v>3896</v>
      </c>
      <c r="G383" s="80" t="b">
        <v>0</v>
      </c>
      <c r="H383" s="80" t="b">
        <v>0</v>
      </c>
      <c r="I383" s="80" t="b">
        <v>0</v>
      </c>
      <c r="J383" s="80" t="b">
        <v>0</v>
      </c>
      <c r="K383" s="80" t="b">
        <v>0</v>
      </c>
      <c r="L383" s="80" t="b">
        <v>0</v>
      </c>
    </row>
    <row r="384" spans="1:12" ht="15">
      <c r="A384" s="81" t="s">
        <v>3620</v>
      </c>
      <c r="B384" s="80" t="s">
        <v>3621</v>
      </c>
      <c r="C384" s="80">
        <v>3</v>
      </c>
      <c r="D384" s="105">
        <v>0.0012765254570881364</v>
      </c>
      <c r="E384" s="105">
        <v>3.1747380145272865</v>
      </c>
      <c r="F384" s="80" t="s">
        <v>3896</v>
      </c>
      <c r="G384" s="80" t="b">
        <v>0</v>
      </c>
      <c r="H384" s="80" t="b">
        <v>0</v>
      </c>
      <c r="I384" s="80" t="b">
        <v>0</v>
      </c>
      <c r="J384" s="80" t="b">
        <v>0</v>
      </c>
      <c r="K384" s="80" t="b">
        <v>0</v>
      </c>
      <c r="L384" s="80" t="b">
        <v>0</v>
      </c>
    </row>
    <row r="385" spans="1:12" ht="15">
      <c r="A385" s="81" t="s">
        <v>3621</v>
      </c>
      <c r="B385" s="80" t="s">
        <v>3260</v>
      </c>
      <c r="C385" s="80">
        <v>3</v>
      </c>
      <c r="D385" s="105">
        <v>0.0012765254570881364</v>
      </c>
      <c r="E385" s="105">
        <v>1.1440033975511181</v>
      </c>
      <c r="F385" s="80" t="s">
        <v>3896</v>
      </c>
      <c r="G385" s="80" t="b">
        <v>0</v>
      </c>
      <c r="H385" s="80" t="b">
        <v>0</v>
      </c>
      <c r="I385" s="80" t="b">
        <v>0</v>
      </c>
      <c r="J385" s="80" t="b">
        <v>0</v>
      </c>
      <c r="K385" s="80" t="b">
        <v>0</v>
      </c>
      <c r="L385" s="80" t="b">
        <v>0</v>
      </c>
    </row>
    <row r="386" spans="1:12" ht="15">
      <c r="A386" s="81" t="s">
        <v>501</v>
      </c>
      <c r="B386" s="80" t="s">
        <v>3260</v>
      </c>
      <c r="C386" s="80">
        <v>3</v>
      </c>
      <c r="D386" s="105">
        <v>0.0012765254570881364</v>
      </c>
      <c r="E386" s="105">
        <v>0.7760266122565237</v>
      </c>
      <c r="F386" s="80" t="s">
        <v>3896</v>
      </c>
      <c r="G386" s="80" t="b">
        <v>0</v>
      </c>
      <c r="H386" s="80" t="b">
        <v>0</v>
      </c>
      <c r="I386" s="80" t="b">
        <v>0</v>
      </c>
      <c r="J386" s="80" t="b">
        <v>0</v>
      </c>
      <c r="K386" s="80" t="b">
        <v>0</v>
      </c>
      <c r="L386" s="80" t="b">
        <v>0</v>
      </c>
    </row>
    <row r="387" spans="1:12" ht="15">
      <c r="A387" s="81" t="s">
        <v>3360</v>
      </c>
      <c r="B387" s="80" t="s">
        <v>3340</v>
      </c>
      <c r="C387" s="80">
        <v>3</v>
      </c>
      <c r="D387" s="105">
        <v>0.0012765254570881364</v>
      </c>
      <c r="E387" s="105">
        <v>2.447739286591024</v>
      </c>
      <c r="F387" s="80" t="s">
        <v>3896</v>
      </c>
      <c r="G387" s="80" t="b">
        <v>0</v>
      </c>
      <c r="H387" s="80" t="b">
        <v>0</v>
      </c>
      <c r="I387" s="80" t="b">
        <v>0</v>
      </c>
      <c r="J387" s="80" t="b">
        <v>0</v>
      </c>
      <c r="K387" s="80" t="b">
        <v>0</v>
      </c>
      <c r="L387" s="80" t="b">
        <v>0</v>
      </c>
    </row>
    <row r="388" spans="1:12" ht="15">
      <c r="A388" s="81" t="s">
        <v>3401</v>
      </c>
      <c r="B388" s="80" t="s">
        <v>3628</v>
      </c>
      <c r="C388" s="80">
        <v>3</v>
      </c>
      <c r="D388" s="105">
        <v>0.0012765254570881364</v>
      </c>
      <c r="E388" s="105">
        <v>2.95288926491093</v>
      </c>
      <c r="F388" s="80" t="s">
        <v>3896</v>
      </c>
      <c r="G388" s="80" t="b">
        <v>1</v>
      </c>
      <c r="H388" s="80" t="b">
        <v>0</v>
      </c>
      <c r="I388" s="80" t="b">
        <v>0</v>
      </c>
      <c r="J388" s="80" t="b">
        <v>1</v>
      </c>
      <c r="K388" s="80" t="b">
        <v>0</v>
      </c>
      <c r="L388" s="80" t="b">
        <v>0</v>
      </c>
    </row>
    <row r="389" spans="1:12" ht="15">
      <c r="A389" s="81" t="s">
        <v>3479</v>
      </c>
      <c r="B389" s="80" t="s">
        <v>3262</v>
      </c>
      <c r="C389" s="80">
        <v>3</v>
      </c>
      <c r="D389" s="105">
        <v>0.0012765254570881364</v>
      </c>
      <c r="E389" s="105">
        <v>1.82795052830263</v>
      </c>
      <c r="F389" s="80" t="s">
        <v>3896</v>
      </c>
      <c r="G389" s="80" t="b">
        <v>0</v>
      </c>
      <c r="H389" s="80" t="b">
        <v>0</v>
      </c>
      <c r="I389" s="80" t="b">
        <v>0</v>
      </c>
      <c r="J389" s="80" t="b">
        <v>0</v>
      </c>
      <c r="K389" s="80" t="b">
        <v>0</v>
      </c>
      <c r="L389" s="80" t="b">
        <v>0</v>
      </c>
    </row>
    <row r="390" spans="1:12" ht="15">
      <c r="A390" s="81" t="s">
        <v>3636</v>
      </c>
      <c r="B390" s="80" t="s">
        <v>3637</v>
      </c>
      <c r="C390" s="80">
        <v>3</v>
      </c>
      <c r="D390" s="105">
        <v>0.0012765254570881364</v>
      </c>
      <c r="E390" s="105">
        <v>3.1747380145272865</v>
      </c>
      <c r="F390" s="80" t="s">
        <v>3896</v>
      </c>
      <c r="G390" s="80" t="b">
        <v>0</v>
      </c>
      <c r="H390" s="80" t="b">
        <v>0</v>
      </c>
      <c r="I390" s="80" t="b">
        <v>0</v>
      </c>
      <c r="J390" s="80" t="b">
        <v>0</v>
      </c>
      <c r="K390" s="80" t="b">
        <v>0</v>
      </c>
      <c r="L390" s="80" t="b">
        <v>0</v>
      </c>
    </row>
    <row r="391" spans="1:12" ht="15">
      <c r="A391" s="81" t="s">
        <v>3637</v>
      </c>
      <c r="B391" s="80" t="s">
        <v>3638</v>
      </c>
      <c r="C391" s="80">
        <v>3</v>
      </c>
      <c r="D391" s="105">
        <v>0.0012765254570881364</v>
      </c>
      <c r="E391" s="105">
        <v>3.1747380145272865</v>
      </c>
      <c r="F391" s="80" t="s">
        <v>3896</v>
      </c>
      <c r="G391" s="80" t="b">
        <v>0</v>
      </c>
      <c r="H391" s="80" t="b">
        <v>0</v>
      </c>
      <c r="I391" s="80" t="b">
        <v>0</v>
      </c>
      <c r="J391" s="80" t="b">
        <v>0</v>
      </c>
      <c r="K391" s="80" t="b">
        <v>0</v>
      </c>
      <c r="L391" s="80" t="b">
        <v>0</v>
      </c>
    </row>
    <row r="392" spans="1:12" ht="15">
      <c r="A392" s="81" t="s">
        <v>3638</v>
      </c>
      <c r="B392" s="80" t="s">
        <v>3639</v>
      </c>
      <c r="C392" s="80">
        <v>3</v>
      </c>
      <c r="D392" s="105">
        <v>0.0012765254570881364</v>
      </c>
      <c r="E392" s="105">
        <v>3.1747380145272865</v>
      </c>
      <c r="F392" s="80" t="s">
        <v>3896</v>
      </c>
      <c r="G392" s="80" t="b">
        <v>0</v>
      </c>
      <c r="H392" s="80" t="b">
        <v>0</v>
      </c>
      <c r="I392" s="80" t="b">
        <v>0</v>
      </c>
      <c r="J392" s="80" t="b">
        <v>0</v>
      </c>
      <c r="K392" s="80" t="b">
        <v>0</v>
      </c>
      <c r="L392" s="80" t="b">
        <v>0</v>
      </c>
    </row>
    <row r="393" spans="1:12" ht="15">
      <c r="A393" s="81" t="s">
        <v>3639</v>
      </c>
      <c r="B393" s="80" t="s">
        <v>3640</v>
      </c>
      <c r="C393" s="80">
        <v>3</v>
      </c>
      <c r="D393" s="105">
        <v>0.0012765254570881364</v>
      </c>
      <c r="E393" s="105">
        <v>3.1747380145272865</v>
      </c>
      <c r="F393" s="80" t="s">
        <v>3896</v>
      </c>
      <c r="G393" s="80" t="b">
        <v>0</v>
      </c>
      <c r="H393" s="80" t="b">
        <v>0</v>
      </c>
      <c r="I393" s="80" t="b">
        <v>0</v>
      </c>
      <c r="J393" s="80" t="b">
        <v>0</v>
      </c>
      <c r="K393" s="80" t="b">
        <v>0</v>
      </c>
      <c r="L393" s="80" t="b">
        <v>0</v>
      </c>
    </row>
    <row r="394" spans="1:12" ht="15">
      <c r="A394" s="81" t="s">
        <v>3640</v>
      </c>
      <c r="B394" s="80" t="s">
        <v>3641</v>
      </c>
      <c r="C394" s="80">
        <v>3</v>
      </c>
      <c r="D394" s="105">
        <v>0.0012765254570881364</v>
      </c>
      <c r="E394" s="105">
        <v>3.1747380145272865</v>
      </c>
      <c r="F394" s="80" t="s">
        <v>3896</v>
      </c>
      <c r="G394" s="80" t="b">
        <v>0</v>
      </c>
      <c r="H394" s="80" t="b">
        <v>0</v>
      </c>
      <c r="I394" s="80" t="b">
        <v>0</v>
      </c>
      <c r="J394" s="80" t="b">
        <v>0</v>
      </c>
      <c r="K394" s="80" t="b">
        <v>0</v>
      </c>
      <c r="L394" s="80" t="b">
        <v>0</v>
      </c>
    </row>
    <row r="395" spans="1:12" ht="15">
      <c r="A395" s="81" t="s">
        <v>3641</v>
      </c>
      <c r="B395" s="80" t="s">
        <v>3642</v>
      </c>
      <c r="C395" s="80">
        <v>3</v>
      </c>
      <c r="D395" s="105">
        <v>0.0012765254570881364</v>
      </c>
      <c r="E395" s="105">
        <v>3.1747380145272865</v>
      </c>
      <c r="F395" s="80" t="s">
        <v>3896</v>
      </c>
      <c r="G395" s="80" t="b">
        <v>0</v>
      </c>
      <c r="H395" s="80" t="b">
        <v>0</v>
      </c>
      <c r="I395" s="80" t="b">
        <v>0</v>
      </c>
      <c r="J395" s="80" t="b">
        <v>0</v>
      </c>
      <c r="K395" s="80" t="b">
        <v>0</v>
      </c>
      <c r="L395" s="80" t="b">
        <v>0</v>
      </c>
    </row>
    <row r="396" spans="1:12" ht="15">
      <c r="A396" s="81" t="s">
        <v>3642</v>
      </c>
      <c r="B396" s="80" t="s">
        <v>3389</v>
      </c>
      <c r="C396" s="80">
        <v>3</v>
      </c>
      <c r="D396" s="105">
        <v>0.0012765254570881364</v>
      </c>
      <c r="E396" s="105">
        <v>2.8737080188633053</v>
      </c>
      <c r="F396" s="80" t="s">
        <v>3896</v>
      </c>
      <c r="G396" s="80" t="b">
        <v>0</v>
      </c>
      <c r="H396" s="80" t="b">
        <v>0</v>
      </c>
      <c r="I396" s="80" t="b">
        <v>0</v>
      </c>
      <c r="J396" s="80" t="b">
        <v>0</v>
      </c>
      <c r="K396" s="80" t="b">
        <v>0</v>
      </c>
      <c r="L396" s="80" t="b">
        <v>0</v>
      </c>
    </row>
    <row r="397" spans="1:12" ht="15">
      <c r="A397" s="81" t="s">
        <v>3389</v>
      </c>
      <c r="B397" s="80" t="s">
        <v>3643</v>
      </c>
      <c r="C397" s="80">
        <v>3</v>
      </c>
      <c r="D397" s="105">
        <v>0.0012765254570881364</v>
      </c>
      <c r="E397" s="105">
        <v>2.8737080188633053</v>
      </c>
      <c r="F397" s="80" t="s">
        <v>3896</v>
      </c>
      <c r="G397" s="80" t="b">
        <v>0</v>
      </c>
      <c r="H397" s="80" t="b">
        <v>0</v>
      </c>
      <c r="I397" s="80" t="b">
        <v>0</v>
      </c>
      <c r="J397" s="80" t="b">
        <v>0</v>
      </c>
      <c r="K397" s="80" t="b">
        <v>0</v>
      </c>
      <c r="L397" s="80" t="b">
        <v>0</v>
      </c>
    </row>
    <row r="398" spans="1:12" ht="15">
      <c r="A398" s="81" t="s">
        <v>3643</v>
      </c>
      <c r="B398" s="80" t="s">
        <v>3473</v>
      </c>
      <c r="C398" s="80">
        <v>3</v>
      </c>
      <c r="D398" s="105">
        <v>0.0012765254570881364</v>
      </c>
      <c r="E398" s="105">
        <v>3.0497992779189866</v>
      </c>
      <c r="F398" s="80" t="s">
        <v>3896</v>
      </c>
      <c r="G398" s="80" t="b">
        <v>0</v>
      </c>
      <c r="H398" s="80" t="b">
        <v>0</v>
      </c>
      <c r="I398" s="80" t="b">
        <v>0</v>
      </c>
      <c r="J398" s="80" t="b">
        <v>0</v>
      </c>
      <c r="K398" s="80" t="b">
        <v>0</v>
      </c>
      <c r="L398" s="80" t="b">
        <v>0</v>
      </c>
    </row>
    <row r="399" spans="1:12" ht="15">
      <c r="A399" s="81" t="s">
        <v>3473</v>
      </c>
      <c r="B399" s="80" t="s">
        <v>3496</v>
      </c>
      <c r="C399" s="80">
        <v>3</v>
      </c>
      <c r="D399" s="105">
        <v>0.0012765254570881364</v>
      </c>
      <c r="E399" s="105">
        <v>2.9248605413106867</v>
      </c>
      <c r="F399" s="80" t="s">
        <v>3896</v>
      </c>
      <c r="G399" s="80" t="b">
        <v>0</v>
      </c>
      <c r="H399" s="80" t="b">
        <v>0</v>
      </c>
      <c r="I399" s="80" t="b">
        <v>0</v>
      </c>
      <c r="J399" s="80" t="b">
        <v>0</v>
      </c>
      <c r="K399" s="80" t="b">
        <v>0</v>
      </c>
      <c r="L399" s="80" t="b">
        <v>0</v>
      </c>
    </row>
    <row r="400" spans="1:12" ht="15">
      <c r="A400" s="81" t="s">
        <v>3496</v>
      </c>
      <c r="B400" s="80" t="s">
        <v>3644</v>
      </c>
      <c r="C400" s="80">
        <v>3</v>
      </c>
      <c r="D400" s="105">
        <v>0.0012765254570881364</v>
      </c>
      <c r="E400" s="105">
        <v>3.0497992779189866</v>
      </c>
      <c r="F400" s="80" t="s">
        <v>3896</v>
      </c>
      <c r="G400" s="80" t="b">
        <v>0</v>
      </c>
      <c r="H400" s="80" t="b">
        <v>0</v>
      </c>
      <c r="I400" s="80" t="b">
        <v>0</v>
      </c>
      <c r="J400" s="80" t="b">
        <v>0</v>
      </c>
      <c r="K400" s="80" t="b">
        <v>0</v>
      </c>
      <c r="L400" s="80" t="b">
        <v>0</v>
      </c>
    </row>
    <row r="401" spans="1:12" ht="15">
      <c r="A401" s="81" t="s">
        <v>3644</v>
      </c>
      <c r="B401" s="80" t="s">
        <v>3645</v>
      </c>
      <c r="C401" s="80">
        <v>3</v>
      </c>
      <c r="D401" s="105">
        <v>0.0012765254570881364</v>
      </c>
      <c r="E401" s="105">
        <v>3.1747380145272865</v>
      </c>
      <c r="F401" s="80" t="s">
        <v>3896</v>
      </c>
      <c r="G401" s="80" t="b">
        <v>0</v>
      </c>
      <c r="H401" s="80" t="b">
        <v>0</v>
      </c>
      <c r="I401" s="80" t="b">
        <v>0</v>
      </c>
      <c r="J401" s="80" t="b">
        <v>0</v>
      </c>
      <c r="K401" s="80" t="b">
        <v>0</v>
      </c>
      <c r="L401" s="80" t="b">
        <v>0</v>
      </c>
    </row>
    <row r="402" spans="1:12" ht="15">
      <c r="A402" s="81" t="s">
        <v>3645</v>
      </c>
      <c r="B402" s="80" t="s">
        <v>3390</v>
      </c>
      <c r="C402" s="80">
        <v>3</v>
      </c>
      <c r="D402" s="105">
        <v>0.0012765254570881364</v>
      </c>
      <c r="E402" s="105">
        <v>2.8737080188633053</v>
      </c>
      <c r="F402" s="80" t="s">
        <v>3896</v>
      </c>
      <c r="G402" s="80" t="b">
        <v>0</v>
      </c>
      <c r="H402" s="80" t="b">
        <v>0</v>
      </c>
      <c r="I402" s="80" t="b">
        <v>0</v>
      </c>
      <c r="J402" s="80" t="b">
        <v>0</v>
      </c>
      <c r="K402" s="80" t="b">
        <v>0</v>
      </c>
      <c r="L402" s="80" t="b">
        <v>0</v>
      </c>
    </row>
    <row r="403" spans="1:12" ht="15">
      <c r="A403" s="81" t="s">
        <v>3390</v>
      </c>
      <c r="B403" s="80" t="s">
        <v>3646</v>
      </c>
      <c r="C403" s="80">
        <v>3</v>
      </c>
      <c r="D403" s="105">
        <v>0.0012765254570881364</v>
      </c>
      <c r="E403" s="105">
        <v>2.8737080188633053</v>
      </c>
      <c r="F403" s="80" t="s">
        <v>3896</v>
      </c>
      <c r="G403" s="80" t="b">
        <v>0</v>
      </c>
      <c r="H403" s="80" t="b">
        <v>0</v>
      </c>
      <c r="I403" s="80" t="b">
        <v>0</v>
      </c>
      <c r="J403" s="80" t="b">
        <v>0</v>
      </c>
      <c r="K403" s="80" t="b">
        <v>0</v>
      </c>
      <c r="L403" s="80" t="b">
        <v>0</v>
      </c>
    </row>
    <row r="404" spans="1:12" ht="15">
      <c r="A404" s="81" t="s">
        <v>3646</v>
      </c>
      <c r="B404" s="80" t="s">
        <v>3647</v>
      </c>
      <c r="C404" s="80">
        <v>3</v>
      </c>
      <c r="D404" s="105">
        <v>0.0012765254570881364</v>
      </c>
      <c r="E404" s="105">
        <v>3.1747380145272865</v>
      </c>
      <c r="F404" s="80" t="s">
        <v>3896</v>
      </c>
      <c r="G404" s="80" t="b">
        <v>0</v>
      </c>
      <c r="H404" s="80" t="b">
        <v>0</v>
      </c>
      <c r="I404" s="80" t="b">
        <v>0</v>
      </c>
      <c r="J404" s="80" t="b">
        <v>0</v>
      </c>
      <c r="K404" s="80" t="b">
        <v>0</v>
      </c>
      <c r="L404" s="80" t="b">
        <v>0</v>
      </c>
    </row>
    <row r="405" spans="1:12" ht="15">
      <c r="A405" s="81" t="s">
        <v>3647</v>
      </c>
      <c r="B405" s="80" t="s">
        <v>3317</v>
      </c>
      <c r="C405" s="80">
        <v>3</v>
      </c>
      <c r="D405" s="105">
        <v>0.0012765254570881364</v>
      </c>
      <c r="E405" s="105">
        <v>2.537915916940112</v>
      </c>
      <c r="F405" s="80" t="s">
        <v>3896</v>
      </c>
      <c r="G405" s="80" t="b">
        <v>0</v>
      </c>
      <c r="H405" s="80" t="b">
        <v>0</v>
      </c>
      <c r="I405" s="80" t="b">
        <v>0</v>
      </c>
      <c r="J405" s="80" t="b">
        <v>0</v>
      </c>
      <c r="K405" s="80" t="b">
        <v>0</v>
      </c>
      <c r="L405" s="80" t="b">
        <v>0</v>
      </c>
    </row>
    <row r="406" spans="1:12" ht="15">
      <c r="A406" s="81" t="s">
        <v>3317</v>
      </c>
      <c r="B406" s="80" t="s">
        <v>3648</v>
      </c>
      <c r="C406" s="80">
        <v>3</v>
      </c>
      <c r="D406" s="105">
        <v>0.0012765254570881364</v>
      </c>
      <c r="E406" s="105">
        <v>2.537915916940112</v>
      </c>
      <c r="F406" s="80" t="s">
        <v>3896</v>
      </c>
      <c r="G406" s="80" t="b">
        <v>0</v>
      </c>
      <c r="H406" s="80" t="b">
        <v>0</v>
      </c>
      <c r="I406" s="80" t="b">
        <v>0</v>
      </c>
      <c r="J406" s="80" t="b">
        <v>0</v>
      </c>
      <c r="K406" s="80" t="b">
        <v>0</v>
      </c>
      <c r="L406" s="80" t="b">
        <v>0</v>
      </c>
    </row>
    <row r="407" spans="1:12" ht="15">
      <c r="A407" s="81" t="s">
        <v>3648</v>
      </c>
      <c r="B407" s="80" t="s">
        <v>3477</v>
      </c>
      <c r="C407" s="80">
        <v>3</v>
      </c>
      <c r="D407" s="105">
        <v>0.0012765254570881364</v>
      </c>
      <c r="E407" s="105">
        <v>3.0497992779189866</v>
      </c>
      <c r="F407" s="80" t="s">
        <v>3896</v>
      </c>
      <c r="G407" s="80" t="b">
        <v>0</v>
      </c>
      <c r="H407" s="80" t="b">
        <v>0</v>
      </c>
      <c r="I407" s="80" t="b">
        <v>0</v>
      </c>
      <c r="J407" s="80" t="b">
        <v>0</v>
      </c>
      <c r="K407" s="80" t="b">
        <v>0</v>
      </c>
      <c r="L407" s="80" t="b">
        <v>0</v>
      </c>
    </row>
    <row r="408" spans="1:12" ht="15">
      <c r="A408" s="81" t="s">
        <v>3477</v>
      </c>
      <c r="B408" s="80" t="s">
        <v>3649</v>
      </c>
      <c r="C408" s="80">
        <v>3</v>
      </c>
      <c r="D408" s="105">
        <v>0.0012765254570881364</v>
      </c>
      <c r="E408" s="105">
        <v>3.0497992779189866</v>
      </c>
      <c r="F408" s="80" t="s">
        <v>3896</v>
      </c>
      <c r="G408" s="80" t="b">
        <v>0</v>
      </c>
      <c r="H408" s="80" t="b">
        <v>0</v>
      </c>
      <c r="I408" s="80" t="b">
        <v>0</v>
      </c>
      <c r="J408" s="80" t="b">
        <v>0</v>
      </c>
      <c r="K408" s="80" t="b">
        <v>0</v>
      </c>
      <c r="L408" s="80" t="b">
        <v>0</v>
      </c>
    </row>
    <row r="409" spans="1:12" ht="15">
      <c r="A409" s="81" t="s">
        <v>3649</v>
      </c>
      <c r="B409" s="80" t="s">
        <v>3390</v>
      </c>
      <c r="C409" s="80">
        <v>3</v>
      </c>
      <c r="D409" s="105">
        <v>0.0012765254570881364</v>
      </c>
      <c r="E409" s="105">
        <v>2.8737080188633053</v>
      </c>
      <c r="F409" s="80" t="s">
        <v>3896</v>
      </c>
      <c r="G409" s="80" t="b">
        <v>0</v>
      </c>
      <c r="H409" s="80" t="b">
        <v>0</v>
      </c>
      <c r="I409" s="80" t="b">
        <v>0</v>
      </c>
      <c r="J409" s="80" t="b">
        <v>0</v>
      </c>
      <c r="K409" s="80" t="b">
        <v>0</v>
      </c>
      <c r="L409" s="80" t="b">
        <v>0</v>
      </c>
    </row>
    <row r="410" spans="1:12" ht="15">
      <c r="A410" s="81" t="s">
        <v>3390</v>
      </c>
      <c r="B410" s="80" t="s">
        <v>3650</v>
      </c>
      <c r="C410" s="80">
        <v>3</v>
      </c>
      <c r="D410" s="105">
        <v>0.0012765254570881364</v>
      </c>
      <c r="E410" s="105">
        <v>2.8737080188633053</v>
      </c>
      <c r="F410" s="80" t="s">
        <v>3896</v>
      </c>
      <c r="G410" s="80" t="b">
        <v>0</v>
      </c>
      <c r="H410" s="80" t="b">
        <v>0</v>
      </c>
      <c r="I410" s="80" t="b">
        <v>0</v>
      </c>
      <c r="J410" s="80" t="b">
        <v>0</v>
      </c>
      <c r="K410" s="80" t="b">
        <v>0</v>
      </c>
      <c r="L410" s="80" t="b">
        <v>0</v>
      </c>
    </row>
    <row r="411" spans="1:12" ht="15">
      <c r="A411" s="81" t="s">
        <v>3650</v>
      </c>
      <c r="B411" s="80" t="s">
        <v>3260</v>
      </c>
      <c r="C411" s="80">
        <v>3</v>
      </c>
      <c r="D411" s="105">
        <v>0.0012765254570881364</v>
      </c>
      <c r="E411" s="105">
        <v>1.1440033975511181</v>
      </c>
      <c r="F411" s="80" t="s">
        <v>3896</v>
      </c>
      <c r="G411" s="80" t="b">
        <v>0</v>
      </c>
      <c r="H411" s="80" t="b">
        <v>0</v>
      </c>
      <c r="I411" s="80" t="b">
        <v>0</v>
      </c>
      <c r="J411" s="80" t="b">
        <v>0</v>
      </c>
      <c r="K411" s="80" t="b">
        <v>0</v>
      </c>
      <c r="L411" s="80" t="b">
        <v>0</v>
      </c>
    </row>
    <row r="412" spans="1:12" ht="15">
      <c r="A412" s="81" t="s">
        <v>3260</v>
      </c>
      <c r="B412" s="80" t="s">
        <v>3651</v>
      </c>
      <c r="C412" s="80">
        <v>3</v>
      </c>
      <c r="D412" s="105">
        <v>0.0012765254570881364</v>
      </c>
      <c r="E412" s="105">
        <v>1.4014392669380549</v>
      </c>
      <c r="F412" s="80" t="s">
        <v>3896</v>
      </c>
      <c r="G412" s="80" t="b">
        <v>0</v>
      </c>
      <c r="H412" s="80" t="b">
        <v>0</v>
      </c>
      <c r="I412" s="80" t="b">
        <v>0</v>
      </c>
      <c r="J412" s="80" t="b">
        <v>0</v>
      </c>
      <c r="K412" s="80" t="b">
        <v>0</v>
      </c>
      <c r="L412" s="80" t="b">
        <v>0</v>
      </c>
    </row>
    <row r="413" spans="1:12" ht="15">
      <c r="A413" s="81" t="s">
        <v>3651</v>
      </c>
      <c r="B413" s="80" t="s">
        <v>3652</v>
      </c>
      <c r="C413" s="80">
        <v>3</v>
      </c>
      <c r="D413" s="105">
        <v>0.0012765254570881364</v>
      </c>
      <c r="E413" s="105">
        <v>3.1747380145272865</v>
      </c>
      <c r="F413" s="80" t="s">
        <v>3896</v>
      </c>
      <c r="G413" s="80" t="b">
        <v>0</v>
      </c>
      <c r="H413" s="80" t="b">
        <v>0</v>
      </c>
      <c r="I413" s="80" t="b">
        <v>0</v>
      </c>
      <c r="J413" s="80" t="b">
        <v>0</v>
      </c>
      <c r="K413" s="80" t="b">
        <v>0</v>
      </c>
      <c r="L413" s="80" t="b">
        <v>0</v>
      </c>
    </row>
    <row r="414" spans="1:12" ht="15">
      <c r="A414" s="81" t="s">
        <v>3653</v>
      </c>
      <c r="B414" s="80" t="s">
        <v>3389</v>
      </c>
      <c r="C414" s="80">
        <v>3</v>
      </c>
      <c r="D414" s="105">
        <v>0.0012765254570881364</v>
      </c>
      <c r="E414" s="105">
        <v>2.8737080188633053</v>
      </c>
      <c r="F414" s="80" t="s">
        <v>3896</v>
      </c>
      <c r="G414" s="80" t="b">
        <v>0</v>
      </c>
      <c r="H414" s="80" t="b">
        <v>0</v>
      </c>
      <c r="I414" s="80" t="b">
        <v>0</v>
      </c>
      <c r="J414" s="80" t="b">
        <v>0</v>
      </c>
      <c r="K414" s="80" t="b">
        <v>0</v>
      </c>
      <c r="L414" s="80" t="b">
        <v>0</v>
      </c>
    </row>
    <row r="415" spans="1:12" ht="15">
      <c r="A415" s="81" t="s">
        <v>3389</v>
      </c>
      <c r="B415" s="80" t="s">
        <v>3289</v>
      </c>
      <c r="C415" s="80">
        <v>3</v>
      </c>
      <c r="D415" s="105">
        <v>0.0012765254570881364</v>
      </c>
      <c r="E415" s="105">
        <v>2.120380352204694</v>
      </c>
      <c r="F415" s="80" t="s">
        <v>3896</v>
      </c>
      <c r="G415" s="80" t="b">
        <v>0</v>
      </c>
      <c r="H415" s="80" t="b">
        <v>0</v>
      </c>
      <c r="I415" s="80" t="b">
        <v>0</v>
      </c>
      <c r="J415" s="80" t="b">
        <v>0</v>
      </c>
      <c r="K415" s="80" t="b">
        <v>1</v>
      </c>
      <c r="L415" s="80" t="b">
        <v>0</v>
      </c>
    </row>
    <row r="416" spans="1:12" ht="15">
      <c r="A416" s="81" t="s">
        <v>1783</v>
      </c>
      <c r="B416" s="80" t="s">
        <v>3654</v>
      </c>
      <c r="C416" s="80">
        <v>3</v>
      </c>
      <c r="D416" s="105">
        <v>0.0012765254570881364</v>
      </c>
      <c r="E416" s="105">
        <v>2.8067612292326922</v>
      </c>
      <c r="F416" s="80" t="s">
        <v>3896</v>
      </c>
      <c r="G416" s="80" t="b">
        <v>0</v>
      </c>
      <c r="H416" s="80" t="b">
        <v>0</v>
      </c>
      <c r="I416" s="80" t="b">
        <v>0</v>
      </c>
      <c r="J416" s="80" t="b">
        <v>0</v>
      </c>
      <c r="K416" s="80" t="b">
        <v>0</v>
      </c>
      <c r="L416" s="80" t="b">
        <v>0</v>
      </c>
    </row>
    <row r="417" spans="1:12" ht="15">
      <c r="A417" s="81" t="s">
        <v>3654</v>
      </c>
      <c r="B417" s="80" t="s">
        <v>3655</v>
      </c>
      <c r="C417" s="80">
        <v>3</v>
      </c>
      <c r="D417" s="105">
        <v>0.0012765254570881364</v>
      </c>
      <c r="E417" s="105">
        <v>3.1747380145272865</v>
      </c>
      <c r="F417" s="80" t="s">
        <v>3896</v>
      </c>
      <c r="G417" s="80" t="b">
        <v>0</v>
      </c>
      <c r="H417" s="80" t="b">
        <v>0</v>
      </c>
      <c r="I417" s="80" t="b">
        <v>0</v>
      </c>
      <c r="J417" s="80" t="b">
        <v>0</v>
      </c>
      <c r="K417" s="80" t="b">
        <v>0</v>
      </c>
      <c r="L417" s="80" t="b">
        <v>0</v>
      </c>
    </row>
    <row r="418" spans="1:12" ht="15">
      <c r="A418" s="81" t="s">
        <v>3655</v>
      </c>
      <c r="B418" s="80" t="s">
        <v>3656</v>
      </c>
      <c r="C418" s="80">
        <v>3</v>
      </c>
      <c r="D418" s="105">
        <v>0.0012765254570881364</v>
      </c>
      <c r="E418" s="105">
        <v>3.1747380145272865</v>
      </c>
      <c r="F418" s="80" t="s">
        <v>3896</v>
      </c>
      <c r="G418" s="80" t="b">
        <v>0</v>
      </c>
      <c r="H418" s="80" t="b">
        <v>0</v>
      </c>
      <c r="I418" s="80" t="b">
        <v>0</v>
      </c>
      <c r="J418" s="80" t="b">
        <v>0</v>
      </c>
      <c r="K418" s="80" t="b">
        <v>0</v>
      </c>
      <c r="L418" s="80" t="b">
        <v>0</v>
      </c>
    </row>
    <row r="419" spans="1:12" ht="15">
      <c r="A419" s="81" t="s">
        <v>3656</v>
      </c>
      <c r="B419" s="80" t="s">
        <v>3657</v>
      </c>
      <c r="C419" s="80">
        <v>3</v>
      </c>
      <c r="D419" s="105">
        <v>0.0012765254570881364</v>
      </c>
      <c r="E419" s="105">
        <v>3.1747380145272865</v>
      </c>
      <c r="F419" s="80" t="s">
        <v>3896</v>
      </c>
      <c r="G419" s="80" t="b">
        <v>0</v>
      </c>
      <c r="H419" s="80" t="b">
        <v>0</v>
      </c>
      <c r="I419" s="80" t="b">
        <v>0</v>
      </c>
      <c r="J419" s="80" t="b">
        <v>0</v>
      </c>
      <c r="K419" s="80" t="b">
        <v>0</v>
      </c>
      <c r="L419" s="80" t="b">
        <v>0</v>
      </c>
    </row>
    <row r="420" spans="1:12" ht="15">
      <c r="A420" s="81" t="s">
        <v>3657</v>
      </c>
      <c r="B420" s="80" t="s">
        <v>3658</v>
      </c>
      <c r="C420" s="80">
        <v>3</v>
      </c>
      <c r="D420" s="105">
        <v>0.0012765254570881364</v>
      </c>
      <c r="E420" s="105">
        <v>3.1747380145272865</v>
      </c>
      <c r="F420" s="80" t="s">
        <v>3896</v>
      </c>
      <c r="G420" s="80" t="b">
        <v>0</v>
      </c>
      <c r="H420" s="80" t="b">
        <v>0</v>
      </c>
      <c r="I420" s="80" t="b">
        <v>0</v>
      </c>
      <c r="J420" s="80" t="b">
        <v>0</v>
      </c>
      <c r="K420" s="80" t="b">
        <v>0</v>
      </c>
      <c r="L420" s="80" t="b">
        <v>0</v>
      </c>
    </row>
    <row r="421" spans="1:12" ht="15">
      <c r="A421" s="81" t="s">
        <v>3658</v>
      </c>
      <c r="B421" s="80" t="s">
        <v>3659</v>
      </c>
      <c r="C421" s="80">
        <v>3</v>
      </c>
      <c r="D421" s="105">
        <v>0.0012765254570881364</v>
      </c>
      <c r="E421" s="105">
        <v>3.1747380145272865</v>
      </c>
      <c r="F421" s="80" t="s">
        <v>3896</v>
      </c>
      <c r="G421" s="80" t="b">
        <v>0</v>
      </c>
      <c r="H421" s="80" t="b">
        <v>0</v>
      </c>
      <c r="I421" s="80" t="b">
        <v>0</v>
      </c>
      <c r="J421" s="80" t="b">
        <v>0</v>
      </c>
      <c r="K421" s="80" t="b">
        <v>0</v>
      </c>
      <c r="L421" s="80" t="b">
        <v>0</v>
      </c>
    </row>
    <row r="422" spans="1:12" ht="15">
      <c r="A422" s="81" t="s">
        <v>3659</v>
      </c>
      <c r="B422" s="80" t="s">
        <v>3660</v>
      </c>
      <c r="C422" s="80">
        <v>3</v>
      </c>
      <c r="D422" s="105">
        <v>0.0012765254570881364</v>
      </c>
      <c r="E422" s="105">
        <v>3.1747380145272865</v>
      </c>
      <c r="F422" s="80" t="s">
        <v>3896</v>
      </c>
      <c r="G422" s="80" t="b">
        <v>0</v>
      </c>
      <c r="H422" s="80" t="b">
        <v>0</v>
      </c>
      <c r="I422" s="80" t="b">
        <v>0</v>
      </c>
      <c r="J422" s="80" t="b">
        <v>0</v>
      </c>
      <c r="K422" s="80" t="b">
        <v>0</v>
      </c>
      <c r="L422" s="80" t="b">
        <v>0</v>
      </c>
    </row>
    <row r="423" spans="1:12" ht="15">
      <c r="A423" s="81" t="s">
        <v>3660</v>
      </c>
      <c r="B423" s="80" t="s">
        <v>3661</v>
      </c>
      <c r="C423" s="80">
        <v>3</v>
      </c>
      <c r="D423" s="105">
        <v>0.0012765254570881364</v>
      </c>
      <c r="E423" s="105">
        <v>3.1747380145272865</v>
      </c>
      <c r="F423" s="80" t="s">
        <v>3896</v>
      </c>
      <c r="G423" s="80" t="b">
        <v>0</v>
      </c>
      <c r="H423" s="80" t="b">
        <v>0</v>
      </c>
      <c r="I423" s="80" t="b">
        <v>0</v>
      </c>
      <c r="J423" s="80" t="b">
        <v>0</v>
      </c>
      <c r="K423" s="80" t="b">
        <v>0</v>
      </c>
      <c r="L423" s="80" t="b">
        <v>0</v>
      </c>
    </row>
    <row r="424" spans="1:12" ht="15">
      <c r="A424" s="81" t="s">
        <v>3661</v>
      </c>
      <c r="B424" s="80" t="s">
        <v>3662</v>
      </c>
      <c r="C424" s="80">
        <v>3</v>
      </c>
      <c r="D424" s="105">
        <v>0.0012765254570881364</v>
      </c>
      <c r="E424" s="105">
        <v>3.1747380145272865</v>
      </c>
      <c r="F424" s="80" t="s">
        <v>3896</v>
      </c>
      <c r="G424" s="80" t="b">
        <v>0</v>
      </c>
      <c r="H424" s="80" t="b">
        <v>0</v>
      </c>
      <c r="I424" s="80" t="b">
        <v>0</v>
      </c>
      <c r="J424" s="80" t="b">
        <v>0</v>
      </c>
      <c r="K424" s="80" t="b">
        <v>0</v>
      </c>
      <c r="L424" s="80" t="b">
        <v>0</v>
      </c>
    </row>
    <row r="425" spans="1:12" ht="15">
      <c r="A425" s="81" t="s">
        <v>3662</v>
      </c>
      <c r="B425" s="80" t="s">
        <v>3289</v>
      </c>
      <c r="C425" s="80">
        <v>3</v>
      </c>
      <c r="D425" s="105">
        <v>0.0012765254570881364</v>
      </c>
      <c r="E425" s="105">
        <v>2.421410347868675</v>
      </c>
      <c r="F425" s="80" t="s">
        <v>3896</v>
      </c>
      <c r="G425" s="80" t="b">
        <v>0</v>
      </c>
      <c r="H425" s="80" t="b">
        <v>0</v>
      </c>
      <c r="I425" s="80" t="b">
        <v>0</v>
      </c>
      <c r="J425" s="80" t="b">
        <v>0</v>
      </c>
      <c r="K425" s="80" t="b">
        <v>1</v>
      </c>
      <c r="L425" s="80" t="b">
        <v>0</v>
      </c>
    </row>
    <row r="426" spans="1:12" ht="15">
      <c r="A426" s="81" t="s">
        <v>3289</v>
      </c>
      <c r="B426" s="80" t="s">
        <v>3663</v>
      </c>
      <c r="C426" s="80">
        <v>3</v>
      </c>
      <c r="D426" s="105">
        <v>0.0012765254570881364</v>
      </c>
      <c r="E426" s="105">
        <v>2.421410347868675</v>
      </c>
      <c r="F426" s="80" t="s">
        <v>3896</v>
      </c>
      <c r="G426" s="80" t="b">
        <v>0</v>
      </c>
      <c r="H426" s="80" t="b">
        <v>1</v>
      </c>
      <c r="I426" s="80" t="b">
        <v>0</v>
      </c>
      <c r="J426" s="80" t="b">
        <v>0</v>
      </c>
      <c r="K426" s="80" t="b">
        <v>0</v>
      </c>
      <c r="L426" s="80" t="b">
        <v>0</v>
      </c>
    </row>
    <row r="427" spans="1:12" ht="15">
      <c r="A427" s="81" t="s">
        <v>3663</v>
      </c>
      <c r="B427" s="80" t="s">
        <v>3317</v>
      </c>
      <c r="C427" s="80">
        <v>3</v>
      </c>
      <c r="D427" s="105">
        <v>0.0012765254570881364</v>
      </c>
      <c r="E427" s="105">
        <v>2.537915916940112</v>
      </c>
      <c r="F427" s="80" t="s">
        <v>3896</v>
      </c>
      <c r="G427" s="80" t="b">
        <v>0</v>
      </c>
      <c r="H427" s="80" t="b">
        <v>0</v>
      </c>
      <c r="I427" s="80" t="b">
        <v>0</v>
      </c>
      <c r="J427" s="80" t="b">
        <v>0</v>
      </c>
      <c r="K427" s="80" t="b">
        <v>0</v>
      </c>
      <c r="L427" s="80" t="b">
        <v>0</v>
      </c>
    </row>
    <row r="428" spans="1:12" ht="15">
      <c r="A428" s="81" t="s">
        <v>3317</v>
      </c>
      <c r="B428" s="80" t="s">
        <v>3664</v>
      </c>
      <c r="C428" s="80">
        <v>3</v>
      </c>
      <c r="D428" s="105">
        <v>0.0012765254570881364</v>
      </c>
      <c r="E428" s="105">
        <v>2.537915916940112</v>
      </c>
      <c r="F428" s="80" t="s">
        <v>3896</v>
      </c>
      <c r="G428" s="80" t="b">
        <v>0</v>
      </c>
      <c r="H428" s="80" t="b">
        <v>0</v>
      </c>
      <c r="I428" s="80" t="b">
        <v>0</v>
      </c>
      <c r="J428" s="80" t="b">
        <v>0</v>
      </c>
      <c r="K428" s="80" t="b">
        <v>0</v>
      </c>
      <c r="L428" s="80" t="b">
        <v>0</v>
      </c>
    </row>
    <row r="429" spans="1:12" ht="15">
      <c r="A429" s="81" t="s">
        <v>3664</v>
      </c>
      <c r="B429" s="80" t="s">
        <v>3665</v>
      </c>
      <c r="C429" s="80">
        <v>3</v>
      </c>
      <c r="D429" s="105">
        <v>0.0012765254570881364</v>
      </c>
      <c r="E429" s="105">
        <v>3.1747380145272865</v>
      </c>
      <c r="F429" s="80" t="s">
        <v>3896</v>
      </c>
      <c r="G429" s="80" t="b">
        <v>0</v>
      </c>
      <c r="H429" s="80" t="b">
        <v>0</v>
      </c>
      <c r="I429" s="80" t="b">
        <v>0</v>
      </c>
      <c r="J429" s="80" t="b">
        <v>0</v>
      </c>
      <c r="K429" s="80" t="b">
        <v>0</v>
      </c>
      <c r="L429" s="80" t="b">
        <v>0</v>
      </c>
    </row>
    <row r="430" spans="1:12" ht="15">
      <c r="A430" s="81" t="s">
        <v>3665</v>
      </c>
      <c r="B430" s="80" t="s">
        <v>3666</v>
      </c>
      <c r="C430" s="80">
        <v>3</v>
      </c>
      <c r="D430" s="105">
        <v>0.0012765254570881364</v>
      </c>
      <c r="E430" s="105">
        <v>3.1747380145272865</v>
      </c>
      <c r="F430" s="80" t="s">
        <v>3896</v>
      </c>
      <c r="G430" s="80" t="b">
        <v>0</v>
      </c>
      <c r="H430" s="80" t="b">
        <v>0</v>
      </c>
      <c r="I430" s="80" t="b">
        <v>0</v>
      </c>
      <c r="J430" s="80" t="b">
        <v>0</v>
      </c>
      <c r="K430" s="80" t="b">
        <v>0</v>
      </c>
      <c r="L430" s="80" t="b">
        <v>0</v>
      </c>
    </row>
    <row r="431" spans="1:12" ht="15">
      <c r="A431" s="81" t="s">
        <v>3666</v>
      </c>
      <c r="B431" s="80" t="s">
        <v>3260</v>
      </c>
      <c r="C431" s="80">
        <v>3</v>
      </c>
      <c r="D431" s="105">
        <v>0.0012765254570881364</v>
      </c>
      <c r="E431" s="105">
        <v>1.1440033975511181</v>
      </c>
      <c r="F431" s="80" t="s">
        <v>3896</v>
      </c>
      <c r="G431" s="80" t="b">
        <v>0</v>
      </c>
      <c r="H431" s="80" t="b">
        <v>0</v>
      </c>
      <c r="I431" s="80" t="b">
        <v>0</v>
      </c>
      <c r="J431" s="80" t="b">
        <v>0</v>
      </c>
      <c r="K431" s="80" t="b">
        <v>0</v>
      </c>
      <c r="L431" s="80" t="b">
        <v>0</v>
      </c>
    </row>
    <row r="432" spans="1:12" ht="15">
      <c r="A432" s="81" t="s">
        <v>3431</v>
      </c>
      <c r="B432" s="80" t="s">
        <v>3673</v>
      </c>
      <c r="C432" s="80">
        <v>2</v>
      </c>
      <c r="D432" s="105">
        <v>0.0009240081668555858</v>
      </c>
      <c r="E432" s="105">
        <v>3.0497992779189866</v>
      </c>
      <c r="F432" s="80" t="s">
        <v>3896</v>
      </c>
      <c r="G432" s="80" t="b">
        <v>0</v>
      </c>
      <c r="H432" s="80" t="b">
        <v>0</v>
      </c>
      <c r="I432" s="80" t="b">
        <v>0</v>
      </c>
      <c r="J432" s="80" t="b">
        <v>0</v>
      </c>
      <c r="K432" s="80" t="b">
        <v>0</v>
      </c>
      <c r="L432" s="80" t="b">
        <v>0</v>
      </c>
    </row>
    <row r="433" spans="1:12" ht="15">
      <c r="A433" s="81" t="s">
        <v>3673</v>
      </c>
      <c r="B433" s="80" t="s">
        <v>3537</v>
      </c>
      <c r="C433" s="80">
        <v>2</v>
      </c>
      <c r="D433" s="105">
        <v>0.0009240081668555858</v>
      </c>
      <c r="E433" s="105">
        <v>3.1747380145272865</v>
      </c>
      <c r="F433" s="80" t="s">
        <v>3896</v>
      </c>
      <c r="G433" s="80" t="b">
        <v>0</v>
      </c>
      <c r="H433" s="80" t="b">
        <v>0</v>
      </c>
      <c r="I433" s="80" t="b">
        <v>0</v>
      </c>
      <c r="J433" s="80" t="b">
        <v>0</v>
      </c>
      <c r="K433" s="80" t="b">
        <v>0</v>
      </c>
      <c r="L433" s="80" t="b">
        <v>0</v>
      </c>
    </row>
    <row r="434" spans="1:12" ht="15">
      <c r="A434" s="81" t="s">
        <v>584</v>
      </c>
      <c r="B434" s="80" t="s">
        <v>3391</v>
      </c>
      <c r="C434" s="80">
        <v>2</v>
      </c>
      <c r="D434" s="105">
        <v>0.0009240081668555858</v>
      </c>
      <c r="E434" s="105">
        <v>2.6518592692469487</v>
      </c>
      <c r="F434" s="80" t="s">
        <v>3896</v>
      </c>
      <c r="G434" s="80" t="b">
        <v>0</v>
      </c>
      <c r="H434" s="80" t="b">
        <v>0</v>
      </c>
      <c r="I434" s="80" t="b">
        <v>0</v>
      </c>
      <c r="J434" s="80" t="b">
        <v>0</v>
      </c>
      <c r="K434" s="80" t="b">
        <v>0</v>
      </c>
      <c r="L434" s="80" t="b">
        <v>0</v>
      </c>
    </row>
    <row r="435" spans="1:12" ht="15">
      <c r="A435" s="81" t="s">
        <v>3675</v>
      </c>
      <c r="B435" s="80" t="s">
        <v>3432</v>
      </c>
      <c r="C435" s="80">
        <v>2</v>
      </c>
      <c r="D435" s="105">
        <v>0.0009240081668555858</v>
      </c>
      <c r="E435" s="105">
        <v>3.0497992779189866</v>
      </c>
      <c r="F435" s="80" t="s">
        <v>3896</v>
      </c>
      <c r="G435" s="80" t="b">
        <v>0</v>
      </c>
      <c r="H435" s="80" t="b">
        <v>0</v>
      </c>
      <c r="I435" s="80" t="b">
        <v>0</v>
      </c>
      <c r="J435" s="80" t="b">
        <v>0</v>
      </c>
      <c r="K435" s="80" t="b">
        <v>0</v>
      </c>
      <c r="L435" s="80" t="b">
        <v>0</v>
      </c>
    </row>
    <row r="436" spans="1:12" ht="15">
      <c r="A436" s="81" t="s">
        <v>3349</v>
      </c>
      <c r="B436" s="80" t="s">
        <v>3260</v>
      </c>
      <c r="C436" s="80">
        <v>2</v>
      </c>
      <c r="D436" s="105">
        <v>0.0009240081668555858</v>
      </c>
      <c r="E436" s="105">
        <v>0.5999353532008425</v>
      </c>
      <c r="F436" s="80" t="s">
        <v>3896</v>
      </c>
      <c r="G436" s="80" t="b">
        <v>0</v>
      </c>
      <c r="H436" s="80" t="b">
        <v>0</v>
      </c>
      <c r="I436" s="80" t="b">
        <v>0</v>
      </c>
      <c r="J436" s="80" t="b">
        <v>0</v>
      </c>
      <c r="K436" s="80" t="b">
        <v>0</v>
      </c>
      <c r="L436" s="80" t="b">
        <v>0</v>
      </c>
    </row>
    <row r="437" spans="1:12" ht="15">
      <c r="A437" s="81" t="s">
        <v>3376</v>
      </c>
      <c r="B437" s="80" t="s">
        <v>3678</v>
      </c>
      <c r="C437" s="80">
        <v>2</v>
      </c>
      <c r="D437" s="105">
        <v>0.0009240081668555858</v>
      </c>
      <c r="E437" s="105">
        <v>2.8737080188633053</v>
      </c>
      <c r="F437" s="80" t="s">
        <v>3896</v>
      </c>
      <c r="G437" s="80" t="b">
        <v>0</v>
      </c>
      <c r="H437" s="80" t="b">
        <v>0</v>
      </c>
      <c r="I437" s="80" t="b">
        <v>0</v>
      </c>
      <c r="J437" s="80" t="b">
        <v>0</v>
      </c>
      <c r="K437" s="80" t="b">
        <v>0</v>
      </c>
      <c r="L437" s="80" t="b">
        <v>0</v>
      </c>
    </row>
    <row r="438" spans="1:12" ht="15">
      <c r="A438" s="81" t="s">
        <v>3678</v>
      </c>
      <c r="B438" s="80" t="s">
        <v>3540</v>
      </c>
      <c r="C438" s="80">
        <v>2</v>
      </c>
      <c r="D438" s="105">
        <v>0.0009240081668555858</v>
      </c>
      <c r="E438" s="105">
        <v>3.1747380145272865</v>
      </c>
      <c r="F438" s="80" t="s">
        <v>3896</v>
      </c>
      <c r="G438" s="80" t="b">
        <v>0</v>
      </c>
      <c r="H438" s="80" t="b">
        <v>0</v>
      </c>
      <c r="I438" s="80" t="b">
        <v>0</v>
      </c>
      <c r="J438" s="80" t="b">
        <v>0</v>
      </c>
      <c r="K438" s="80" t="b">
        <v>0</v>
      </c>
      <c r="L438" s="80" t="b">
        <v>0</v>
      </c>
    </row>
    <row r="439" spans="1:12" ht="15">
      <c r="A439" s="81" t="s">
        <v>3540</v>
      </c>
      <c r="B439" s="80" t="s">
        <v>3535</v>
      </c>
      <c r="C439" s="80">
        <v>2</v>
      </c>
      <c r="D439" s="105">
        <v>0.0009240081668555858</v>
      </c>
      <c r="E439" s="105">
        <v>2.998646755471605</v>
      </c>
      <c r="F439" s="80" t="s">
        <v>3896</v>
      </c>
      <c r="G439" s="80" t="b">
        <v>0</v>
      </c>
      <c r="H439" s="80" t="b">
        <v>0</v>
      </c>
      <c r="I439" s="80" t="b">
        <v>0</v>
      </c>
      <c r="J439" s="80" t="b">
        <v>0</v>
      </c>
      <c r="K439" s="80" t="b">
        <v>0</v>
      </c>
      <c r="L439" s="80" t="b">
        <v>0</v>
      </c>
    </row>
    <row r="440" spans="1:12" ht="15">
      <c r="A440" s="81" t="s">
        <v>3535</v>
      </c>
      <c r="B440" s="80" t="s">
        <v>3679</v>
      </c>
      <c r="C440" s="80">
        <v>2</v>
      </c>
      <c r="D440" s="105">
        <v>0.0009240081668555858</v>
      </c>
      <c r="E440" s="105">
        <v>3.1747380145272865</v>
      </c>
      <c r="F440" s="80" t="s">
        <v>3896</v>
      </c>
      <c r="G440" s="80" t="b">
        <v>0</v>
      </c>
      <c r="H440" s="80" t="b">
        <v>0</v>
      </c>
      <c r="I440" s="80" t="b">
        <v>0</v>
      </c>
      <c r="J440" s="80" t="b">
        <v>0</v>
      </c>
      <c r="K440" s="80" t="b">
        <v>0</v>
      </c>
      <c r="L440" s="80" t="b">
        <v>0</v>
      </c>
    </row>
    <row r="441" spans="1:12" ht="15">
      <c r="A441" s="81" t="s">
        <v>3679</v>
      </c>
      <c r="B441" s="80" t="s">
        <v>3680</v>
      </c>
      <c r="C441" s="80">
        <v>2</v>
      </c>
      <c r="D441" s="105">
        <v>0.0009240081668555858</v>
      </c>
      <c r="E441" s="105">
        <v>3.350829273582968</v>
      </c>
      <c r="F441" s="80" t="s">
        <v>3896</v>
      </c>
      <c r="G441" s="80" t="b">
        <v>0</v>
      </c>
      <c r="H441" s="80" t="b">
        <v>0</v>
      </c>
      <c r="I441" s="80" t="b">
        <v>0</v>
      </c>
      <c r="J441" s="80" t="b">
        <v>0</v>
      </c>
      <c r="K441" s="80" t="b">
        <v>0</v>
      </c>
      <c r="L441" s="80" t="b">
        <v>0</v>
      </c>
    </row>
    <row r="442" spans="1:12" ht="15">
      <c r="A442" s="81" t="s">
        <v>3680</v>
      </c>
      <c r="B442" s="80" t="s">
        <v>3433</v>
      </c>
      <c r="C442" s="80">
        <v>2</v>
      </c>
      <c r="D442" s="105">
        <v>0.0009240081668555858</v>
      </c>
      <c r="E442" s="105">
        <v>3.0497992779189866</v>
      </c>
      <c r="F442" s="80" t="s">
        <v>3896</v>
      </c>
      <c r="G442" s="80" t="b">
        <v>0</v>
      </c>
      <c r="H442" s="80" t="b">
        <v>0</v>
      </c>
      <c r="I442" s="80" t="b">
        <v>0</v>
      </c>
      <c r="J442" s="80" t="b">
        <v>0</v>
      </c>
      <c r="K442" s="80" t="b">
        <v>0</v>
      </c>
      <c r="L442" s="80" t="b">
        <v>0</v>
      </c>
    </row>
    <row r="443" spans="1:12" ht="15">
      <c r="A443" s="81" t="s">
        <v>3433</v>
      </c>
      <c r="B443" s="80" t="s">
        <v>3434</v>
      </c>
      <c r="C443" s="80">
        <v>2</v>
      </c>
      <c r="D443" s="105">
        <v>0.0009240081668555858</v>
      </c>
      <c r="E443" s="105">
        <v>2.7487692822550054</v>
      </c>
      <c r="F443" s="80" t="s">
        <v>3896</v>
      </c>
      <c r="G443" s="80" t="b">
        <v>0</v>
      </c>
      <c r="H443" s="80" t="b">
        <v>0</v>
      </c>
      <c r="I443" s="80" t="b">
        <v>0</v>
      </c>
      <c r="J443" s="80" t="b">
        <v>0</v>
      </c>
      <c r="K443" s="80" t="b">
        <v>0</v>
      </c>
      <c r="L443" s="80" t="b">
        <v>0</v>
      </c>
    </row>
    <row r="444" spans="1:12" ht="15">
      <c r="A444" s="81" t="s">
        <v>3434</v>
      </c>
      <c r="B444" s="80" t="s">
        <v>3266</v>
      </c>
      <c r="C444" s="80">
        <v>2</v>
      </c>
      <c r="D444" s="105">
        <v>0.0009240081668555858</v>
      </c>
      <c r="E444" s="105">
        <v>2.0836575451799537</v>
      </c>
      <c r="F444" s="80" t="s">
        <v>3896</v>
      </c>
      <c r="G444" s="80" t="b">
        <v>0</v>
      </c>
      <c r="H444" s="80" t="b">
        <v>0</v>
      </c>
      <c r="I444" s="80" t="b">
        <v>0</v>
      </c>
      <c r="J444" s="80" t="b">
        <v>0</v>
      </c>
      <c r="K444" s="80" t="b">
        <v>0</v>
      </c>
      <c r="L444" s="80" t="b">
        <v>0</v>
      </c>
    </row>
    <row r="445" spans="1:12" ht="15">
      <c r="A445" s="81" t="s">
        <v>3436</v>
      </c>
      <c r="B445" s="80" t="s">
        <v>3311</v>
      </c>
      <c r="C445" s="80">
        <v>2</v>
      </c>
      <c r="D445" s="105">
        <v>0.0009240081668555858</v>
      </c>
      <c r="E445" s="105">
        <v>2.236885921276131</v>
      </c>
      <c r="F445" s="80" t="s">
        <v>3896</v>
      </c>
      <c r="G445" s="80" t="b">
        <v>0</v>
      </c>
      <c r="H445" s="80" t="b">
        <v>0</v>
      </c>
      <c r="I445" s="80" t="b">
        <v>0</v>
      </c>
      <c r="J445" s="80" t="b">
        <v>0</v>
      </c>
      <c r="K445" s="80" t="b">
        <v>0</v>
      </c>
      <c r="L445" s="80" t="b">
        <v>0</v>
      </c>
    </row>
    <row r="446" spans="1:12" ht="15">
      <c r="A446" s="81" t="s">
        <v>447</v>
      </c>
      <c r="B446" s="80" t="s">
        <v>497</v>
      </c>
      <c r="C446" s="80">
        <v>2</v>
      </c>
      <c r="D446" s="105">
        <v>0.0009240081668555858</v>
      </c>
      <c r="E446" s="105">
        <v>2.1747380145272865</v>
      </c>
      <c r="F446" s="80" t="s">
        <v>3896</v>
      </c>
      <c r="G446" s="80" t="b">
        <v>0</v>
      </c>
      <c r="H446" s="80" t="b">
        <v>0</v>
      </c>
      <c r="I446" s="80" t="b">
        <v>0</v>
      </c>
      <c r="J446" s="80" t="b">
        <v>0</v>
      </c>
      <c r="K446" s="80" t="b">
        <v>0</v>
      </c>
      <c r="L446" s="80" t="b">
        <v>0</v>
      </c>
    </row>
    <row r="447" spans="1:12" ht="15">
      <c r="A447" s="81" t="s">
        <v>3543</v>
      </c>
      <c r="B447" s="80" t="s">
        <v>3310</v>
      </c>
      <c r="C447" s="80">
        <v>2</v>
      </c>
      <c r="D447" s="105">
        <v>0.0009240081668555858</v>
      </c>
      <c r="E447" s="105">
        <v>2.361824657884431</v>
      </c>
      <c r="F447" s="80" t="s">
        <v>3896</v>
      </c>
      <c r="G447" s="80" t="b">
        <v>0</v>
      </c>
      <c r="H447" s="80" t="b">
        <v>1</v>
      </c>
      <c r="I447" s="80" t="b">
        <v>0</v>
      </c>
      <c r="J447" s="80" t="b">
        <v>0</v>
      </c>
      <c r="K447" s="80" t="b">
        <v>0</v>
      </c>
      <c r="L447" s="80" t="b">
        <v>0</v>
      </c>
    </row>
    <row r="448" spans="1:12" ht="15">
      <c r="A448" s="81" t="s">
        <v>3260</v>
      </c>
      <c r="B448" s="80" t="s">
        <v>3288</v>
      </c>
      <c r="C448" s="80">
        <v>2</v>
      </c>
      <c r="D448" s="105">
        <v>0.0009240081668555858</v>
      </c>
      <c r="E448" s="105">
        <v>0.47202034122376224</v>
      </c>
      <c r="F448" s="80" t="s">
        <v>3896</v>
      </c>
      <c r="G448" s="80" t="b">
        <v>0</v>
      </c>
      <c r="H448" s="80" t="b">
        <v>0</v>
      </c>
      <c r="I448" s="80" t="b">
        <v>0</v>
      </c>
      <c r="J448" s="80" t="b">
        <v>0</v>
      </c>
      <c r="K448" s="80" t="b">
        <v>0</v>
      </c>
      <c r="L448" s="80" t="b">
        <v>0</v>
      </c>
    </row>
    <row r="449" spans="1:12" ht="15">
      <c r="A449" s="81" t="s">
        <v>3683</v>
      </c>
      <c r="B449" s="80" t="s">
        <v>3289</v>
      </c>
      <c r="C449" s="80">
        <v>2</v>
      </c>
      <c r="D449" s="105">
        <v>0.0010487874396696714</v>
      </c>
      <c r="E449" s="105">
        <v>2.421410347868675</v>
      </c>
      <c r="F449" s="80" t="s">
        <v>3896</v>
      </c>
      <c r="G449" s="80" t="b">
        <v>0</v>
      </c>
      <c r="H449" s="80" t="b">
        <v>0</v>
      </c>
      <c r="I449" s="80" t="b">
        <v>0</v>
      </c>
      <c r="J449" s="80" t="b">
        <v>0</v>
      </c>
      <c r="K449" s="80" t="b">
        <v>1</v>
      </c>
      <c r="L449" s="80" t="b">
        <v>0</v>
      </c>
    </row>
    <row r="450" spans="1:12" ht="15">
      <c r="A450" s="81" t="s">
        <v>3368</v>
      </c>
      <c r="B450" s="80" t="s">
        <v>3690</v>
      </c>
      <c r="C450" s="80">
        <v>2</v>
      </c>
      <c r="D450" s="105">
        <v>0.0009240081668555858</v>
      </c>
      <c r="E450" s="105">
        <v>2.8067612292326922</v>
      </c>
      <c r="F450" s="80" t="s">
        <v>3896</v>
      </c>
      <c r="G450" s="80" t="b">
        <v>0</v>
      </c>
      <c r="H450" s="80" t="b">
        <v>0</v>
      </c>
      <c r="I450" s="80" t="b">
        <v>0</v>
      </c>
      <c r="J450" s="80" t="b">
        <v>0</v>
      </c>
      <c r="K450" s="80" t="b">
        <v>0</v>
      </c>
      <c r="L450" s="80" t="b">
        <v>0</v>
      </c>
    </row>
    <row r="451" spans="1:12" ht="15">
      <c r="A451" s="81" t="s">
        <v>3690</v>
      </c>
      <c r="B451" s="80" t="s">
        <v>3369</v>
      </c>
      <c r="C451" s="80">
        <v>2</v>
      </c>
      <c r="D451" s="105">
        <v>0.0009240081668555858</v>
      </c>
      <c r="E451" s="105">
        <v>2.8067612292326922</v>
      </c>
      <c r="F451" s="80" t="s">
        <v>3896</v>
      </c>
      <c r="G451" s="80" t="b">
        <v>0</v>
      </c>
      <c r="H451" s="80" t="b">
        <v>0</v>
      </c>
      <c r="I451" s="80" t="b">
        <v>0</v>
      </c>
      <c r="J451" s="80" t="b">
        <v>0</v>
      </c>
      <c r="K451" s="80" t="b">
        <v>0</v>
      </c>
      <c r="L451" s="80" t="b">
        <v>0</v>
      </c>
    </row>
    <row r="452" spans="1:12" ht="15">
      <c r="A452" s="81" t="s">
        <v>3551</v>
      </c>
      <c r="B452" s="80" t="s">
        <v>3370</v>
      </c>
      <c r="C452" s="80">
        <v>2</v>
      </c>
      <c r="D452" s="105">
        <v>0.0009240081668555858</v>
      </c>
      <c r="E452" s="105">
        <v>2.630669970177011</v>
      </c>
      <c r="F452" s="80" t="s">
        <v>3896</v>
      </c>
      <c r="G452" s="80" t="b">
        <v>0</v>
      </c>
      <c r="H452" s="80" t="b">
        <v>0</v>
      </c>
      <c r="I452" s="80" t="b">
        <v>0</v>
      </c>
      <c r="J452" s="80" t="b">
        <v>0</v>
      </c>
      <c r="K452" s="80" t="b">
        <v>0</v>
      </c>
      <c r="L452" s="80" t="b">
        <v>0</v>
      </c>
    </row>
    <row r="453" spans="1:12" ht="15">
      <c r="A453" s="81" t="s">
        <v>559</v>
      </c>
      <c r="B453" s="80" t="s">
        <v>3394</v>
      </c>
      <c r="C453" s="80">
        <v>2</v>
      </c>
      <c r="D453" s="105">
        <v>0.0009240081668555858</v>
      </c>
      <c r="E453" s="105">
        <v>2.776798005855249</v>
      </c>
      <c r="F453" s="80" t="s">
        <v>3896</v>
      </c>
      <c r="G453" s="80" t="b">
        <v>0</v>
      </c>
      <c r="H453" s="80" t="b">
        <v>0</v>
      </c>
      <c r="I453" s="80" t="b">
        <v>0</v>
      </c>
      <c r="J453" s="80" t="b">
        <v>0</v>
      </c>
      <c r="K453" s="80" t="b">
        <v>0</v>
      </c>
      <c r="L453" s="80" t="b">
        <v>0</v>
      </c>
    </row>
    <row r="454" spans="1:12" ht="15">
      <c r="A454" s="81" t="s">
        <v>3319</v>
      </c>
      <c r="B454" s="80" t="s">
        <v>3278</v>
      </c>
      <c r="C454" s="80">
        <v>2</v>
      </c>
      <c r="D454" s="105">
        <v>0.0009240081668555858</v>
      </c>
      <c r="E454" s="105">
        <v>1.4757680101912676</v>
      </c>
      <c r="F454" s="80" t="s">
        <v>3896</v>
      </c>
      <c r="G454" s="80" t="b">
        <v>0</v>
      </c>
      <c r="H454" s="80" t="b">
        <v>0</v>
      </c>
      <c r="I454" s="80" t="b">
        <v>0</v>
      </c>
      <c r="J454" s="80" t="b">
        <v>0</v>
      </c>
      <c r="K454" s="80" t="b">
        <v>0</v>
      </c>
      <c r="L454" s="80" t="b">
        <v>0</v>
      </c>
    </row>
    <row r="455" spans="1:12" ht="15">
      <c r="A455" s="81" t="s">
        <v>556</v>
      </c>
      <c r="B455" s="80" t="s">
        <v>500</v>
      </c>
      <c r="C455" s="80">
        <v>2</v>
      </c>
      <c r="D455" s="105">
        <v>0.0009240081668555858</v>
      </c>
      <c r="E455" s="105">
        <v>1.8525187197933672</v>
      </c>
      <c r="F455" s="80" t="s">
        <v>3896</v>
      </c>
      <c r="G455" s="80" t="b">
        <v>0</v>
      </c>
      <c r="H455" s="80" t="b">
        <v>0</v>
      </c>
      <c r="I455" s="80" t="b">
        <v>0</v>
      </c>
      <c r="J455" s="80" t="b">
        <v>0</v>
      </c>
      <c r="K455" s="80" t="b">
        <v>0</v>
      </c>
      <c r="L455" s="80" t="b">
        <v>0</v>
      </c>
    </row>
    <row r="456" spans="1:12" ht="15">
      <c r="A456" s="81" t="s">
        <v>3372</v>
      </c>
      <c r="B456" s="80" t="s">
        <v>3691</v>
      </c>
      <c r="C456" s="80">
        <v>2</v>
      </c>
      <c r="D456" s="105">
        <v>0.0009240081668555858</v>
      </c>
      <c r="E456" s="105">
        <v>2.8067612292326922</v>
      </c>
      <c r="F456" s="80" t="s">
        <v>3896</v>
      </c>
      <c r="G456" s="80" t="b">
        <v>1</v>
      </c>
      <c r="H456" s="80" t="b">
        <v>0</v>
      </c>
      <c r="I456" s="80" t="b">
        <v>0</v>
      </c>
      <c r="J456" s="80" t="b">
        <v>0</v>
      </c>
      <c r="K456" s="80" t="b">
        <v>0</v>
      </c>
      <c r="L456" s="80" t="b">
        <v>0</v>
      </c>
    </row>
    <row r="457" spans="1:12" ht="15">
      <c r="A457" s="81" t="s">
        <v>3691</v>
      </c>
      <c r="B457" s="80" t="s">
        <v>3396</v>
      </c>
      <c r="C457" s="80">
        <v>2</v>
      </c>
      <c r="D457" s="105">
        <v>0.0009240081668555858</v>
      </c>
      <c r="E457" s="105">
        <v>2.95288926491093</v>
      </c>
      <c r="F457" s="80" t="s">
        <v>3896</v>
      </c>
      <c r="G457" s="80" t="b">
        <v>0</v>
      </c>
      <c r="H457" s="80" t="b">
        <v>0</v>
      </c>
      <c r="I457" s="80" t="b">
        <v>0</v>
      </c>
      <c r="J457" s="80" t="b">
        <v>0</v>
      </c>
      <c r="K457" s="80" t="b">
        <v>1</v>
      </c>
      <c r="L457" s="80" t="b">
        <v>0</v>
      </c>
    </row>
    <row r="458" spans="1:12" ht="15">
      <c r="A458" s="81" t="s">
        <v>3396</v>
      </c>
      <c r="B458" s="80" t="s">
        <v>3311</v>
      </c>
      <c r="C458" s="80">
        <v>2</v>
      </c>
      <c r="D458" s="105">
        <v>0.0009240081668555858</v>
      </c>
      <c r="E458" s="105">
        <v>2.1399759082680743</v>
      </c>
      <c r="F458" s="80" t="s">
        <v>3896</v>
      </c>
      <c r="G458" s="80" t="b">
        <v>0</v>
      </c>
      <c r="H458" s="80" t="b">
        <v>1</v>
      </c>
      <c r="I458" s="80" t="b">
        <v>0</v>
      </c>
      <c r="J458" s="80" t="b">
        <v>0</v>
      </c>
      <c r="K458" s="80" t="b">
        <v>0</v>
      </c>
      <c r="L458" s="80" t="b">
        <v>0</v>
      </c>
    </row>
    <row r="459" spans="1:12" ht="15">
      <c r="A459" s="81" t="s">
        <v>3311</v>
      </c>
      <c r="B459" s="80" t="s">
        <v>3556</v>
      </c>
      <c r="C459" s="80">
        <v>2</v>
      </c>
      <c r="D459" s="105">
        <v>0.0009240081668555858</v>
      </c>
      <c r="E459" s="105">
        <v>2.361824657884431</v>
      </c>
      <c r="F459" s="80" t="s">
        <v>3896</v>
      </c>
      <c r="G459" s="80" t="b">
        <v>0</v>
      </c>
      <c r="H459" s="80" t="b">
        <v>0</v>
      </c>
      <c r="I459" s="80" t="b">
        <v>0</v>
      </c>
      <c r="J459" s="80" t="b">
        <v>0</v>
      </c>
      <c r="K459" s="80" t="b">
        <v>0</v>
      </c>
      <c r="L459" s="80" t="b">
        <v>0</v>
      </c>
    </row>
    <row r="460" spans="1:12" ht="15">
      <c r="A460" s="81" t="s">
        <v>3556</v>
      </c>
      <c r="B460" s="80" t="s">
        <v>3339</v>
      </c>
      <c r="C460" s="80">
        <v>2</v>
      </c>
      <c r="D460" s="105">
        <v>0.0009240081668555858</v>
      </c>
      <c r="E460" s="105">
        <v>2.475768010191268</v>
      </c>
      <c r="F460" s="80" t="s">
        <v>3896</v>
      </c>
      <c r="G460" s="80" t="b">
        <v>0</v>
      </c>
      <c r="H460" s="80" t="b">
        <v>0</v>
      </c>
      <c r="I460" s="80" t="b">
        <v>0</v>
      </c>
      <c r="J460" s="80" t="b">
        <v>0</v>
      </c>
      <c r="K460" s="80" t="b">
        <v>0</v>
      </c>
      <c r="L460" s="80" t="b">
        <v>0</v>
      </c>
    </row>
    <row r="461" spans="1:12" ht="15">
      <c r="A461" s="81" t="s">
        <v>3339</v>
      </c>
      <c r="B461" s="80" t="s">
        <v>3266</v>
      </c>
      <c r="C461" s="80">
        <v>2</v>
      </c>
      <c r="D461" s="105">
        <v>0.0009240081668555858</v>
      </c>
      <c r="E461" s="105">
        <v>1.384687540843935</v>
      </c>
      <c r="F461" s="80" t="s">
        <v>3896</v>
      </c>
      <c r="G461" s="80" t="b">
        <v>0</v>
      </c>
      <c r="H461" s="80" t="b">
        <v>0</v>
      </c>
      <c r="I461" s="80" t="b">
        <v>0</v>
      </c>
      <c r="J461" s="80" t="b">
        <v>0</v>
      </c>
      <c r="K461" s="80" t="b">
        <v>0</v>
      </c>
      <c r="L461" s="80" t="b">
        <v>0</v>
      </c>
    </row>
    <row r="462" spans="1:12" ht="15">
      <c r="A462" s="81" t="s">
        <v>3266</v>
      </c>
      <c r="B462" s="80" t="s">
        <v>3370</v>
      </c>
      <c r="C462" s="80">
        <v>2</v>
      </c>
      <c r="D462" s="105">
        <v>0.0009240081668555858</v>
      </c>
      <c r="E462" s="105">
        <v>1.5637231805463976</v>
      </c>
      <c r="F462" s="80" t="s">
        <v>3896</v>
      </c>
      <c r="G462" s="80" t="b">
        <v>0</v>
      </c>
      <c r="H462" s="80" t="b">
        <v>0</v>
      </c>
      <c r="I462" s="80" t="b">
        <v>0</v>
      </c>
      <c r="J462" s="80" t="b">
        <v>0</v>
      </c>
      <c r="K462" s="80" t="b">
        <v>0</v>
      </c>
      <c r="L462" s="80" t="b">
        <v>0</v>
      </c>
    </row>
    <row r="463" spans="1:12" ht="15">
      <c r="A463" s="81" t="s">
        <v>3370</v>
      </c>
      <c r="B463" s="80" t="s">
        <v>3314</v>
      </c>
      <c r="C463" s="80">
        <v>2</v>
      </c>
      <c r="D463" s="105">
        <v>0.0009240081668555858</v>
      </c>
      <c r="E463" s="105">
        <v>1.9938478725898365</v>
      </c>
      <c r="F463" s="80" t="s">
        <v>3896</v>
      </c>
      <c r="G463" s="80" t="b">
        <v>0</v>
      </c>
      <c r="H463" s="80" t="b">
        <v>0</v>
      </c>
      <c r="I463" s="80" t="b">
        <v>0</v>
      </c>
      <c r="J463" s="80" t="b">
        <v>0</v>
      </c>
      <c r="K463" s="80" t="b">
        <v>0</v>
      </c>
      <c r="L463" s="80" t="b">
        <v>0</v>
      </c>
    </row>
    <row r="464" spans="1:12" ht="15">
      <c r="A464" s="81" t="s">
        <v>3305</v>
      </c>
      <c r="B464" s="80" t="s">
        <v>3266</v>
      </c>
      <c r="C464" s="80">
        <v>2</v>
      </c>
      <c r="D464" s="105">
        <v>0.0009240081668555858</v>
      </c>
      <c r="E464" s="105">
        <v>1.238559505165697</v>
      </c>
      <c r="F464" s="80" t="s">
        <v>3896</v>
      </c>
      <c r="G464" s="80" t="b">
        <v>0</v>
      </c>
      <c r="H464" s="80" t="b">
        <v>0</v>
      </c>
      <c r="I464" s="80" t="b">
        <v>0</v>
      </c>
      <c r="J464" s="80" t="b">
        <v>0</v>
      </c>
      <c r="K464" s="80" t="b">
        <v>0</v>
      </c>
      <c r="L464" s="80" t="b">
        <v>0</v>
      </c>
    </row>
    <row r="465" spans="1:12" ht="15">
      <c r="A465" s="81" t="s">
        <v>3339</v>
      </c>
      <c r="B465" s="80" t="s">
        <v>3693</v>
      </c>
      <c r="C465" s="80">
        <v>2</v>
      </c>
      <c r="D465" s="105">
        <v>0.0009240081668555858</v>
      </c>
      <c r="E465" s="105">
        <v>2.6518592692469487</v>
      </c>
      <c r="F465" s="80" t="s">
        <v>3896</v>
      </c>
      <c r="G465" s="80" t="b">
        <v>0</v>
      </c>
      <c r="H465" s="80" t="b">
        <v>0</v>
      </c>
      <c r="I465" s="80" t="b">
        <v>0</v>
      </c>
      <c r="J465" s="80" t="b">
        <v>0</v>
      </c>
      <c r="K465" s="80" t="b">
        <v>0</v>
      </c>
      <c r="L465" s="80" t="b">
        <v>0</v>
      </c>
    </row>
    <row r="466" spans="1:12" ht="15">
      <c r="A466" s="81" t="s">
        <v>3260</v>
      </c>
      <c r="B466" s="80" t="s">
        <v>3695</v>
      </c>
      <c r="C466" s="80">
        <v>2</v>
      </c>
      <c r="D466" s="105">
        <v>0.0009240081668555858</v>
      </c>
      <c r="E466" s="105">
        <v>1.4014392669380549</v>
      </c>
      <c r="F466" s="80" t="s">
        <v>3896</v>
      </c>
      <c r="G466" s="80" t="b">
        <v>0</v>
      </c>
      <c r="H466" s="80" t="b">
        <v>0</v>
      </c>
      <c r="I466" s="80" t="b">
        <v>0</v>
      </c>
      <c r="J466" s="80" t="b">
        <v>0</v>
      </c>
      <c r="K466" s="80" t="b">
        <v>0</v>
      </c>
      <c r="L466" s="80" t="b">
        <v>0</v>
      </c>
    </row>
    <row r="467" spans="1:12" ht="15">
      <c r="A467" s="81" t="s">
        <v>545</v>
      </c>
      <c r="B467" s="80" t="s">
        <v>532</v>
      </c>
      <c r="C467" s="80">
        <v>2</v>
      </c>
      <c r="D467" s="105">
        <v>0.0009240081668555858</v>
      </c>
      <c r="E467" s="105">
        <v>2.8067612292326922</v>
      </c>
      <c r="F467" s="80" t="s">
        <v>3896</v>
      </c>
      <c r="G467" s="80" t="b">
        <v>0</v>
      </c>
      <c r="H467" s="80" t="b">
        <v>0</v>
      </c>
      <c r="I467" s="80" t="b">
        <v>0</v>
      </c>
      <c r="J467" s="80" t="b">
        <v>0</v>
      </c>
      <c r="K467" s="80" t="b">
        <v>0</v>
      </c>
      <c r="L467" s="80" t="b">
        <v>0</v>
      </c>
    </row>
    <row r="468" spans="1:12" ht="15">
      <c r="A468" s="81" t="s">
        <v>532</v>
      </c>
      <c r="B468" s="80" t="s">
        <v>3696</v>
      </c>
      <c r="C468" s="80">
        <v>2</v>
      </c>
      <c r="D468" s="105">
        <v>0.0009240081668555858</v>
      </c>
      <c r="E468" s="105">
        <v>2.8067612292326922</v>
      </c>
      <c r="F468" s="80" t="s">
        <v>3896</v>
      </c>
      <c r="G468" s="80" t="b">
        <v>0</v>
      </c>
      <c r="H468" s="80" t="b">
        <v>0</v>
      </c>
      <c r="I468" s="80" t="b">
        <v>0</v>
      </c>
      <c r="J468" s="80" t="b">
        <v>0</v>
      </c>
      <c r="K468" s="80" t="b">
        <v>0</v>
      </c>
      <c r="L468" s="80" t="b">
        <v>0</v>
      </c>
    </row>
    <row r="469" spans="1:12" ht="15">
      <c r="A469" s="81" t="s">
        <v>3696</v>
      </c>
      <c r="B469" s="80" t="s">
        <v>3697</v>
      </c>
      <c r="C469" s="80">
        <v>2</v>
      </c>
      <c r="D469" s="105">
        <v>0.0009240081668555858</v>
      </c>
      <c r="E469" s="105">
        <v>3.350829273582968</v>
      </c>
      <c r="F469" s="80" t="s">
        <v>3896</v>
      </c>
      <c r="G469" s="80" t="b">
        <v>0</v>
      </c>
      <c r="H469" s="80" t="b">
        <v>0</v>
      </c>
      <c r="I469" s="80" t="b">
        <v>0</v>
      </c>
      <c r="J469" s="80" t="b">
        <v>0</v>
      </c>
      <c r="K469" s="80" t="b">
        <v>0</v>
      </c>
      <c r="L469" s="80" t="b">
        <v>0</v>
      </c>
    </row>
    <row r="470" spans="1:12" ht="15">
      <c r="A470" s="81" t="s">
        <v>3697</v>
      </c>
      <c r="B470" s="80" t="s">
        <v>3698</v>
      </c>
      <c r="C470" s="80">
        <v>2</v>
      </c>
      <c r="D470" s="105">
        <v>0.0009240081668555858</v>
      </c>
      <c r="E470" s="105">
        <v>3.350829273582968</v>
      </c>
      <c r="F470" s="80" t="s">
        <v>3896</v>
      </c>
      <c r="G470" s="80" t="b">
        <v>0</v>
      </c>
      <c r="H470" s="80" t="b">
        <v>0</v>
      </c>
      <c r="I470" s="80" t="b">
        <v>0</v>
      </c>
      <c r="J470" s="80" t="b">
        <v>0</v>
      </c>
      <c r="K470" s="80" t="b">
        <v>0</v>
      </c>
      <c r="L470" s="80" t="b">
        <v>0</v>
      </c>
    </row>
    <row r="471" spans="1:12" ht="15">
      <c r="A471" s="81" t="s">
        <v>3698</v>
      </c>
      <c r="B471" s="80" t="s">
        <v>3536</v>
      </c>
      <c r="C471" s="80">
        <v>2</v>
      </c>
      <c r="D471" s="105">
        <v>0.0009240081668555858</v>
      </c>
      <c r="E471" s="105">
        <v>3.1747380145272865</v>
      </c>
      <c r="F471" s="80" t="s">
        <v>3896</v>
      </c>
      <c r="G471" s="80" t="b">
        <v>0</v>
      </c>
      <c r="H471" s="80" t="b">
        <v>0</v>
      </c>
      <c r="I471" s="80" t="b">
        <v>0</v>
      </c>
      <c r="J471" s="80" t="b">
        <v>0</v>
      </c>
      <c r="K471" s="80" t="b">
        <v>0</v>
      </c>
      <c r="L471" s="80" t="b">
        <v>0</v>
      </c>
    </row>
    <row r="472" spans="1:12" ht="15">
      <c r="A472" s="81" t="s">
        <v>3536</v>
      </c>
      <c r="B472" s="80" t="s">
        <v>3541</v>
      </c>
      <c r="C472" s="80">
        <v>2</v>
      </c>
      <c r="D472" s="105">
        <v>0.0009240081668555858</v>
      </c>
      <c r="E472" s="105">
        <v>2.998646755471605</v>
      </c>
      <c r="F472" s="80" t="s">
        <v>3896</v>
      </c>
      <c r="G472" s="80" t="b">
        <v>0</v>
      </c>
      <c r="H472" s="80" t="b">
        <v>0</v>
      </c>
      <c r="I472" s="80" t="b">
        <v>0</v>
      </c>
      <c r="J472" s="80" t="b">
        <v>0</v>
      </c>
      <c r="K472" s="80" t="b">
        <v>0</v>
      </c>
      <c r="L472" s="80" t="b">
        <v>0</v>
      </c>
    </row>
    <row r="473" spans="1:12" ht="15">
      <c r="A473" s="81" t="s">
        <v>3436</v>
      </c>
      <c r="B473" s="80" t="s">
        <v>3310</v>
      </c>
      <c r="C473" s="80">
        <v>2</v>
      </c>
      <c r="D473" s="105">
        <v>0.0009240081668555858</v>
      </c>
      <c r="E473" s="105">
        <v>2.236885921276131</v>
      </c>
      <c r="F473" s="80" t="s">
        <v>3896</v>
      </c>
      <c r="G473" s="80" t="b">
        <v>0</v>
      </c>
      <c r="H473" s="80" t="b">
        <v>0</v>
      </c>
      <c r="I473" s="80" t="b">
        <v>0</v>
      </c>
      <c r="J473" s="80" t="b">
        <v>0</v>
      </c>
      <c r="K473" s="80" t="b">
        <v>0</v>
      </c>
      <c r="L473" s="80" t="b">
        <v>0</v>
      </c>
    </row>
    <row r="474" spans="1:12" ht="15">
      <c r="A474" s="81" t="s">
        <v>3431</v>
      </c>
      <c r="B474" s="80" t="s">
        <v>3699</v>
      </c>
      <c r="C474" s="80">
        <v>2</v>
      </c>
      <c r="D474" s="105">
        <v>0.0009240081668555858</v>
      </c>
      <c r="E474" s="105">
        <v>3.0497992779189866</v>
      </c>
      <c r="F474" s="80" t="s">
        <v>3896</v>
      </c>
      <c r="G474" s="80" t="b">
        <v>0</v>
      </c>
      <c r="H474" s="80" t="b">
        <v>0</v>
      </c>
      <c r="I474" s="80" t="b">
        <v>0</v>
      </c>
      <c r="J474" s="80" t="b">
        <v>0</v>
      </c>
      <c r="K474" s="80" t="b">
        <v>0</v>
      </c>
      <c r="L474" s="80" t="b">
        <v>0</v>
      </c>
    </row>
    <row r="475" spans="1:12" ht="15">
      <c r="A475" s="81" t="s">
        <v>3699</v>
      </c>
      <c r="B475" s="80" t="s">
        <v>3538</v>
      </c>
      <c r="C475" s="80">
        <v>2</v>
      </c>
      <c r="D475" s="105">
        <v>0.0009240081668555858</v>
      </c>
      <c r="E475" s="105">
        <v>3.1747380145272865</v>
      </c>
      <c r="F475" s="80" t="s">
        <v>3896</v>
      </c>
      <c r="G475" s="80" t="b">
        <v>0</v>
      </c>
      <c r="H475" s="80" t="b">
        <v>0</v>
      </c>
      <c r="I475" s="80" t="b">
        <v>0</v>
      </c>
      <c r="J475" s="80" t="b">
        <v>0</v>
      </c>
      <c r="K475" s="80" t="b">
        <v>0</v>
      </c>
      <c r="L475" s="80" t="b">
        <v>0</v>
      </c>
    </row>
    <row r="476" spans="1:12" ht="15">
      <c r="A476" s="81" t="s">
        <v>3538</v>
      </c>
      <c r="B476" s="80" t="s">
        <v>3391</v>
      </c>
      <c r="C476" s="80">
        <v>2</v>
      </c>
      <c r="D476" s="105">
        <v>0.0009240081668555858</v>
      </c>
      <c r="E476" s="105">
        <v>2.776798005855249</v>
      </c>
      <c r="F476" s="80" t="s">
        <v>3896</v>
      </c>
      <c r="G476" s="80" t="b">
        <v>0</v>
      </c>
      <c r="H476" s="80" t="b">
        <v>0</v>
      </c>
      <c r="I476" s="80" t="b">
        <v>0</v>
      </c>
      <c r="J476" s="80" t="b">
        <v>0</v>
      </c>
      <c r="K476" s="80" t="b">
        <v>0</v>
      </c>
      <c r="L476" s="80" t="b">
        <v>0</v>
      </c>
    </row>
    <row r="477" spans="1:12" ht="15">
      <c r="A477" s="81" t="s">
        <v>3393</v>
      </c>
      <c r="B477" s="80" t="s">
        <v>3433</v>
      </c>
      <c r="C477" s="80">
        <v>2</v>
      </c>
      <c r="D477" s="105">
        <v>0.0009240081668555858</v>
      </c>
      <c r="E477" s="105">
        <v>2.6518592692469487</v>
      </c>
      <c r="F477" s="80" t="s">
        <v>3896</v>
      </c>
      <c r="G477" s="80" t="b">
        <v>0</v>
      </c>
      <c r="H477" s="80" t="b">
        <v>0</v>
      </c>
      <c r="I477" s="80" t="b">
        <v>0</v>
      </c>
      <c r="J477" s="80" t="b">
        <v>0</v>
      </c>
      <c r="K477" s="80" t="b">
        <v>0</v>
      </c>
      <c r="L477" s="80" t="b">
        <v>0</v>
      </c>
    </row>
    <row r="478" spans="1:12" ht="15">
      <c r="A478" s="81" t="s">
        <v>3433</v>
      </c>
      <c r="B478" s="80" t="s">
        <v>3376</v>
      </c>
      <c r="C478" s="80">
        <v>2</v>
      </c>
      <c r="D478" s="105">
        <v>0.0009240081668555858</v>
      </c>
      <c r="E478" s="105">
        <v>2.572678023199324</v>
      </c>
      <c r="F478" s="80" t="s">
        <v>3896</v>
      </c>
      <c r="G478" s="80" t="b">
        <v>0</v>
      </c>
      <c r="H478" s="80" t="b">
        <v>0</v>
      </c>
      <c r="I478" s="80" t="b">
        <v>0</v>
      </c>
      <c r="J478" s="80" t="b">
        <v>0</v>
      </c>
      <c r="K478" s="80" t="b">
        <v>0</v>
      </c>
      <c r="L478" s="80" t="b">
        <v>0</v>
      </c>
    </row>
    <row r="479" spans="1:12" ht="15">
      <c r="A479" s="81" t="s">
        <v>3376</v>
      </c>
      <c r="B479" s="80" t="s">
        <v>3266</v>
      </c>
      <c r="C479" s="80">
        <v>2</v>
      </c>
      <c r="D479" s="105">
        <v>0.0009240081668555858</v>
      </c>
      <c r="E479" s="105">
        <v>1.6065362904602913</v>
      </c>
      <c r="F479" s="80" t="s">
        <v>3896</v>
      </c>
      <c r="G479" s="80" t="b">
        <v>0</v>
      </c>
      <c r="H479" s="80" t="b">
        <v>0</v>
      </c>
      <c r="I479" s="80" t="b">
        <v>0</v>
      </c>
      <c r="J479" s="80" t="b">
        <v>0</v>
      </c>
      <c r="K479" s="80" t="b">
        <v>0</v>
      </c>
      <c r="L479" s="80" t="b">
        <v>0</v>
      </c>
    </row>
    <row r="480" spans="1:12" ht="15">
      <c r="A480" s="81" t="s">
        <v>3266</v>
      </c>
      <c r="B480" s="80" t="s">
        <v>3349</v>
      </c>
      <c r="C480" s="80">
        <v>2</v>
      </c>
      <c r="D480" s="105">
        <v>0.0009240081668555858</v>
      </c>
      <c r="E480" s="105">
        <v>1.5057312335687107</v>
      </c>
      <c r="F480" s="80" t="s">
        <v>3896</v>
      </c>
      <c r="G480" s="80" t="b">
        <v>0</v>
      </c>
      <c r="H480" s="80" t="b">
        <v>0</v>
      </c>
      <c r="I480" s="80" t="b">
        <v>0</v>
      </c>
      <c r="J480" s="80" t="b">
        <v>0</v>
      </c>
      <c r="K480" s="80" t="b">
        <v>0</v>
      </c>
      <c r="L480" s="80" t="b">
        <v>0</v>
      </c>
    </row>
    <row r="481" spans="1:12" ht="15">
      <c r="A481" s="81" t="s">
        <v>3349</v>
      </c>
      <c r="B481" s="80" t="s">
        <v>3288</v>
      </c>
      <c r="C481" s="80">
        <v>2</v>
      </c>
      <c r="D481" s="105">
        <v>0.0009240081668555858</v>
      </c>
      <c r="E481" s="105">
        <v>1.8773423035183994</v>
      </c>
      <c r="F481" s="80" t="s">
        <v>3896</v>
      </c>
      <c r="G481" s="80" t="b">
        <v>0</v>
      </c>
      <c r="H481" s="80" t="b">
        <v>0</v>
      </c>
      <c r="I481" s="80" t="b">
        <v>0</v>
      </c>
      <c r="J481" s="80" t="b">
        <v>0</v>
      </c>
      <c r="K481" s="80" t="b">
        <v>0</v>
      </c>
      <c r="L481" s="80" t="b">
        <v>0</v>
      </c>
    </row>
    <row r="482" spans="1:12" ht="15">
      <c r="A482" s="81" t="s">
        <v>3356</v>
      </c>
      <c r="B482" s="80" t="s">
        <v>3700</v>
      </c>
      <c r="C482" s="80">
        <v>2</v>
      </c>
      <c r="D482" s="105">
        <v>0.0009240081668555858</v>
      </c>
      <c r="E482" s="105">
        <v>2.7487692822550054</v>
      </c>
      <c r="F482" s="80" t="s">
        <v>3896</v>
      </c>
      <c r="G482" s="80" t="b">
        <v>0</v>
      </c>
      <c r="H482" s="80" t="b">
        <v>0</v>
      </c>
      <c r="I482" s="80" t="b">
        <v>0</v>
      </c>
      <c r="J482" s="80" t="b">
        <v>0</v>
      </c>
      <c r="K482" s="80" t="b">
        <v>0</v>
      </c>
      <c r="L482" s="80" t="b">
        <v>0</v>
      </c>
    </row>
    <row r="483" spans="1:12" ht="15">
      <c r="A483" s="81" t="s">
        <v>3700</v>
      </c>
      <c r="B483" s="80" t="s">
        <v>3701</v>
      </c>
      <c r="C483" s="80">
        <v>2</v>
      </c>
      <c r="D483" s="105">
        <v>0.0009240081668555858</v>
      </c>
      <c r="E483" s="105">
        <v>3.350829273582968</v>
      </c>
      <c r="F483" s="80" t="s">
        <v>3896</v>
      </c>
      <c r="G483" s="80" t="b">
        <v>0</v>
      </c>
      <c r="H483" s="80" t="b">
        <v>0</v>
      </c>
      <c r="I483" s="80" t="b">
        <v>0</v>
      </c>
      <c r="J483" s="80" t="b">
        <v>0</v>
      </c>
      <c r="K483" s="80" t="b">
        <v>0</v>
      </c>
      <c r="L483" s="80" t="b">
        <v>0</v>
      </c>
    </row>
    <row r="484" spans="1:12" ht="15">
      <c r="A484" s="81" t="s">
        <v>3701</v>
      </c>
      <c r="B484" s="80" t="s">
        <v>3702</v>
      </c>
      <c r="C484" s="80">
        <v>2</v>
      </c>
      <c r="D484" s="105">
        <v>0.0009240081668555858</v>
      </c>
      <c r="E484" s="105">
        <v>3.350829273582968</v>
      </c>
      <c r="F484" s="80" t="s">
        <v>3896</v>
      </c>
      <c r="G484" s="80" t="b">
        <v>0</v>
      </c>
      <c r="H484" s="80" t="b">
        <v>0</v>
      </c>
      <c r="I484" s="80" t="b">
        <v>0</v>
      </c>
      <c r="J484" s="80" t="b">
        <v>0</v>
      </c>
      <c r="K484" s="80" t="b">
        <v>0</v>
      </c>
      <c r="L484" s="80" t="b">
        <v>0</v>
      </c>
    </row>
    <row r="485" spans="1:12" ht="15">
      <c r="A485" s="81" t="s">
        <v>3702</v>
      </c>
      <c r="B485" s="80" t="s">
        <v>3397</v>
      </c>
      <c r="C485" s="80">
        <v>2</v>
      </c>
      <c r="D485" s="105">
        <v>0.0009240081668555858</v>
      </c>
      <c r="E485" s="105">
        <v>2.95288926491093</v>
      </c>
      <c r="F485" s="80" t="s">
        <v>3896</v>
      </c>
      <c r="G485" s="80" t="b">
        <v>0</v>
      </c>
      <c r="H485" s="80" t="b">
        <v>0</v>
      </c>
      <c r="I485" s="80" t="b">
        <v>0</v>
      </c>
      <c r="J485" s="80" t="b">
        <v>0</v>
      </c>
      <c r="K485" s="80" t="b">
        <v>0</v>
      </c>
      <c r="L485" s="80" t="b">
        <v>0</v>
      </c>
    </row>
    <row r="486" spans="1:12" ht="15">
      <c r="A486" s="81" t="s">
        <v>3397</v>
      </c>
      <c r="B486" s="80" t="s">
        <v>3703</v>
      </c>
      <c r="C486" s="80">
        <v>2</v>
      </c>
      <c r="D486" s="105">
        <v>0.0009240081668555858</v>
      </c>
      <c r="E486" s="105">
        <v>2.95288926491093</v>
      </c>
      <c r="F486" s="80" t="s">
        <v>3896</v>
      </c>
      <c r="G486" s="80" t="b">
        <v>0</v>
      </c>
      <c r="H486" s="80" t="b">
        <v>0</v>
      </c>
      <c r="I486" s="80" t="b">
        <v>0</v>
      </c>
      <c r="J486" s="80" t="b">
        <v>0</v>
      </c>
      <c r="K486" s="80" t="b">
        <v>0</v>
      </c>
      <c r="L486" s="80" t="b">
        <v>0</v>
      </c>
    </row>
    <row r="487" spans="1:12" ht="15">
      <c r="A487" s="81" t="s">
        <v>3703</v>
      </c>
      <c r="B487" s="80" t="s">
        <v>3704</v>
      </c>
      <c r="C487" s="80">
        <v>2</v>
      </c>
      <c r="D487" s="105">
        <v>0.0009240081668555858</v>
      </c>
      <c r="E487" s="105">
        <v>3.350829273582968</v>
      </c>
      <c r="F487" s="80" t="s">
        <v>3896</v>
      </c>
      <c r="G487" s="80" t="b">
        <v>0</v>
      </c>
      <c r="H487" s="80" t="b">
        <v>0</v>
      </c>
      <c r="I487" s="80" t="b">
        <v>0</v>
      </c>
      <c r="J487" s="80" t="b">
        <v>0</v>
      </c>
      <c r="K487" s="80" t="b">
        <v>0</v>
      </c>
      <c r="L487" s="80" t="b">
        <v>0</v>
      </c>
    </row>
    <row r="488" spans="1:12" ht="15">
      <c r="A488" s="81" t="s">
        <v>3704</v>
      </c>
      <c r="B488" s="80" t="s">
        <v>3705</v>
      </c>
      <c r="C488" s="80">
        <v>2</v>
      </c>
      <c r="D488" s="105">
        <v>0.0009240081668555858</v>
      </c>
      <c r="E488" s="105">
        <v>3.350829273582968</v>
      </c>
      <c r="F488" s="80" t="s">
        <v>3896</v>
      </c>
      <c r="G488" s="80" t="b">
        <v>0</v>
      </c>
      <c r="H488" s="80" t="b">
        <v>0</v>
      </c>
      <c r="I488" s="80" t="b">
        <v>0</v>
      </c>
      <c r="J488" s="80" t="b">
        <v>0</v>
      </c>
      <c r="K488" s="80" t="b">
        <v>0</v>
      </c>
      <c r="L488" s="80" t="b">
        <v>0</v>
      </c>
    </row>
    <row r="489" spans="1:12" ht="15">
      <c r="A489" s="81" t="s">
        <v>3705</v>
      </c>
      <c r="B489" s="80" t="s">
        <v>3285</v>
      </c>
      <c r="C489" s="80">
        <v>2</v>
      </c>
      <c r="D489" s="105">
        <v>0.0009240081668555858</v>
      </c>
      <c r="E489" s="105">
        <v>2.396586764143643</v>
      </c>
      <c r="F489" s="80" t="s">
        <v>3896</v>
      </c>
      <c r="G489" s="80" t="b">
        <v>0</v>
      </c>
      <c r="H489" s="80" t="b">
        <v>0</v>
      </c>
      <c r="I489" s="80" t="b">
        <v>0</v>
      </c>
      <c r="J489" s="80" t="b">
        <v>0</v>
      </c>
      <c r="K489" s="80" t="b">
        <v>0</v>
      </c>
      <c r="L489" s="80" t="b">
        <v>0</v>
      </c>
    </row>
    <row r="490" spans="1:12" ht="15">
      <c r="A490" s="81" t="s">
        <v>3285</v>
      </c>
      <c r="B490" s="80" t="s">
        <v>3706</v>
      </c>
      <c r="C490" s="80">
        <v>2</v>
      </c>
      <c r="D490" s="105">
        <v>0.0009240081668555858</v>
      </c>
      <c r="E490" s="105">
        <v>2.396586764143643</v>
      </c>
      <c r="F490" s="80" t="s">
        <v>3896</v>
      </c>
      <c r="G490" s="80" t="b">
        <v>0</v>
      </c>
      <c r="H490" s="80" t="b">
        <v>0</v>
      </c>
      <c r="I490" s="80" t="b">
        <v>0</v>
      </c>
      <c r="J490" s="80" t="b">
        <v>0</v>
      </c>
      <c r="K490" s="80" t="b">
        <v>0</v>
      </c>
      <c r="L490" s="80" t="b">
        <v>0</v>
      </c>
    </row>
    <row r="491" spans="1:12" ht="15">
      <c r="A491" s="81" t="s">
        <v>3706</v>
      </c>
      <c r="B491" s="80" t="s">
        <v>3707</v>
      </c>
      <c r="C491" s="80">
        <v>2</v>
      </c>
      <c r="D491" s="105">
        <v>0.0009240081668555858</v>
      </c>
      <c r="E491" s="105">
        <v>3.350829273582968</v>
      </c>
      <c r="F491" s="80" t="s">
        <v>3896</v>
      </c>
      <c r="G491" s="80" t="b">
        <v>0</v>
      </c>
      <c r="H491" s="80" t="b">
        <v>0</v>
      </c>
      <c r="I491" s="80" t="b">
        <v>0</v>
      </c>
      <c r="J491" s="80" t="b">
        <v>0</v>
      </c>
      <c r="K491" s="80" t="b">
        <v>0</v>
      </c>
      <c r="L491" s="80" t="b">
        <v>0</v>
      </c>
    </row>
    <row r="492" spans="1:12" ht="15">
      <c r="A492" s="81" t="s">
        <v>3707</v>
      </c>
      <c r="B492" s="80" t="s">
        <v>3379</v>
      </c>
      <c r="C492" s="80">
        <v>2</v>
      </c>
      <c r="D492" s="105">
        <v>0.0009240081668555858</v>
      </c>
      <c r="E492" s="105">
        <v>2.8737080188633053</v>
      </c>
      <c r="F492" s="80" t="s">
        <v>3896</v>
      </c>
      <c r="G492" s="80" t="b">
        <v>0</v>
      </c>
      <c r="H492" s="80" t="b">
        <v>0</v>
      </c>
      <c r="I492" s="80" t="b">
        <v>0</v>
      </c>
      <c r="J492" s="80" t="b">
        <v>0</v>
      </c>
      <c r="K492" s="80" t="b">
        <v>0</v>
      </c>
      <c r="L492" s="80" t="b">
        <v>0</v>
      </c>
    </row>
    <row r="493" spans="1:12" ht="15">
      <c r="A493" s="81" t="s">
        <v>3379</v>
      </c>
      <c r="B493" s="80" t="s">
        <v>3708</v>
      </c>
      <c r="C493" s="80">
        <v>2</v>
      </c>
      <c r="D493" s="105">
        <v>0.0009240081668555858</v>
      </c>
      <c r="E493" s="105">
        <v>2.8737080188633053</v>
      </c>
      <c r="F493" s="80" t="s">
        <v>3896</v>
      </c>
      <c r="G493" s="80" t="b">
        <v>0</v>
      </c>
      <c r="H493" s="80" t="b">
        <v>0</v>
      </c>
      <c r="I493" s="80" t="b">
        <v>0</v>
      </c>
      <c r="J493" s="80" t="b">
        <v>0</v>
      </c>
      <c r="K493" s="80" t="b">
        <v>0</v>
      </c>
      <c r="L493" s="80" t="b">
        <v>0</v>
      </c>
    </row>
    <row r="494" spans="1:12" ht="15">
      <c r="A494" s="81" t="s">
        <v>3708</v>
      </c>
      <c r="B494" s="80" t="s">
        <v>3709</v>
      </c>
      <c r="C494" s="80">
        <v>2</v>
      </c>
      <c r="D494" s="105">
        <v>0.0009240081668555858</v>
      </c>
      <c r="E494" s="105">
        <v>3.350829273582968</v>
      </c>
      <c r="F494" s="80" t="s">
        <v>3896</v>
      </c>
      <c r="G494" s="80" t="b">
        <v>0</v>
      </c>
      <c r="H494" s="80" t="b">
        <v>0</v>
      </c>
      <c r="I494" s="80" t="b">
        <v>0</v>
      </c>
      <c r="J494" s="80" t="b">
        <v>0</v>
      </c>
      <c r="K494" s="80" t="b">
        <v>0</v>
      </c>
      <c r="L494" s="80" t="b">
        <v>0</v>
      </c>
    </row>
    <row r="495" spans="1:12" ht="15">
      <c r="A495" s="81" t="s">
        <v>3709</v>
      </c>
      <c r="B495" s="80" t="s">
        <v>3463</v>
      </c>
      <c r="C495" s="80">
        <v>2</v>
      </c>
      <c r="D495" s="105">
        <v>0.0009240081668555858</v>
      </c>
      <c r="E495" s="105">
        <v>3.350829273582968</v>
      </c>
      <c r="F495" s="80" t="s">
        <v>3896</v>
      </c>
      <c r="G495" s="80" t="b">
        <v>0</v>
      </c>
      <c r="H495" s="80" t="b">
        <v>0</v>
      </c>
      <c r="I495" s="80" t="b">
        <v>0</v>
      </c>
      <c r="J495" s="80" t="b">
        <v>0</v>
      </c>
      <c r="K495" s="80" t="b">
        <v>0</v>
      </c>
      <c r="L495" s="80" t="b">
        <v>0</v>
      </c>
    </row>
    <row r="496" spans="1:12" ht="15">
      <c r="A496" s="81" t="s">
        <v>3356</v>
      </c>
      <c r="B496" s="80" t="s">
        <v>3374</v>
      </c>
      <c r="C496" s="80">
        <v>2</v>
      </c>
      <c r="D496" s="105">
        <v>0.0009240081668555858</v>
      </c>
      <c r="E496" s="105">
        <v>2.447739286591024</v>
      </c>
      <c r="F496" s="80" t="s">
        <v>3896</v>
      </c>
      <c r="G496" s="80" t="b">
        <v>0</v>
      </c>
      <c r="H496" s="80" t="b">
        <v>0</v>
      </c>
      <c r="I496" s="80" t="b">
        <v>0</v>
      </c>
      <c r="J496" s="80" t="b">
        <v>0</v>
      </c>
      <c r="K496" s="80" t="b">
        <v>0</v>
      </c>
      <c r="L496" s="80" t="b">
        <v>0</v>
      </c>
    </row>
    <row r="497" spans="1:12" ht="15">
      <c r="A497" s="81" t="s">
        <v>3374</v>
      </c>
      <c r="B497" s="80" t="s">
        <v>3348</v>
      </c>
      <c r="C497" s="80">
        <v>2</v>
      </c>
      <c r="D497" s="105">
        <v>0.0009240081668555858</v>
      </c>
      <c r="E497" s="105">
        <v>2.1535487154573483</v>
      </c>
      <c r="F497" s="80" t="s">
        <v>3896</v>
      </c>
      <c r="G497" s="80" t="b">
        <v>0</v>
      </c>
      <c r="H497" s="80" t="b">
        <v>0</v>
      </c>
      <c r="I497" s="80" t="b">
        <v>0</v>
      </c>
      <c r="J497" s="80" t="b">
        <v>0</v>
      </c>
      <c r="K497" s="80" t="b">
        <v>0</v>
      </c>
      <c r="L497" s="80" t="b">
        <v>0</v>
      </c>
    </row>
    <row r="498" spans="1:12" ht="15">
      <c r="A498" s="81" t="s">
        <v>3348</v>
      </c>
      <c r="B498" s="80" t="s">
        <v>3710</v>
      </c>
      <c r="C498" s="80">
        <v>2</v>
      </c>
      <c r="D498" s="105">
        <v>0.0009240081668555858</v>
      </c>
      <c r="E498" s="105">
        <v>2.697616759807624</v>
      </c>
      <c r="F498" s="80" t="s">
        <v>3896</v>
      </c>
      <c r="G498" s="80" t="b">
        <v>0</v>
      </c>
      <c r="H498" s="80" t="b">
        <v>0</v>
      </c>
      <c r="I498" s="80" t="b">
        <v>0</v>
      </c>
      <c r="J498" s="80" t="b">
        <v>0</v>
      </c>
      <c r="K498" s="80" t="b">
        <v>0</v>
      </c>
      <c r="L498" s="80" t="b">
        <v>0</v>
      </c>
    </row>
    <row r="499" spans="1:12" ht="15">
      <c r="A499" s="81" t="s">
        <v>3710</v>
      </c>
      <c r="B499" s="80" t="s">
        <v>3711</v>
      </c>
      <c r="C499" s="80">
        <v>2</v>
      </c>
      <c r="D499" s="105">
        <v>0.0009240081668555858</v>
      </c>
      <c r="E499" s="105">
        <v>3.350829273582968</v>
      </c>
      <c r="F499" s="80" t="s">
        <v>3896</v>
      </c>
      <c r="G499" s="80" t="b">
        <v>0</v>
      </c>
      <c r="H499" s="80" t="b">
        <v>0</v>
      </c>
      <c r="I499" s="80" t="b">
        <v>0</v>
      </c>
      <c r="J499" s="80" t="b">
        <v>0</v>
      </c>
      <c r="K499" s="80" t="b">
        <v>0</v>
      </c>
      <c r="L499" s="80" t="b">
        <v>0</v>
      </c>
    </row>
    <row r="500" spans="1:12" ht="15">
      <c r="A500" s="81" t="s">
        <v>3711</v>
      </c>
      <c r="B500" s="80" t="s">
        <v>3712</v>
      </c>
      <c r="C500" s="80">
        <v>2</v>
      </c>
      <c r="D500" s="105">
        <v>0.0009240081668555858</v>
      </c>
      <c r="E500" s="105">
        <v>3.350829273582968</v>
      </c>
      <c r="F500" s="80" t="s">
        <v>3896</v>
      </c>
      <c r="G500" s="80" t="b">
        <v>0</v>
      </c>
      <c r="H500" s="80" t="b">
        <v>0</v>
      </c>
      <c r="I500" s="80" t="b">
        <v>0</v>
      </c>
      <c r="J500" s="80" t="b">
        <v>0</v>
      </c>
      <c r="K500" s="80" t="b">
        <v>0</v>
      </c>
      <c r="L500" s="80" t="b">
        <v>0</v>
      </c>
    </row>
    <row r="501" spans="1:12" ht="15">
      <c r="A501" s="81" t="s">
        <v>3712</v>
      </c>
      <c r="B501" s="80" t="s">
        <v>3713</v>
      </c>
      <c r="C501" s="80">
        <v>2</v>
      </c>
      <c r="D501" s="105">
        <v>0.0009240081668555858</v>
      </c>
      <c r="E501" s="105">
        <v>3.350829273582968</v>
      </c>
      <c r="F501" s="80" t="s">
        <v>3896</v>
      </c>
      <c r="G501" s="80" t="b">
        <v>0</v>
      </c>
      <c r="H501" s="80" t="b">
        <v>0</v>
      </c>
      <c r="I501" s="80" t="b">
        <v>0</v>
      </c>
      <c r="J501" s="80" t="b">
        <v>0</v>
      </c>
      <c r="K501" s="80" t="b">
        <v>0</v>
      </c>
      <c r="L501" s="80" t="b">
        <v>0</v>
      </c>
    </row>
    <row r="502" spans="1:12" ht="15">
      <c r="A502" s="81" t="s">
        <v>3713</v>
      </c>
      <c r="B502" s="80" t="s">
        <v>3714</v>
      </c>
      <c r="C502" s="80">
        <v>2</v>
      </c>
      <c r="D502" s="105">
        <v>0.0009240081668555858</v>
      </c>
      <c r="E502" s="105">
        <v>3.350829273582968</v>
      </c>
      <c r="F502" s="80" t="s">
        <v>3896</v>
      </c>
      <c r="G502" s="80" t="b">
        <v>0</v>
      </c>
      <c r="H502" s="80" t="b">
        <v>0</v>
      </c>
      <c r="I502" s="80" t="b">
        <v>0</v>
      </c>
      <c r="J502" s="80" t="b">
        <v>0</v>
      </c>
      <c r="K502" s="80" t="b">
        <v>0</v>
      </c>
      <c r="L502" s="80" t="b">
        <v>0</v>
      </c>
    </row>
    <row r="503" spans="1:12" ht="15">
      <c r="A503" s="81" t="s">
        <v>3714</v>
      </c>
      <c r="B503" s="80" t="s">
        <v>3715</v>
      </c>
      <c r="C503" s="80">
        <v>2</v>
      </c>
      <c r="D503" s="105">
        <v>0.0009240081668555858</v>
      </c>
      <c r="E503" s="105">
        <v>3.350829273582968</v>
      </c>
      <c r="F503" s="80" t="s">
        <v>3896</v>
      </c>
      <c r="G503" s="80" t="b">
        <v>0</v>
      </c>
      <c r="H503" s="80" t="b">
        <v>0</v>
      </c>
      <c r="I503" s="80" t="b">
        <v>0</v>
      </c>
      <c r="J503" s="80" t="b">
        <v>0</v>
      </c>
      <c r="K503" s="80" t="b">
        <v>0</v>
      </c>
      <c r="L503" s="80" t="b">
        <v>0</v>
      </c>
    </row>
    <row r="504" spans="1:12" ht="15">
      <c r="A504" s="81" t="s">
        <v>3715</v>
      </c>
      <c r="B504" s="80" t="s">
        <v>3716</v>
      </c>
      <c r="C504" s="80">
        <v>2</v>
      </c>
      <c r="D504" s="105">
        <v>0.0009240081668555858</v>
      </c>
      <c r="E504" s="105">
        <v>3.350829273582968</v>
      </c>
      <c r="F504" s="80" t="s">
        <v>3896</v>
      </c>
      <c r="G504" s="80" t="b">
        <v>0</v>
      </c>
      <c r="H504" s="80" t="b">
        <v>0</v>
      </c>
      <c r="I504" s="80" t="b">
        <v>0</v>
      </c>
      <c r="J504" s="80" t="b">
        <v>0</v>
      </c>
      <c r="K504" s="80" t="b">
        <v>0</v>
      </c>
      <c r="L504" s="80" t="b">
        <v>0</v>
      </c>
    </row>
    <row r="505" spans="1:12" ht="15">
      <c r="A505" s="81" t="s">
        <v>3716</v>
      </c>
      <c r="B505" s="80" t="s">
        <v>3717</v>
      </c>
      <c r="C505" s="80">
        <v>2</v>
      </c>
      <c r="D505" s="105">
        <v>0.0009240081668555858</v>
      </c>
      <c r="E505" s="105">
        <v>3.350829273582968</v>
      </c>
      <c r="F505" s="80" t="s">
        <v>3896</v>
      </c>
      <c r="G505" s="80" t="b">
        <v>0</v>
      </c>
      <c r="H505" s="80" t="b">
        <v>0</v>
      </c>
      <c r="I505" s="80" t="b">
        <v>0</v>
      </c>
      <c r="J505" s="80" t="b">
        <v>0</v>
      </c>
      <c r="K505" s="80" t="b">
        <v>0</v>
      </c>
      <c r="L505" s="80" t="b">
        <v>0</v>
      </c>
    </row>
    <row r="506" spans="1:12" ht="15">
      <c r="A506" s="81" t="s">
        <v>3717</v>
      </c>
      <c r="B506" s="80" t="s">
        <v>3260</v>
      </c>
      <c r="C506" s="80">
        <v>2</v>
      </c>
      <c r="D506" s="105">
        <v>0.0009240081668555858</v>
      </c>
      <c r="E506" s="105">
        <v>1.1440033975511181</v>
      </c>
      <c r="F506" s="80" t="s">
        <v>3896</v>
      </c>
      <c r="G506" s="80" t="b">
        <v>0</v>
      </c>
      <c r="H506" s="80" t="b">
        <v>0</v>
      </c>
      <c r="I506" s="80" t="b">
        <v>0</v>
      </c>
      <c r="J506" s="80" t="b">
        <v>0</v>
      </c>
      <c r="K506" s="80" t="b">
        <v>0</v>
      </c>
      <c r="L506" s="80" t="b">
        <v>0</v>
      </c>
    </row>
    <row r="507" spans="1:12" ht="15">
      <c r="A507" s="81" t="s">
        <v>494</v>
      </c>
      <c r="B507" s="80" t="s">
        <v>533</v>
      </c>
      <c r="C507" s="80">
        <v>2</v>
      </c>
      <c r="D507" s="105">
        <v>0.0009240081668555858</v>
      </c>
      <c r="E507" s="105">
        <v>2.7487692822550054</v>
      </c>
      <c r="F507" s="80" t="s">
        <v>3896</v>
      </c>
      <c r="G507" s="80" t="b">
        <v>0</v>
      </c>
      <c r="H507" s="80" t="b">
        <v>0</v>
      </c>
      <c r="I507" s="80" t="b">
        <v>0</v>
      </c>
      <c r="J507" s="80" t="b">
        <v>0</v>
      </c>
      <c r="K507" s="80" t="b">
        <v>0</v>
      </c>
      <c r="L507" s="80" t="b">
        <v>0</v>
      </c>
    </row>
    <row r="508" spans="1:12" ht="15">
      <c r="A508" s="81" t="s">
        <v>542</v>
      </c>
      <c r="B508" s="80" t="s">
        <v>458</v>
      </c>
      <c r="C508" s="80">
        <v>2</v>
      </c>
      <c r="D508" s="105">
        <v>0.0009240081668555858</v>
      </c>
      <c r="E508" s="105">
        <v>2.120380352204694</v>
      </c>
      <c r="F508" s="80" t="s">
        <v>3896</v>
      </c>
      <c r="G508" s="80" t="b">
        <v>0</v>
      </c>
      <c r="H508" s="80" t="b">
        <v>0</v>
      </c>
      <c r="I508" s="80" t="b">
        <v>0</v>
      </c>
      <c r="J508" s="80" t="b">
        <v>0</v>
      </c>
      <c r="K508" s="80" t="b">
        <v>0</v>
      </c>
      <c r="L508" s="80" t="b">
        <v>0</v>
      </c>
    </row>
    <row r="509" spans="1:12" ht="15">
      <c r="A509" s="81" t="s">
        <v>447</v>
      </c>
      <c r="B509" s="80" t="s">
        <v>494</v>
      </c>
      <c r="C509" s="80">
        <v>2</v>
      </c>
      <c r="D509" s="105">
        <v>0.0009240081668555858</v>
      </c>
      <c r="E509" s="105">
        <v>2.6518592692469487</v>
      </c>
      <c r="F509" s="80" t="s">
        <v>3896</v>
      </c>
      <c r="G509" s="80" t="b">
        <v>0</v>
      </c>
      <c r="H509" s="80" t="b">
        <v>0</v>
      </c>
      <c r="I509" s="80" t="b">
        <v>0</v>
      </c>
      <c r="J509" s="80" t="b">
        <v>0</v>
      </c>
      <c r="K509" s="80" t="b">
        <v>0</v>
      </c>
      <c r="L509" s="80" t="b">
        <v>0</v>
      </c>
    </row>
    <row r="510" spans="1:12" ht="15">
      <c r="A510" s="81" t="s">
        <v>3260</v>
      </c>
      <c r="B510" s="80" t="s">
        <v>3360</v>
      </c>
      <c r="C510" s="80">
        <v>2</v>
      </c>
      <c r="D510" s="105">
        <v>0.0009240081668555858</v>
      </c>
      <c r="E510" s="105">
        <v>0.7993792756100926</v>
      </c>
      <c r="F510" s="80" t="s">
        <v>3896</v>
      </c>
      <c r="G510" s="80" t="b">
        <v>0</v>
      </c>
      <c r="H510" s="80" t="b">
        <v>0</v>
      </c>
      <c r="I510" s="80" t="b">
        <v>0</v>
      </c>
      <c r="J510" s="80" t="b">
        <v>0</v>
      </c>
      <c r="K510" s="80" t="b">
        <v>0</v>
      </c>
      <c r="L510" s="80" t="b">
        <v>0</v>
      </c>
    </row>
    <row r="511" spans="1:12" ht="15">
      <c r="A511" s="81" t="s">
        <v>497</v>
      </c>
      <c r="B511" s="80" t="s">
        <v>496</v>
      </c>
      <c r="C511" s="80">
        <v>2</v>
      </c>
      <c r="D511" s="105">
        <v>0.0009240081668555858</v>
      </c>
      <c r="E511" s="105">
        <v>2.396586764143643</v>
      </c>
      <c r="F511" s="80" t="s">
        <v>3896</v>
      </c>
      <c r="G511" s="80" t="b">
        <v>0</v>
      </c>
      <c r="H511" s="80" t="b">
        <v>0</v>
      </c>
      <c r="I511" s="80" t="b">
        <v>0</v>
      </c>
      <c r="J511" s="80" t="b">
        <v>0</v>
      </c>
      <c r="K511" s="80" t="b">
        <v>0</v>
      </c>
      <c r="L511" s="80" t="b">
        <v>0</v>
      </c>
    </row>
    <row r="512" spans="1:12" ht="15">
      <c r="A512" s="81" t="s">
        <v>3437</v>
      </c>
      <c r="B512" s="80" t="s">
        <v>3626</v>
      </c>
      <c r="C512" s="80">
        <v>2</v>
      </c>
      <c r="D512" s="105">
        <v>0.0009240081668555858</v>
      </c>
      <c r="E512" s="105">
        <v>2.8737080188633053</v>
      </c>
      <c r="F512" s="80" t="s">
        <v>3896</v>
      </c>
      <c r="G512" s="80" t="b">
        <v>0</v>
      </c>
      <c r="H512" s="80" t="b">
        <v>0</v>
      </c>
      <c r="I512" s="80" t="b">
        <v>0</v>
      </c>
      <c r="J512" s="80" t="b">
        <v>0</v>
      </c>
      <c r="K512" s="80" t="b">
        <v>0</v>
      </c>
      <c r="L512" s="80" t="b">
        <v>0</v>
      </c>
    </row>
    <row r="513" spans="1:12" ht="15">
      <c r="A513" s="81" t="s">
        <v>3628</v>
      </c>
      <c r="B513" s="80" t="s">
        <v>3729</v>
      </c>
      <c r="C513" s="80">
        <v>2</v>
      </c>
      <c r="D513" s="105">
        <v>0.0009240081668555858</v>
      </c>
      <c r="E513" s="105">
        <v>3.1747380145272865</v>
      </c>
      <c r="F513" s="80" t="s">
        <v>3896</v>
      </c>
      <c r="G513" s="80" t="b">
        <v>1</v>
      </c>
      <c r="H513" s="80" t="b">
        <v>0</v>
      </c>
      <c r="I513" s="80" t="b">
        <v>0</v>
      </c>
      <c r="J513" s="80" t="b">
        <v>0</v>
      </c>
      <c r="K513" s="80" t="b">
        <v>0</v>
      </c>
      <c r="L513" s="80" t="b">
        <v>0</v>
      </c>
    </row>
    <row r="514" spans="1:12" ht="15">
      <c r="A514" s="81" t="s">
        <v>3729</v>
      </c>
      <c r="B514" s="80" t="s">
        <v>3305</v>
      </c>
      <c r="C514" s="80">
        <v>2</v>
      </c>
      <c r="D514" s="105">
        <v>0.0009240081668555858</v>
      </c>
      <c r="E514" s="105">
        <v>2.475768010191268</v>
      </c>
      <c r="F514" s="80" t="s">
        <v>3896</v>
      </c>
      <c r="G514" s="80" t="b">
        <v>0</v>
      </c>
      <c r="H514" s="80" t="b">
        <v>0</v>
      </c>
      <c r="I514" s="80" t="b">
        <v>0</v>
      </c>
      <c r="J514" s="80" t="b">
        <v>0</v>
      </c>
      <c r="K514" s="80" t="b">
        <v>0</v>
      </c>
      <c r="L514" s="80" t="b">
        <v>0</v>
      </c>
    </row>
    <row r="515" spans="1:12" ht="15">
      <c r="A515" s="81" t="s">
        <v>3305</v>
      </c>
      <c r="B515" s="80" t="s">
        <v>3260</v>
      </c>
      <c r="C515" s="80">
        <v>2</v>
      </c>
      <c r="D515" s="105">
        <v>0.0009240081668555858</v>
      </c>
      <c r="E515" s="105">
        <v>0.2989053575368612</v>
      </c>
      <c r="F515" s="80" t="s">
        <v>3896</v>
      </c>
      <c r="G515" s="80" t="b">
        <v>0</v>
      </c>
      <c r="H515" s="80" t="b">
        <v>0</v>
      </c>
      <c r="I515" s="80" t="b">
        <v>0</v>
      </c>
      <c r="J515" s="80" t="b">
        <v>0</v>
      </c>
      <c r="K515" s="80" t="b">
        <v>0</v>
      </c>
      <c r="L515" s="80" t="b">
        <v>0</v>
      </c>
    </row>
    <row r="516" spans="1:12" ht="15">
      <c r="A516" s="81" t="s">
        <v>3260</v>
      </c>
      <c r="B516" s="80" t="s">
        <v>3730</v>
      </c>
      <c r="C516" s="80">
        <v>2</v>
      </c>
      <c r="D516" s="105">
        <v>0.0009240081668555858</v>
      </c>
      <c r="E516" s="105">
        <v>1.4014392669380549</v>
      </c>
      <c r="F516" s="80" t="s">
        <v>3896</v>
      </c>
      <c r="G516" s="80" t="b">
        <v>0</v>
      </c>
      <c r="H516" s="80" t="b">
        <v>0</v>
      </c>
      <c r="I516" s="80" t="b">
        <v>0</v>
      </c>
      <c r="J516" s="80" t="b">
        <v>0</v>
      </c>
      <c r="K516" s="80" t="b">
        <v>0</v>
      </c>
      <c r="L516" s="80" t="b">
        <v>0</v>
      </c>
    </row>
    <row r="517" spans="1:12" ht="15">
      <c r="A517" s="81" t="s">
        <v>3730</v>
      </c>
      <c r="B517" s="80" t="s">
        <v>3731</v>
      </c>
      <c r="C517" s="80">
        <v>2</v>
      </c>
      <c r="D517" s="105">
        <v>0.0009240081668555858</v>
      </c>
      <c r="E517" s="105">
        <v>3.350829273582968</v>
      </c>
      <c r="F517" s="80" t="s">
        <v>3896</v>
      </c>
      <c r="G517" s="80" t="b">
        <v>0</v>
      </c>
      <c r="H517" s="80" t="b">
        <v>0</v>
      </c>
      <c r="I517" s="80" t="b">
        <v>0</v>
      </c>
      <c r="J517" s="80" t="b">
        <v>0</v>
      </c>
      <c r="K517" s="80" t="b">
        <v>0</v>
      </c>
      <c r="L517" s="80" t="b">
        <v>0</v>
      </c>
    </row>
    <row r="518" spans="1:12" ht="15">
      <c r="A518" s="81" t="s">
        <v>542</v>
      </c>
      <c r="B518" s="80" t="s">
        <v>3732</v>
      </c>
      <c r="C518" s="80">
        <v>2</v>
      </c>
      <c r="D518" s="105">
        <v>0.0009240081668555858</v>
      </c>
      <c r="E518" s="105">
        <v>2.421410347868675</v>
      </c>
      <c r="F518" s="80" t="s">
        <v>3896</v>
      </c>
      <c r="G518" s="80" t="b">
        <v>0</v>
      </c>
      <c r="H518" s="80" t="b">
        <v>0</v>
      </c>
      <c r="I518" s="80" t="b">
        <v>0</v>
      </c>
      <c r="J518" s="80" t="b">
        <v>0</v>
      </c>
      <c r="K518" s="80" t="b">
        <v>0</v>
      </c>
      <c r="L518" s="80" t="b">
        <v>0</v>
      </c>
    </row>
    <row r="519" spans="1:12" ht="15">
      <c r="A519" s="81" t="s">
        <v>3732</v>
      </c>
      <c r="B519" s="80" t="s">
        <v>3278</v>
      </c>
      <c r="C519" s="80">
        <v>2</v>
      </c>
      <c r="D519" s="105">
        <v>0.0009240081668555858</v>
      </c>
      <c r="E519" s="105">
        <v>2.253919260574911</v>
      </c>
      <c r="F519" s="80" t="s">
        <v>3896</v>
      </c>
      <c r="G519" s="80" t="b">
        <v>0</v>
      </c>
      <c r="H519" s="80" t="b">
        <v>0</v>
      </c>
      <c r="I519" s="80" t="b">
        <v>0</v>
      </c>
      <c r="J519" s="80" t="b">
        <v>0</v>
      </c>
      <c r="K519" s="80" t="b">
        <v>0</v>
      </c>
      <c r="L519" s="80" t="b">
        <v>0</v>
      </c>
    </row>
    <row r="520" spans="1:12" ht="15">
      <c r="A520" s="81" t="s">
        <v>3278</v>
      </c>
      <c r="B520" s="80" t="s">
        <v>3733</v>
      </c>
      <c r="C520" s="80">
        <v>2</v>
      </c>
      <c r="D520" s="105">
        <v>0.0009240081668555858</v>
      </c>
      <c r="E520" s="105">
        <v>2.271648027535343</v>
      </c>
      <c r="F520" s="80" t="s">
        <v>3896</v>
      </c>
      <c r="G520" s="80" t="b">
        <v>0</v>
      </c>
      <c r="H520" s="80" t="b">
        <v>0</v>
      </c>
      <c r="I520" s="80" t="b">
        <v>0</v>
      </c>
      <c r="J520" s="80" t="b">
        <v>0</v>
      </c>
      <c r="K520" s="80" t="b">
        <v>0</v>
      </c>
      <c r="L520" s="80" t="b">
        <v>0</v>
      </c>
    </row>
    <row r="521" spans="1:12" ht="15">
      <c r="A521" s="81" t="s">
        <v>3733</v>
      </c>
      <c r="B521" s="80" t="s">
        <v>3734</v>
      </c>
      <c r="C521" s="80">
        <v>2</v>
      </c>
      <c r="D521" s="105">
        <v>0.0009240081668555858</v>
      </c>
      <c r="E521" s="105">
        <v>3.350829273582968</v>
      </c>
      <c r="F521" s="80" t="s">
        <v>3896</v>
      </c>
      <c r="G521" s="80" t="b">
        <v>0</v>
      </c>
      <c r="H521" s="80" t="b">
        <v>0</v>
      </c>
      <c r="I521" s="80" t="b">
        <v>0</v>
      </c>
      <c r="J521" s="80" t="b">
        <v>0</v>
      </c>
      <c r="K521" s="80" t="b">
        <v>0</v>
      </c>
      <c r="L521" s="80" t="b">
        <v>0</v>
      </c>
    </row>
    <row r="522" spans="1:12" ht="15">
      <c r="A522" s="81" t="s">
        <v>3734</v>
      </c>
      <c r="B522" s="80" t="s">
        <v>3735</v>
      </c>
      <c r="C522" s="80">
        <v>2</v>
      </c>
      <c r="D522" s="105">
        <v>0.0009240081668555858</v>
      </c>
      <c r="E522" s="105">
        <v>3.350829273582968</v>
      </c>
      <c r="F522" s="80" t="s">
        <v>3896</v>
      </c>
      <c r="G522" s="80" t="b">
        <v>0</v>
      </c>
      <c r="H522" s="80" t="b">
        <v>0</v>
      </c>
      <c r="I522" s="80" t="b">
        <v>0</v>
      </c>
      <c r="J522" s="80" t="b">
        <v>0</v>
      </c>
      <c r="K522" s="80" t="b">
        <v>0</v>
      </c>
      <c r="L522" s="80" t="b">
        <v>0</v>
      </c>
    </row>
    <row r="523" spans="1:12" ht="15">
      <c r="A523" s="81" t="s">
        <v>3735</v>
      </c>
      <c r="B523" s="80" t="s">
        <v>3351</v>
      </c>
      <c r="C523" s="80">
        <v>2</v>
      </c>
      <c r="D523" s="105">
        <v>0.0009240081668555858</v>
      </c>
      <c r="E523" s="105">
        <v>2.7487692822550054</v>
      </c>
      <c r="F523" s="80" t="s">
        <v>3896</v>
      </c>
      <c r="G523" s="80" t="b">
        <v>0</v>
      </c>
      <c r="H523" s="80" t="b">
        <v>0</v>
      </c>
      <c r="I523" s="80" t="b">
        <v>0</v>
      </c>
      <c r="J523" s="80" t="b">
        <v>0</v>
      </c>
      <c r="K523" s="80" t="b">
        <v>0</v>
      </c>
      <c r="L523" s="80" t="b">
        <v>0</v>
      </c>
    </row>
    <row r="524" spans="1:12" ht="15">
      <c r="A524" s="81" t="s">
        <v>3351</v>
      </c>
      <c r="B524" s="80" t="s">
        <v>3402</v>
      </c>
      <c r="C524" s="80">
        <v>2</v>
      </c>
      <c r="D524" s="105">
        <v>0.0009240081668555858</v>
      </c>
      <c r="E524" s="105">
        <v>2.350829273582968</v>
      </c>
      <c r="F524" s="80" t="s">
        <v>3896</v>
      </c>
      <c r="G524" s="80" t="b">
        <v>0</v>
      </c>
      <c r="H524" s="80" t="b">
        <v>0</v>
      </c>
      <c r="I524" s="80" t="b">
        <v>0</v>
      </c>
      <c r="J524" s="80" t="b">
        <v>0</v>
      </c>
      <c r="K524" s="80" t="b">
        <v>0</v>
      </c>
      <c r="L524" s="80" t="b">
        <v>0</v>
      </c>
    </row>
    <row r="525" spans="1:12" ht="15">
      <c r="A525" s="81" t="s">
        <v>3402</v>
      </c>
      <c r="B525" s="80" t="s">
        <v>3280</v>
      </c>
      <c r="C525" s="80">
        <v>2</v>
      </c>
      <c r="D525" s="105">
        <v>0.0009240081668555858</v>
      </c>
      <c r="E525" s="105">
        <v>1.9751656596220823</v>
      </c>
      <c r="F525" s="80" t="s">
        <v>3896</v>
      </c>
      <c r="G525" s="80" t="b">
        <v>0</v>
      </c>
      <c r="H525" s="80" t="b">
        <v>0</v>
      </c>
      <c r="I525" s="80" t="b">
        <v>0</v>
      </c>
      <c r="J525" s="80" t="b">
        <v>0</v>
      </c>
      <c r="K525" s="80" t="b">
        <v>0</v>
      </c>
      <c r="L525" s="80" t="b">
        <v>0</v>
      </c>
    </row>
    <row r="526" spans="1:12" ht="15">
      <c r="A526" s="81" t="s">
        <v>3280</v>
      </c>
      <c r="B526" s="80" t="s">
        <v>3736</v>
      </c>
      <c r="C526" s="80">
        <v>2</v>
      </c>
      <c r="D526" s="105">
        <v>0.0009240081668555858</v>
      </c>
      <c r="E526" s="105">
        <v>2.37310566829412</v>
      </c>
      <c r="F526" s="80" t="s">
        <v>3896</v>
      </c>
      <c r="G526" s="80" t="b">
        <v>0</v>
      </c>
      <c r="H526" s="80" t="b">
        <v>0</v>
      </c>
      <c r="I526" s="80" t="b">
        <v>0</v>
      </c>
      <c r="J526" s="80" t="b">
        <v>0</v>
      </c>
      <c r="K526" s="80" t="b">
        <v>0</v>
      </c>
      <c r="L526" s="80" t="b">
        <v>0</v>
      </c>
    </row>
    <row r="527" spans="1:12" ht="15">
      <c r="A527" s="81" t="s">
        <v>3736</v>
      </c>
      <c r="B527" s="80" t="s">
        <v>3266</v>
      </c>
      <c r="C527" s="80">
        <v>2</v>
      </c>
      <c r="D527" s="105">
        <v>0.0009240081668555858</v>
      </c>
      <c r="E527" s="105">
        <v>2.0836575451799537</v>
      </c>
      <c r="F527" s="80" t="s">
        <v>3896</v>
      </c>
      <c r="G527" s="80" t="b">
        <v>0</v>
      </c>
      <c r="H527" s="80" t="b">
        <v>0</v>
      </c>
      <c r="I527" s="80" t="b">
        <v>0</v>
      </c>
      <c r="J527" s="80" t="b">
        <v>0</v>
      </c>
      <c r="K527" s="80" t="b">
        <v>0</v>
      </c>
      <c r="L527" s="80" t="b">
        <v>0</v>
      </c>
    </row>
    <row r="528" spans="1:12" ht="15">
      <c r="A528" s="81" t="s">
        <v>3435</v>
      </c>
      <c r="B528" s="80" t="s">
        <v>3260</v>
      </c>
      <c r="C528" s="80">
        <v>2</v>
      </c>
      <c r="D528" s="105">
        <v>0.0009240081668555858</v>
      </c>
      <c r="E528" s="105">
        <v>0.9679121384954368</v>
      </c>
      <c r="F528" s="80" t="s">
        <v>3896</v>
      </c>
      <c r="G528" s="80" t="b">
        <v>0</v>
      </c>
      <c r="H528" s="80" t="b">
        <v>0</v>
      </c>
      <c r="I528" s="80" t="b">
        <v>0</v>
      </c>
      <c r="J528" s="80" t="b">
        <v>0</v>
      </c>
      <c r="K528" s="80" t="b">
        <v>0</v>
      </c>
      <c r="L528" s="80" t="b">
        <v>0</v>
      </c>
    </row>
    <row r="529" spans="1:12" ht="15">
      <c r="A529" s="81" t="s">
        <v>447</v>
      </c>
      <c r="B529" s="80" t="s">
        <v>533</v>
      </c>
      <c r="C529" s="80">
        <v>2</v>
      </c>
      <c r="D529" s="105">
        <v>0.0009240081668555858</v>
      </c>
      <c r="E529" s="105">
        <v>2.350829273582968</v>
      </c>
      <c r="F529" s="80" t="s">
        <v>3896</v>
      </c>
      <c r="G529" s="80" t="b">
        <v>0</v>
      </c>
      <c r="H529" s="80" t="b">
        <v>0</v>
      </c>
      <c r="I529" s="80" t="b">
        <v>0</v>
      </c>
      <c r="J529" s="80" t="b">
        <v>0</v>
      </c>
      <c r="K529" s="80" t="b">
        <v>0</v>
      </c>
      <c r="L529" s="80" t="b">
        <v>0</v>
      </c>
    </row>
    <row r="530" spans="1:12" ht="15">
      <c r="A530" s="81" t="s">
        <v>3739</v>
      </c>
      <c r="B530" s="80" t="s">
        <v>3740</v>
      </c>
      <c r="C530" s="80">
        <v>2</v>
      </c>
      <c r="D530" s="105">
        <v>0.0009240081668555858</v>
      </c>
      <c r="E530" s="105">
        <v>3.350829273582968</v>
      </c>
      <c r="F530" s="80" t="s">
        <v>3896</v>
      </c>
      <c r="G530" s="80" t="b">
        <v>0</v>
      </c>
      <c r="H530" s="80" t="b">
        <v>0</v>
      </c>
      <c r="I530" s="80" t="b">
        <v>0</v>
      </c>
      <c r="J530" s="80" t="b">
        <v>0</v>
      </c>
      <c r="K530" s="80" t="b">
        <v>0</v>
      </c>
      <c r="L530" s="80" t="b">
        <v>0</v>
      </c>
    </row>
    <row r="531" spans="1:12" ht="15">
      <c r="A531" s="81" t="s">
        <v>3740</v>
      </c>
      <c r="B531" s="80" t="s">
        <v>3741</v>
      </c>
      <c r="C531" s="80">
        <v>2</v>
      </c>
      <c r="D531" s="105">
        <v>0.0009240081668555858</v>
      </c>
      <c r="E531" s="105">
        <v>3.350829273582968</v>
      </c>
      <c r="F531" s="80" t="s">
        <v>3896</v>
      </c>
      <c r="G531" s="80" t="b">
        <v>0</v>
      </c>
      <c r="H531" s="80" t="b">
        <v>0</v>
      </c>
      <c r="I531" s="80" t="b">
        <v>0</v>
      </c>
      <c r="J531" s="80" t="b">
        <v>0</v>
      </c>
      <c r="K531" s="80" t="b">
        <v>0</v>
      </c>
      <c r="L531" s="80" t="b">
        <v>0</v>
      </c>
    </row>
    <row r="532" spans="1:12" ht="15">
      <c r="A532" s="81" t="s">
        <v>3741</v>
      </c>
      <c r="B532" s="80" t="s">
        <v>3742</v>
      </c>
      <c r="C532" s="80">
        <v>2</v>
      </c>
      <c r="D532" s="105">
        <v>0.0009240081668555858</v>
      </c>
      <c r="E532" s="105">
        <v>3.350829273582968</v>
      </c>
      <c r="F532" s="80" t="s">
        <v>3896</v>
      </c>
      <c r="G532" s="80" t="b">
        <v>0</v>
      </c>
      <c r="H532" s="80" t="b">
        <v>0</v>
      </c>
      <c r="I532" s="80" t="b">
        <v>0</v>
      </c>
      <c r="J532" s="80" t="b">
        <v>0</v>
      </c>
      <c r="K532" s="80" t="b">
        <v>0</v>
      </c>
      <c r="L532" s="80" t="b">
        <v>0</v>
      </c>
    </row>
    <row r="533" spans="1:12" ht="15">
      <c r="A533" s="81" t="s">
        <v>3742</v>
      </c>
      <c r="B533" s="80" t="s">
        <v>1783</v>
      </c>
      <c r="C533" s="80">
        <v>2</v>
      </c>
      <c r="D533" s="105">
        <v>0.0009240081668555858</v>
      </c>
      <c r="E533" s="105">
        <v>2.8067612292326922</v>
      </c>
      <c r="F533" s="80" t="s">
        <v>3896</v>
      </c>
      <c r="G533" s="80" t="b">
        <v>0</v>
      </c>
      <c r="H533" s="80" t="b">
        <v>0</v>
      </c>
      <c r="I533" s="80" t="b">
        <v>0</v>
      </c>
      <c r="J533" s="80" t="b">
        <v>0</v>
      </c>
      <c r="K533" s="80" t="b">
        <v>0</v>
      </c>
      <c r="L533" s="80" t="b">
        <v>0</v>
      </c>
    </row>
    <row r="534" spans="1:12" ht="15">
      <c r="A534" s="81" t="s">
        <v>1783</v>
      </c>
      <c r="B534" s="80" t="s">
        <v>3743</v>
      </c>
      <c r="C534" s="80">
        <v>2</v>
      </c>
      <c r="D534" s="105">
        <v>0.0009240081668555858</v>
      </c>
      <c r="E534" s="105">
        <v>2.8067612292326922</v>
      </c>
      <c r="F534" s="80" t="s">
        <v>3896</v>
      </c>
      <c r="G534" s="80" t="b">
        <v>0</v>
      </c>
      <c r="H534" s="80" t="b">
        <v>0</v>
      </c>
      <c r="I534" s="80" t="b">
        <v>0</v>
      </c>
      <c r="J534" s="80" t="b">
        <v>0</v>
      </c>
      <c r="K534" s="80" t="b">
        <v>0</v>
      </c>
      <c r="L534" s="80" t="b">
        <v>0</v>
      </c>
    </row>
    <row r="535" spans="1:12" ht="15">
      <c r="A535" s="81" t="s">
        <v>3743</v>
      </c>
      <c r="B535" s="80" t="s">
        <v>3744</v>
      </c>
      <c r="C535" s="80">
        <v>2</v>
      </c>
      <c r="D535" s="105">
        <v>0.0009240081668555858</v>
      </c>
      <c r="E535" s="105">
        <v>3.350829273582968</v>
      </c>
      <c r="F535" s="80" t="s">
        <v>3896</v>
      </c>
      <c r="G535" s="80" t="b">
        <v>0</v>
      </c>
      <c r="H535" s="80" t="b">
        <v>0</v>
      </c>
      <c r="I535" s="80" t="b">
        <v>0</v>
      </c>
      <c r="J535" s="80" t="b">
        <v>0</v>
      </c>
      <c r="K535" s="80" t="b">
        <v>0</v>
      </c>
      <c r="L535" s="80" t="b">
        <v>0</v>
      </c>
    </row>
    <row r="536" spans="1:12" ht="15">
      <c r="A536" s="81" t="s">
        <v>3744</v>
      </c>
      <c r="B536" s="80" t="s">
        <v>3745</v>
      </c>
      <c r="C536" s="80">
        <v>2</v>
      </c>
      <c r="D536" s="105">
        <v>0.0009240081668555858</v>
      </c>
      <c r="E536" s="105">
        <v>3.350829273582968</v>
      </c>
      <c r="F536" s="80" t="s">
        <v>3896</v>
      </c>
      <c r="G536" s="80" t="b">
        <v>0</v>
      </c>
      <c r="H536" s="80" t="b">
        <v>0</v>
      </c>
      <c r="I536" s="80" t="b">
        <v>0</v>
      </c>
      <c r="J536" s="80" t="b">
        <v>0</v>
      </c>
      <c r="K536" s="80" t="b">
        <v>0</v>
      </c>
      <c r="L536" s="80" t="b">
        <v>0</v>
      </c>
    </row>
    <row r="537" spans="1:12" ht="15">
      <c r="A537" s="81" t="s">
        <v>3745</v>
      </c>
      <c r="B537" s="80" t="s">
        <v>3746</v>
      </c>
      <c r="C537" s="80">
        <v>2</v>
      </c>
      <c r="D537" s="105">
        <v>0.0009240081668555858</v>
      </c>
      <c r="E537" s="105">
        <v>3.350829273582968</v>
      </c>
      <c r="F537" s="80" t="s">
        <v>3896</v>
      </c>
      <c r="G537" s="80" t="b">
        <v>0</v>
      </c>
      <c r="H537" s="80" t="b">
        <v>0</v>
      </c>
      <c r="I537" s="80" t="b">
        <v>0</v>
      </c>
      <c r="J537" s="80" t="b">
        <v>0</v>
      </c>
      <c r="K537" s="80" t="b">
        <v>0</v>
      </c>
      <c r="L537" s="80" t="b">
        <v>0</v>
      </c>
    </row>
    <row r="538" spans="1:12" ht="15">
      <c r="A538" s="81" t="s">
        <v>3746</v>
      </c>
      <c r="B538" s="80" t="s">
        <v>3310</v>
      </c>
      <c r="C538" s="80">
        <v>2</v>
      </c>
      <c r="D538" s="105">
        <v>0.0009240081668555858</v>
      </c>
      <c r="E538" s="105">
        <v>2.537915916940112</v>
      </c>
      <c r="F538" s="80" t="s">
        <v>3896</v>
      </c>
      <c r="G538" s="80" t="b">
        <v>0</v>
      </c>
      <c r="H538" s="80" t="b">
        <v>0</v>
      </c>
      <c r="I538" s="80" t="b">
        <v>0</v>
      </c>
      <c r="J538" s="80" t="b">
        <v>0</v>
      </c>
      <c r="K538" s="80" t="b">
        <v>0</v>
      </c>
      <c r="L538" s="80" t="b">
        <v>0</v>
      </c>
    </row>
    <row r="539" spans="1:12" ht="15">
      <c r="A539" s="81" t="s">
        <v>3310</v>
      </c>
      <c r="B539" s="80" t="s">
        <v>3747</v>
      </c>
      <c r="C539" s="80">
        <v>2</v>
      </c>
      <c r="D539" s="105">
        <v>0.0009240081668555858</v>
      </c>
      <c r="E539" s="105">
        <v>2.537915916940112</v>
      </c>
      <c r="F539" s="80" t="s">
        <v>3896</v>
      </c>
      <c r="G539" s="80" t="b">
        <v>0</v>
      </c>
      <c r="H539" s="80" t="b">
        <v>0</v>
      </c>
      <c r="I539" s="80" t="b">
        <v>0</v>
      </c>
      <c r="J539" s="80" t="b">
        <v>0</v>
      </c>
      <c r="K539" s="80" t="b">
        <v>0</v>
      </c>
      <c r="L539" s="80" t="b">
        <v>0</v>
      </c>
    </row>
    <row r="540" spans="1:12" ht="15">
      <c r="A540" s="81" t="s">
        <v>3747</v>
      </c>
      <c r="B540" s="80" t="s">
        <v>3748</v>
      </c>
      <c r="C540" s="80">
        <v>2</v>
      </c>
      <c r="D540" s="105">
        <v>0.0009240081668555858</v>
      </c>
      <c r="E540" s="105">
        <v>3.350829273582968</v>
      </c>
      <c r="F540" s="80" t="s">
        <v>3896</v>
      </c>
      <c r="G540" s="80" t="b">
        <v>0</v>
      </c>
      <c r="H540" s="80" t="b">
        <v>0</v>
      </c>
      <c r="I540" s="80" t="b">
        <v>0</v>
      </c>
      <c r="J540" s="80" t="b">
        <v>0</v>
      </c>
      <c r="K540" s="80" t="b">
        <v>0</v>
      </c>
      <c r="L540" s="80" t="b">
        <v>0</v>
      </c>
    </row>
    <row r="541" spans="1:12" ht="15">
      <c r="A541" s="81" t="s">
        <v>3748</v>
      </c>
      <c r="B541" s="80" t="s">
        <v>3749</v>
      </c>
      <c r="C541" s="80">
        <v>2</v>
      </c>
      <c r="D541" s="105">
        <v>0.0009240081668555858</v>
      </c>
      <c r="E541" s="105">
        <v>3.350829273582968</v>
      </c>
      <c r="F541" s="80" t="s">
        <v>3896</v>
      </c>
      <c r="G541" s="80" t="b">
        <v>0</v>
      </c>
      <c r="H541" s="80" t="b">
        <v>0</v>
      </c>
      <c r="I541" s="80" t="b">
        <v>0</v>
      </c>
      <c r="J541" s="80" t="b">
        <v>0</v>
      </c>
      <c r="K541" s="80" t="b">
        <v>0</v>
      </c>
      <c r="L541" s="80" t="b">
        <v>0</v>
      </c>
    </row>
    <row r="542" spans="1:12" ht="15">
      <c r="A542" s="81" t="s">
        <v>3749</v>
      </c>
      <c r="B542" s="80" t="s">
        <v>3750</v>
      </c>
      <c r="C542" s="80">
        <v>2</v>
      </c>
      <c r="D542" s="105">
        <v>0.0009240081668555858</v>
      </c>
      <c r="E542" s="105">
        <v>3.350829273582968</v>
      </c>
      <c r="F542" s="80" t="s">
        <v>3896</v>
      </c>
      <c r="G542" s="80" t="b">
        <v>0</v>
      </c>
      <c r="H542" s="80" t="b">
        <v>0</v>
      </c>
      <c r="I542" s="80" t="b">
        <v>0</v>
      </c>
      <c r="J542" s="80" t="b">
        <v>0</v>
      </c>
      <c r="K542" s="80" t="b">
        <v>0</v>
      </c>
      <c r="L542" s="80" t="b">
        <v>0</v>
      </c>
    </row>
    <row r="543" spans="1:12" ht="15">
      <c r="A543" s="81" t="s">
        <v>3750</v>
      </c>
      <c r="B543" s="80" t="s">
        <v>3260</v>
      </c>
      <c r="C543" s="80">
        <v>2</v>
      </c>
      <c r="D543" s="105">
        <v>0.0009240081668555858</v>
      </c>
      <c r="E543" s="105">
        <v>1.1440033975511181</v>
      </c>
      <c r="F543" s="80" t="s">
        <v>3896</v>
      </c>
      <c r="G543" s="80" t="b">
        <v>0</v>
      </c>
      <c r="H543" s="80" t="b">
        <v>0</v>
      </c>
      <c r="I543" s="80" t="b">
        <v>0</v>
      </c>
      <c r="J543" s="80" t="b">
        <v>0</v>
      </c>
      <c r="K543" s="80" t="b">
        <v>0</v>
      </c>
      <c r="L543" s="80" t="b">
        <v>0</v>
      </c>
    </row>
    <row r="544" spans="1:12" ht="15">
      <c r="A544" s="81" t="s">
        <v>3751</v>
      </c>
      <c r="B544" s="80" t="s">
        <v>3752</v>
      </c>
      <c r="C544" s="80">
        <v>2</v>
      </c>
      <c r="D544" s="105">
        <v>0.0009240081668555858</v>
      </c>
      <c r="E544" s="105">
        <v>3.350829273582968</v>
      </c>
      <c r="F544" s="80" t="s">
        <v>3896</v>
      </c>
      <c r="G544" s="80" t="b">
        <v>0</v>
      </c>
      <c r="H544" s="80" t="b">
        <v>0</v>
      </c>
      <c r="I544" s="80" t="b">
        <v>0</v>
      </c>
      <c r="J544" s="80" t="b">
        <v>0</v>
      </c>
      <c r="K544" s="80" t="b">
        <v>0</v>
      </c>
      <c r="L544" s="80" t="b">
        <v>0</v>
      </c>
    </row>
    <row r="545" spans="1:12" ht="15">
      <c r="A545" s="81" t="s">
        <v>3752</v>
      </c>
      <c r="B545" s="80" t="s">
        <v>3753</v>
      </c>
      <c r="C545" s="80">
        <v>2</v>
      </c>
      <c r="D545" s="105">
        <v>0.0009240081668555858</v>
      </c>
      <c r="E545" s="105">
        <v>3.350829273582968</v>
      </c>
      <c r="F545" s="80" t="s">
        <v>3896</v>
      </c>
      <c r="G545" s="80" t="b">
        <v>0</v>
      </c>
      <c r="H545" s="80" t="b">
        <v>0</v>
      </c>
      <c r="I545" s="80" t="b">
        <v>0</v>
      </c>
      <c r="J545" s="80" t="b">
        <v>0</v>
      </c>
      <c r="K545" s="80" t="b">
        <v>0</v>
      </c>
      <c r="L545" s="80" t="b">
        <v>0</v>
      </c>
    </row>
    <row r="546" spans="1:12" ht="15">
      <c r="A546" s="81" t="s">
        <v>3753</v>
      </c>
      <c r="B546" s="80" t="s">
        <v>3474</v>
      </c>
      <c r="C546" s="80">
        <v>2</v>
      </c>
      <c r="D546" s="105">
        <v>0.0009240081668555858</v>
      </c>
      <c r="E546" s="105">
        <v>3.0497992779189866</v>
      </c>
      <c r="F546" s="80" t="s">
        <v>3896</v>
      </c>
      <c r="G546" s="80" t="b">
        <v>0</v>
      </c>
      <c r="H546" s="80" t="b">
        <v>0</v>
      </c>
      <c r="I546" s="80" t="b">
        <v>0</v>
      </c>
      <c r="J546" s="80" t="b">
        <v>0</v>
      </c>
      <c r="K546" s="80" t="b">
        <v>0</v>
      </c>
      <c r="L546" s="80" t="b">
        <v>0</v>
      </c>
    </row>
    <row r="547" spans="1:12" ht="15">
      <c r="A547" s="81" t="s">
        <v>3474</v>
      </c>
      <c r="B547" s="80" t="s">
        <v>3754</v>
      </c>
      <c r="C547" s="80">
        <v>2</v>
      </c>
      <c r="D547" s="105">
        <v>0.0009240081668555858</v>
      </c>
      <c r="E547" s="105">
        <v>3.0497992779189866</v>
      </c>
      <c r="F547" s="80" t="s">
        <v>3896</v>
      </c>
      <c r="G547" s="80" t="b">
        <v>0</v>
      </c>
      <c r="H547" s="80" t="b">
        <v>0</v>
      </c>
      <c r="I547" s="80" t="b">
        <v>0</v>
      </c>
      <c r="J547" s="80" t="b">
        <v>0</v>
      </c>
      <c r="K547" s="80" t="b">
        <v>0</v>
      </c>
      <c r="L547" s="80" t="b">
        <v>0</v>
      </c>
    </row>
    <row r="548" spans="1:12" ht="15">
      <c r="A548" s="81" t="s">
        <v>3754</v>
      </c>
      <c r="B548" s="80" t="s">
        <v>3755</v>
      </c>
      <c r="C548" s="80">
        <v>2</v>
      </c>
      <c r="D548" s="105">
        <v>0.0009240081668555858</v>
      </c>
      <c r="E548" s="105">
        <v>3.350829273582968</v>
      </c>
      <c r="F548" s="80" t="s">
        <v>3896</v>
      </c>
      <c r="G548" s="80" t="b">
        <v>0</v>
      </c>
      <c r="H548" s="80" t="b">
        <v>0</v>
      </c>
      <c r="I548" s="80" t="b">
        <v>0</v>
      </c>
      <c r="J548" s="80" t="b">
        <v>0</v>
      </c>
      <c r="K548" s="80" t="b">
        <v>0</v>
      </c>
      <c r="L548" s="80" t="b">
        <v>0</v>
      </c>
    </row>
    <row r="549" spans="1:12" ht="15">
      <c r="A549" s="81" t="s">
        <v>3755</v>
      </c>
      <c r="B549" s="80" t="s">
        <v>3756</v>
      </c>
      <c r="C549" s="80">
        <v>2</v>
      </c>
      <c r="D549" s="105">
        <v>0.0009240081668555858</v>
      </c>
      <c r="E549" s="105">
        <v>3.350829273582968</v>
      </c>
      <c r="F549" s="80" t="s">
        <v>3896</v>
      </c>
      <c r="G549" s="80" t="b">
        <v>0</v>
      </c>
      <c r="H549" s="80" t="b">
        <v>0</v>
      </c>
      <c r="I549" s="80" t="b">
        <v>0</v>
      </c>
      <c r="J549" s="80" t="b">
        <v>0</v>
      </c>
      <c r="K549" s="80" t="b">
        <v>0</v>
      </c>
      <c r="L549" s="80" t="b">
        <v>0</v>
      </c>
    </row>
    <row r="550" spans="1:12" ht="15">
      <c r="A550" s="81" t="s">
        <v>3756</v>
      </c>
      <c r="B550" s="80" t="s">
        <v>3757</v>
      </c>
      <c r="C550" s="80">
        <v>2</v>
      </c>
      <c r="D550" s="105">
        <v>0.0009240081668555858</v>
      </c>
      <c r="E550" s="105">
        <v>3.350829273582968</v>
      </c>
      <c r="F550" s="80" t="s">
        <v>3896</v>
      </c>
      <c r="G550" s="80" t="b">
        <v>0</v>
      </c>
      <c r="H550" s="80" t="b">
        <v>0</v>
      </c>
      <c r="I550" s="80" t="b">
        <v>0</v>
      </c>
      <c r="J550" s="80" t="b">
        <v>0</v>
      </c>
      <c r="K550" s="80" t="b">
        <v>0</v>
      </c>
      <c r="L550" s="80" t="b">
        <v>0</v>
      </c>
    </row>
    <row r="551" spans="1:12" ht="15">
      <c r="A551" s="81" t="s">
        <v>3757</v>
      </c>
      <c r="B551" s="80" t="s">
        <v>3758</v>
      </c>
      <c r="C551" s="80">
        <v>2</v>
      </c>
      <c r="D551" s="105">
        <v>0.0009240081668555858</v>
      </c>
      <c r="E551" s="105">
        <v>3.350829273582968</v>
      </c>
      <c r="F551" s="80" t="s">
        <v>3896</v>
      </c>
      <c r="G551" s="80" t="b">
        <v>0</v>
      </c>
      <c r="H551" s="80" t="b">
        <v>0</v>
      </c>
      <c r="I551" s="80" t="b">
        <v>0</v>
      </c>
      <c r="J551" s="80" t="b">
        <v>0</v>
      </c>
      <c r="K551" s="80" t="b">
        <v>0</v>
      </c>
      <c r="L551" s="80" t="b">
        <v>0</v>
      </c>
    </row>
    <row r="552" spans="1:12" ht="15">
      <c r="A552" s="81" t="s">
        <v>3758</v>
      </c>
      <c r="B552" s="80" t="s">
        <v>3759</v>
      </c>
      <c r="C552" s="80">
        <v>2</v>
      </c>
      <c r="D552" s="105">
        <v>0.0009240081668555858</v>
      </c>
      <c r="E552" s="105">
        <v>3.350829273582968</v>
      </c>
      <c r="F552" s="80" t="s">
        <v>3896</v>
      </c>
      <c r="G552" s="80" t="b">
        <v>0</v>
      </c>
      <c r="H552" s="80" t="b">
        <v>0</v>
      </c>
      <c r="I552" s="80" t="b">
        <v>0</v>
      </c>
      <c r="J552" s="80" t="b">
        <v>0</v>
      </c>
      <c r="K552" s="80" t="b">
        <v>0</v>
      </c>
      <c r="L552" s="80" t="b">
        <v>0</v>
      </c>
    </row>
    <row r="553" spans="1:12" ht="15">
      <c r="A553" s="81" t="s">
        <v>3759</v>
      </c>
      <c r="B553" s="80" t="s">
        <v>3760</v>
      </c>
      <c r="C553" s="80">
        <v>2</v>
      </c>
      <c r="D553" s="105">
        <v>0.0009240081668555858</v>
      </c>
      <c r="E553" s="105">
        <v>3.350829273582968</v>
      </c>
      <c r="F553" s="80" t="s">
        <v>3896</v>
      </c>
      <c r="G553" s="80" t="b">
        <v>0</v>
      </c>
      <c r="H553" s="80" t="b">
        <v>0</v>
      </c>
      <c r="I553" s="80" t="b">
        <v>0</v>
      </c>
      <c r="J553" s="80" t="b">
        <v>0</v>
      </c>
      <c r="K553" s="80" t="b">
        <v>0</v>
      </c>
      <c r="L553" s="80" t="b">
        <v>0</v>
      </c>
    </row>
    <row r="554" spans="1:12" ht="15">
      <c r="A554" s="81" t="s">
        <v>3760</v>
      </c>
      <c r="B554" s="80" t="s">
        <v>3383</v>
      </c>
      <c r="C554" s="80">
        <v>2</v>
      </c>
      <c r="D554" s="105">
        <v>0.0009240081668555858</v>
      </c>
      <c r="E554" s="105">
        <v>2.8737080188633053</v>
      </c>
      <c r="F554" s="80" t="s">
        <v>3896</v>
      </c>
      <c r="G554" s="80" t="b">
        <v>0</v>
      </c>
      <c r="H554" s="80" t="b">
        <v>0</v>
      </c>
      <c r="I554" s="80" t="b">
        <v>0</v>
      </c>
      <c r="J554" s="80" t="b">
        <v>0</v>
      </c>
      <c r="K554" s="80" t="b">
        <v>0</v>
      </c>
      <c r="L554" s="80" t="b">
        <v>0</v>
      </c>
    </row>
    <row r="555" spans="1:12" ht="15">
      <c r="A555" s="81" t="s">
        <v>3383</v>
      </c>
      <c r="B555" s="80" t="s">
        <v>3475</v>
      </c>
      <c r="C555" s="80">
        <v>2</v>
      </c>
      <c r="D555" s="105">
        <v>0.0009240081668555858</v>
      </c>
      <c r="E555" s="105">
        <v>2.572678023199324</v>
      </c>
      <c r="F555" s="80" t="s">
        <v>3896</v>
      </c>
      <c r="G555" s="80" t="b">
        <v>0</v>
      </c>
      <c r="H555" s="80" t="b">
        <v>0</v>
      </c>
      <c r="I555" s="80" t="b">
        <v>0</v>
      </c>
      <c r="J555" s="80" t="b">
        <v>0</v>
      </c>
      <c r="K555" s="80" t="b">
        <v>0</v>
      </c>
      <c r="L555" s="80" t="b">
        <v>0</v>
      </c>
    </row>
    <row r="556" spans="1:12" ht="15">
      <c r="A556" s="81" t="s">
        <v>3475</v>
      </c>
      <c r="B556" s="80" t="s">
        <v>3761</v>
      </c>
      <c r="C556" s="80">
        <v>2</v>
      </c>
      <c r="D556" s="105">
        <v>0.0009240081668555858</v>
      </c>
      <c r="E556" s="105">
        <v>3.0497992779189866</v>
      </c>
      <c r="F556" s="80" t="s">
        <v>3896</v>
      </c>
      <c r="G556" s="80" t="b">
        <v>0</v>
      </c>
      <c r="H556" s="80" t="b">
        <v>0</v>
      </c>
      <c r="I556" s="80" t="b">
        <v>0</v>
      </c>
      <c r="J556" s="80" t="b">
        <v>0</v>
      </c>
      <c r="K556" s="80" t="b">
        <v>0</v>
      </c>
      <c r="L556" s="80" t="b">
        <v>0</v>
      </c>
    </row>
    <row r="557" spans="1:12" ht="15">
      <c r="A557" s="81" t="s">
        <v>3761</v>
      </c>
      <c r="B557" s="80" t="s">
        <v>3762</v>
      </c>
      <c r="C557" s="80">
        <v>2</v>
      </c>
      <c r="D557" s="105">
        <v>0.0009240081668555858</v>
      </c>
      <c r="E557" s="105">
        <v>3.350829273582968</v>
      </c>
      <c r="F557" s="80" t="s">
        <v>3896</v>
      </c>
      <c r="G557" s="80" t="b">
        <v>0</v>
      </c>
      <c r="H557" s="80" t="b">
        <v>0</v>
      </c>
      <c r="I557" s="80" t="b">
        <v>0</v>
      </c>
      <c r="J557" s="80" t="b">
        <v>0</v>
      </c>
      <c r="K557" s="80" t="b">
        <v>0</v>
      </c>
      <c r="L557" s="80" t="b">
        <v>0</v>
      </c>
    </row>
    <row r="558" spans="1:12" ht="15">
      <c r="A558" s="81" t="s">
        <v>3762</v>
      </c>
      <c r="B558" s="80" t="s">
        <v>3763</v>
      </c>
      <c r="C558" s="80">
        <v>2</v>
      </c>
      <c r="D558" s="105">
        <v>0.0009240081668555858</v>
      </c>
      <c r="E558" s="105">
        <v>3.350829273582968</v>
      </c>
      <c r="F558" s="80" t="s">
        <v>3896</v>
      </c>
      <c r="G558" s="80" t="b">
        <v>0</v>
      </c>
      <c r="H558" s="80" t="b">
        <v>0</v>
      </c>
      <c r="I558" s="80" t="b">
        <v>0</v>
      </c>
      <c r="J558" s="80" t="b">
        <v>0</v>
      </c>
      <c r="K558" s="80" t="b">
        <v>0</v>
      </c>
      <c r="L558" s="80" t="b">
        <v>0</v>
      </c>
    </row>
    <row r="559" spans="1:12" ht="15">
      <c r="A559" s="81" t="s">
        <v>3763</v>
      </c>
      <c r="B559" s="80" t="s">
        <v>3764</v>
      </c>
      <c r="C559" s="80">
        <v>2</v>
      </c>
      <c r="D559" s="105">
        <v>0.0009240081668555858</v>
      </c>
      <c r="E559" s="105">
        <v>3.350829273582968</v>
      </c>
      <c r="F559" s="80" t="s">
        <v>3896</v>
      </c>
      <c r="G559" s="80" t="b">
        <v>0</v>
      </c>
      <c r="H559" s="80" t="b">
        <v>0</v>
      </c>
      <c r="I559" s="80" t="b">
        <v>0</v>
      </c>
      <c r="J559" s="80" t="b">
        <v>0</v>
      </c>
      <c r="K559" s="80" t="b">
        <v>0</v>
      </c>
      <c r="L559" s="80" t="b">
        <v>0</v>
      </c>
    </row>
    <row r="560" spans="1:12" ht="15">
      <c r="A560" s="81" t="s">
        <v>3764</v>
      </c>
      <c r="B560" s="80" t="s">
        <v>3290</v>
      </c>
      <c r="C560" s="80">
        <v>2</v>
      </c>
      <c r="D560" s="105">
        <v>0.0009240081668555858</v>
      </c>
      <c r="E560" s="105">
        <v>2.421410347868675</v>
      </c>
      <c r="F560" s="80" t="s">
        <v>3896</v>
      </c>
      <c r="G560" s="80" t="b">
        <v>0</v>
      </c>
      <c r="H560" s="80" t="b">
        <v>0</v>
      </c>
      <c r="I560" s="80" t="b">
        <v>0</v>
      </c>
      <c r="J560" s="80" t="b">
        <v>0</v>
      </c>
      <c r="K560" s="80" t="b">
        <v>0</v>
      </c>
      <c r="L560" s="80" t="b">
        <v>0</v>
      </c>
    </row>
    <row r="561" spans="1:12" ht="15">
      <c r="A561" s="81" t="s">
        <v>3290</v>
      </c>
      <c r="B561" s="80" t="s">
        <v>3765</v>
      </c>
      <c r="C561" s="80">
        <v>2</v>
      </c>
      <c r="D561" s="105">
        <v>0.0009240081668555858</v>
      </c>
      <c r="E561" s="105">
        <v>2.421410347868675</v>
      </c>
      <c r="F561" s="80" t="s">
        <v>3896</v>
      </c>
      <c r="G561" s="80" t="b">
        <v>0</v>
      </c>
      <c r="H561" s="80" t="b">
        <v>0</v>
      </c>
      <c r="I561" s="80" t="b">
        <v>0</v>
      </c>
      <c r="J561" s="80" t="b">
        <v>0</v>
      </c>
      <c r="K561" s="80" t="b">
        <v>0</v>
      </c>
      <c r="L561" s="80" t="b">
        <v>0</v>
      </c>
    </row>
    <row r="562" spans="1:12" ht="15">
      <c r="A562" s="81" t="s">
        <v>3765</v>
      </c>
      <c r="B562" s="80" t="s">
        <v>3766</v>
      </c>
      <c r="C562" s="80">
        <v>2</v>
      </c>
      <c r="D562" s="105">
        <v>0.0009240081668555858</v>
      </c>
      <c r="E562" s="105">
        <v>3.350829273582968</v>
      </c>
      <c r="F562" s="80" t="s">
        <v>3896</v>
      </c>
      <c r="G562" s="80" t="b">
        <v>0</v>
      </c>
      <c r="H562" s="80" t="b">
        <v>0</v>
      </c>
      <c r="I562" s="80" t="b">
        <v>0</v>
      </c>
      <c r="J562" s="80" t="b">
        <v>0</v>
      </c>
      <c r="K562" s="80" t="b">
        <v>0</v>
      </c>
      <c r="L562" s="80" t="b">
        <v>0</v>
      </c>
    </row>
    <row r="563" spans="1:12" ht="15">
      <c r="A563" s="81" t="s">
        <v>3766</v>
      </c>
      <c r="B563" s="80" t="s">
        <v>3767</v>
      </c>
      <c r="C563" s="80">
        <v>2</v>
      </c>
      <c r="D563" s="105">
        <v>0.0009240081668555858</v>
      </c>
      <c r="E563" s="105">
        <v>3.350829273582968</v>
      </c>
      <c r="F563" s="80" t="s">
        <v>3896</v>
      </c>
      <c r="G563" s="80" t="b">
        <v>0</v>
      </c>
      <c r="H563" s="80" t="b">
        <v>0</v>
      </c>
      <c r="I563" s="80" t="b">
        <v>0</v>
      </c>
      <c r="J563" s="80" t="b">
        <v>0</v>
      </c>
      <c r="K563" s="80" t="b">
        <v>0</v>
      </c>
      <c r="L563" s="80" t="b">
        <v>0</v>
      </c>
    </row>
    <row r="564" spans="1:12" ht="15">
      <c r="A564" s="81" t="s">
        <v>3767</v>
      </c>
      <c r="B564" s="80" t="s">
        <v>3260</v>
      </c>
      <c r="C564" s="80">
        <v>2</v>
      </c>
      <c r="D564" s="105">
        <v>0.0009240081668555858</v>
      </c>
      <c r="E564" s="105">
        <v>1.1440033975511181</v>
      </c>
      <c r="F564" s="80" t="s">
        <v>3896</v>
      </c>
      <c r="G564" s="80" t="b">
        <v>0</v>
      </c>
      <c r="H564" s="80" t="b">
        <v>0</v>
      </c>
      <c r="I564" s="80" t="b">
        <v>0</v>
      </c>
      <c r="J564" s="80" t="b">
        <v>0</v>
      </c>
      <c r="K564" s="80" t="b">
        <v>0</v>
      </c>
      <c r="L564" s="80" t="b">
        <v>0</v>
      </c>
    </row>
    <row r="565" spans="1:12" ht="15">
      <c r="A565" s="81" t="s">
        <v>3775</v>
      </c>
      <c r="B565" s="80" t="s">
        <v>3776</v>
      </c>
      <c r="C565" s="80">
        <v>2</v>
      </c>
      <c r="D565" s="105">
        <v>0.0009240081668555858</v>
      </c>
      <c r="E565" s="105">
        <v>3.350829273582968</v>
      </c>
      <c r="F565" s="80" t="s">
        <v>3896</v>
      </c>
      <c r="G565" s="80" t="b">
        <v>0</v>
      </c>
      <c r="H565" s="80" t="b">
        <v>0</v>
      </c>
      <c r="I565" s="80" t="b">
        <v>0</v>
      </c>
      <c r="J565" s="80" t="b">
        <v>0</v>
      </c>
      <c r="K565" s="80" t="b">
        <v>0</v>
      </c>
      <c r="L565" s="80" t="b">
        <v>0</v>
      </c>
    </row>
    <row r="566" spans="1:12" ht="15">
      <c r="A566" s="81" t="s">
        <v>3776</v>
      </c>
      <c r="B566" s="80" t="s">
        <v>3777</v>
      </c>
      <c r="C566" s="80">
        <v>2</v>
      </c>
      <c r="D566" s="105">
        <v>0.0009240081668555858</v>
      </c>
      <c r="E566" s="105">
        <v>3.350829273582968</v>
      </c>
      <c r="F566" s="80" t="s">
        <v>3896</v>
      </c>
      <c r="G566" s="80" t="b">
        <v>0</v>
      </c>
      <c r="H566" s="80" t="b">
        <v>0</v>
      </c>
      <c r="I566" s="80" t="b">
        <v>0</v>
      </c>
      <c r="J566" s="80" t="b">
        <v>0</v>
      </c>
      <c r="K566" s="80" t="b">
        <v>0</v>
      </c>
      <c r="L566" s="80" t="b">
        <v>0</v>
      </c>
    </row>
    <row r="567" spans="1:12" ht="15">
      <c r="A567" s="81" t="s">
        <v>3777</v>
      </c>
      <c r="B567" s="80" t="s">
        <v>3260</v>
      </c>
      <c r="C567" s="80">
        <v>2</v>
      </c>
      <c r="D567" s="105">
        <v>0.0009240081668555858</v>
      </c>
      <c r="E567" s="105">
        <v>1.1440033975511181</v>
      </c>
      <c r="F567" s="80" t="s">
        <v>3896</v>
      </c>
      <c r="G567" s="80" t="b">
        <v>0</v>
      </c>
      <c r="H567" s="80" t="b">
        <v>0</v>
      </c>
      <c r="I567" s="80" t="b">
        <v>0</v>
      </c>
      <c r="J567" s="80" t="b">
        <v>0</v>
      </c>
      <c r="K567" s="80" t="b">
        <v>0</v>
      </c>
      <c r="L567" s="80" t="b">
        <v>0</v>
      </c>
    </row>
    <row r="568" spans="1:12" ht="15">
      <c r="A568" s="81" t="s">
        <v>3260</v>
      </c>
      <c r="B568" s="80" t="s">
        <v>3401</v>
      </c>
      <c r="C568" s="80">
        <v>2</v>
      </c>
      <c r="D568" s="105">
        <v>0.0009240081668555858</v>
      </c>
      <c r="E568" s="105">
        <v>1.2253480078823737</v>
      </c>
      <c r="F568" s="80" t="s">
        <v>3896</v>
      </c>
      <c r="G568" s="80" t="b">
        <v>0</v>
      </c>
      <c r="H568" s="80" t="b">
        <v>0</v>
      </c>
      <c r="I568" s="80" t="b">
        <v>0</v>
      </c>
      <c r="J568" s="80" t="b">
        <v>1</v>
      </c>
      <c r="K568" s="80" t="b">
        <v>0</v>
      </c>
      <c r="L568" s="80" t="b">
        <v>0</v>
      </c>
    </row>
    <row r="569" spans="1:12" ht="15">
      <c r="A569" s="81" t="s">
        <v>3401</v>
      </c>
      <c r="B569" s="80" t="s">
        <v>3631</v>
      </c>
      <c r="C569" s="80">
        <v>2</v>
      </c>
      <c r="D569" s="105">
        <v>0.0009240081668555858</v>
      </c>
      <c r="E569" s="105">
        <v>2.776798005855249</v>
      </c>
      <c r="F569" s="80" t="s">
        <v>3896</v>
      </c>
      <c r="G569" s="80" t="b">
        <v>1</v>
      </c>
      <c r="H569" s="80" t="b">
        <v>0</v>
      </c>
      <c r="I569" s="80" t="b">
        <v>0</v>
      </c>
      <c r="J569" s="80" t="b">
        <v>0</v>
      </c>
      <c r="K569" s="80" t="b">
        <v>0</v>
      </c>
      <c r="L569" s="80" t="b">
        <v>0</v>
      </c>
    </row>
    <row r="570" spans="1:12" ht="15">
      <c r="A570" s="81" t="s">
        <v>3631</v>
      </c>
      <c r="B570" s="80" t="s">
        <v>3778</v>
      </c>
      <c r="C570" s="80">
        <v>2</v>
      </c>
      <c r="D570" s="105">
        <v>0.0009240081668555858</v>
      </c>
      <c r="E570" s="105">
        <v>3.1747380145272865</v>
      </c>
      <c r="F570" s="80" t="s">
        <v>3896</v>
      </c>
      <c r="G570" s="80" t="b">
        <v>0</v>
      </c>
      <c r="H570" s="80" t="b">
        <v>0</v>
      </c>
      <c r="I570" s="80" t="b">
        <v>0</v>
      </c>
      <c r="J570" s="80" t="b">
        <v>0</v>
      </c>
      <c r="K570" s="80" t="b">
        <v>0</v>
      </c>
      <c r="L570" s="80" t="b">
        <v>0</v>
      </c>
    </row>
    <row r="571" spans="1:12" ht="15">
      <c r="A571" s="81" t="s">
        <v>3778</v>
      </c>
      <c r="B571" s="80" t="s">
        <v>3779</v>
      </c>
      <c r="C571" s="80">
        <v>2</v>
      </c>
      <c r="D571" s="105">
        <v>0.0009240081668555858</v>
      </c>
      <c r="E571" s="105">
        <v>3.350829273582968</v>
      </c>
      <c r="F571" s="80" t="s">
        <v>3896</v>
      </c>
      <c r="G571" s="80" t="b">
        <v>0</v>
      </c>
      <c r="H571" s="80" t="b">
        <v>0</v>
      </c>
      <c r="I571" s="80" t="b">
        <v>0</v>
      </c>
      <c r="J571" s="80" t="b">
        <v>0</v>
      </c>
      <c r="K571" s="80" t="b">
        <v>0</v>
      </c>
      <c r="L571" s="80" t="b">
        <v>0</v>
      </c>
    </row>
    <row r="572" spans="1:12" ht="15">
      <c r="A572" s="81" t="s">
        <v>3779</v>
      </c>
      <c r="B572" s="80" t="s">
        <v>3780</v>
      </c>
      <c r="C572" s="80">
        <v>2</v>
      </c>
      <c r="D572" s="105">
        <v>0.0009240081668555858</v>
      </c>
      <c r="E572" s="105">
        <v>3.350829273582968</v>
      </c>
      <c r="F572" s="80" t="s">
        <v>3896</v>
      </c>
      <c r="G572" s="80" t="b">
        <v>0</v>
      </c>
      <c r="H572" s="80" t="b">
        <v>0</v>
      </c>
      <c r="I572" s="80" t="b">
        <v>0</v>
      </c>
      <c r="J572" s="80" t="b">
        <v>0</v>
      </c>
      <c r="K572" s="80" t="b">
        <v>0</v>
      </c>
      <c r="L572" s="80" t="b">
        <v>0</v>
      </c>
    </row>
    <row r="573" spans="1:12" ht="15">
      <c r="A573" s="81" t="s">
        <v>3780</v>
      </c>
      <c r="B573" s="80" t="s">
        <v>3632</v>
      </c>
      <c r="C573" s="80">
        <v>2</v>
      </c>
      <c r="D573" s="105">
        <v>0.0009240081668555858</v>
      </c>
      <c r="E573" s="105">
        <v>3.1747380145272865</v>
      </c>
      <c r="F573" s="80" t="s">
        <v>3896</v>
      </c>
      <c r="G573" s="80" t="b">
        <v>0</v>
      </c>
      <c r="H573" s="80" t="b">
        <v>0</v>
      </c>
      <c r="I573" s="80" t="b">
        <v>0</v>
      </c>
      <c r="J573" s="80" t="b">
        <v>0</v>
      </c>
      <c r="K573" s="80" t="b">
        <v>0</v>
      </c>
      <c r="L573" s="80" t="b">
        <v>0</v>
      </c>
    </row>
    <row r="574" spans="1:12" ht="15">
      <c r="A574" s="81" t="s">
        <v>3632</v>
      </c>
      <c r="B574" s="80" t="s">
        <v>3781</v>
      </c>
      <c r="C574" s="80">
        <v>2</v>
      </c>
      <c r="D574" s="105">
        <v>0.0009240081668555858</v>
      </c>
      <c r="E574" s="105">
        <v>3.1747380145272865</v>
      </c>
      <c r="F574" s="80" t="s">
        <v>3896</v>
      </c>
      <c r="G574" s="80" t="b">
        <v>0</v>
      </c>
      <c r="H574" s="80" t="b">
        <v>0</v>
      </c>
      <c r="I574" s="80" t="b">
        <v>0</v>
      </c>
      <c r="J574" s="80" t="b">
        <v>0</v>
      </c>
      <c r="K574" s="80" t="b">
        <v>1</v>
      </c>
      <c r="L574" s="80" t="b">
        <v>0</v>
      </c>
    </row>
    <row r="575" spans="1:12" ht="15">
      <c r="A575" s="81" t="s">
        <v>3781</v>
      </c>
      <c r="B575" s="80" t="s">
        <v>3782</v>
      </c>
      <c r="C575" s="80">
        <v>2</v>
      </c>
      <c r="D575" s="105">
        <v>0.0009240081668555858</v>
      </c>
      <c r="E575" s="105">
        <v>3.350829273582968</v>
      </c>
      <c r="F575" s="80" t="s">
        <v>3896</v>
      </c>
      <c r="G575" s="80" t="b">
        <v>0</v>
      </c>
      <c r="H575" s="80" t="b">
        <v>1</v>
      </c>
      <c r="I575" s="80" t="b">
        <v>0</v>
      </c>
      <c r="J575" s="80" t="b">
        <v>0</v>
      </c>
      <c r="K575" s="80" t="b">
        <v>0</v>
      </c>
      <c r="L575" s="80" t="b">
        <v>0</v>
      </c>
    </row>
    <row r="576" spans="1:12" ht="15">
      <c r="A576" s="81" t="s">
        <v>3782</v>
      </c>
      <c r="B576" s="80" t="s">
        <v>3783</v>
      </c>
      <c r="C576" s="80">
        <v>2</v>
      </c>
      <c r="D576" s="105">
        <v>0.0009240081668555858</v>
      </c>
      <c r="E576" s="105">
        <v>3.350829273582968</v>
      </c>
      <c r="F576" s="80" t="s">
        <v>3896</v>
      </c>
      <c r="G576" s="80" t="b">
        <v>0</v>
      </c>
      <c r="H576" s="80" t="b">
        <v>0</v>
      </c>
      <c r="I576" s="80" t="b">
        <v>0</v>
      </c>
      <c r="J576" s="80" t="b">
        <v>0</v>
      </c>
      <c r="K576" s="80" t="b">
        <v>1</v>
      </c>
      <c r="L576" s="80" t="b">
        <v>0</v>
      </c>
    </row>
    <row r="577" spans="1:12" ht="15">
      <c r="A577" s="81" t="s">
        <v>3783</v>
      </c>
      <c r="B577" s="80" t="s">
        <v>3784</v>
      </c>
      <c r="C577" s="80">
        <v>2</v>
      </c>
      <c r="D577" s="105">
        <v>0.0009240081668555858</v>
      </c>
      <c r="E577" s="105">
        <v>3.350829273582968</v>
      </c>
      <c r="F577" s="80" t="s">
        <v>3896</v>
      </c>
      <c r="G577" s="80" t="b">
        <v>0</v>
      </c>
      <c r="H577" s="80" t="b">
        <v>1</v>
      </c>
      <c r="I577" s="80" t="b">
        <v>0</v>
      </c>
      <c r="J577" s="80" t="b">
        <v>0</v>
      </c>
      <c r="K577" s="80" t="b">
        <v>1</v>
      </c>
      <c r="L577" s="80" t="b">
        <v>0</v>
      </c>
    </row>
    <row r="578" spans="1:12" ht="15">
      <c r="A578" s="81" t="s">
        <v>3784</v>
      </c>
      <c r="B578" s="80" t="s">
        <v>3360</v>
      </c>
      <c r="C578" s="80">
        <v>2</v>
      </c>
      <c r="D578" s="105">
        <v>0.0009240081668555858</v>
      </c>
      <c r="E578" s="105">
        <v>2.7487692822550054</v>
      </c>
      <c r="F578" s="80" t="s">
        <v>3896</v>
      </c>
      <c r="G578" s="80" t="b">
        <v>0</v>
      </c>
      <c r="H578" s="80" t="b">
        <v>1</v>
      </c>
      <c r="I578" s="80" t="b">
        <v>0</v>
      </c>
      <c r="J578" s="80" t="b">
        <v>0</v>
      </c>
      <c r="K578" s="80" t="b">
        <v>0</v>
      </c>
      <c r="L578" s="80" t="b">
        <v>0</v>
      </c>
    </row>
    <row r="579" spans="1:12" ht="15">
      <c r="A579" s="81" t="s">
        <v>3360</v>
      </c>
      <c r="B579" s="80" t="s">
        <v>3785</v>
      </c>
      <c r="C579" s="80">
        <v>2</v>
      </c>
      <c r="D579" s="105">
        <v>0.0009240081668555858</v>
      </c>
      <c r="E579" s="105">
        <v>2.7487692822550054</v>
      </c>
      <c r="F579" s="80" t="s">
        <v>3896</v>
      </c>
      <c r="G579" s="80" t="b">
        <v>0</v>
      </c>
      <c r="H579" s="80" t="b">
        <v>0</v>
      </c>
      <c r="I579" s="80" t="b">
        <v>0</v>
      </c>
      <c r="J579" s="80" t="b">
        <v>0</v>
      </c>
      <c r="K579" s="80" t="b">
        <v>0</v>
      </c>
      <c r="L579" s="80" t="b">
        <v>0</v>
      </c>
    </row>
    <row r="580" spans="1:12" ht="15">
      <c r="A580" s="81" t="s">
        <v>3785</v>
      </c>
      <c r="B580" s="80" t="s">
        <v>3261</v>
      </c>
      <c r="C580" s="80">
        <v>2</v>
      </c>
      <c r="D580" s="105">
        <v>0.0009240081668555858</v>
      </c>
      <c r="E580" s="105">
        <v>1.7542321779565075</v>
      </c>
      <c r="F580" s="80" t="s">
        <v>3896</v>
      </c>
      <c r="G580" s="80" t="b">
        <v>0</v>
      </c>
      <c r="H580" s="80" t="b">
        <v>0</v>
      </c>
      <c r="I580" s="80" t="b">
        <v>0</v>
      </c>
      <c r="J580" s="80" t="b">
        <v>0</v>
      </c>
      <c r="K580" s="80" t="b">
        <v>0</v>
      </c>
      <c r="L580" s="80" t="b">
        <v>0</v>
      </c>
    </row>
    <row r="581" spans="1:12" ht="15">
      <c r="A581" s="81" t="s">
        <v>3261</v>
      </c>
      <c r="B581" s="80" t="s">
        <v>3402</v>
      </c>
      <c r="C581" s="80">
        <v>2</v>
      </c>
      <c r="D581" s="105">
        <v>0.0009240081668555858</v>
      </c>
      <c r="E581" s="105">
        <v>1.4545787111213295</v>
      </c>
      <c r="F581" s="80" t="s">
        <v>3896</v>
      </c>
      <c r="G581" s="80" t="b">
        <v>0</v>
      </c>
      <c r="H581" s="80" t="b">
        <v>0</v>
      </c>
      <c r="I581" s="80" t="b">
        <v>0</v>
      </c>
      <c r="J581" s="80" t="b">
        <v>0</v>
      </c>
      <c r="K581" s="80" t="b">
        <v>0</v>
      </c>
      <c r="L581" s="80" t="b">
        <v>0</v>
      </c>
    </row>
    <row r="582" spans="1:12" ht="15">
      <c r="A582" s="81" t="s">
        <v>3402</v>
      </c>
      <c r="B582" s="80" t="s">
        <v>3786</v>
      </c>
      <c r="C582" s="80">
        <v>2</v>
      </c>
      <c r="D582" s="105">
        <v>0.0009240081668555858</v>
      </c>
      <c r="E582" s="105">
        <v>2.95288926491093</v>
      </c>
      <c r="F582" s="80" t="s">
        <v>3896</v>
      </c>
      <c r="G582" s="80" t="b">
        <v>0</v>
      </c>
      <c r="H582" s="80" t="b">
        <v>0</v>
      </c>
      <c r="I582" s="80" t="b">
        <v>0</v>
      </c>
      <c r="J582" s="80" t="b">
        <v>0</v>
      </c>
      <c r="K582" s="80" t="b">
        <v>0</v>
      </c>
      <c r="L582" s="80" t="b">
        <v>0</v>
      </c>
    </row>
    <row r="583" spans="1:12" ht="15">
      <c r="A583" s="81" t="s">
        <v>3786</v>
      </c>
      <c r="B583" s="80" t="s">
        <v>3787</v>
      </c>
      <c r="C583" s="80">
        <v>2</v>
      </c>
      <c r="D583" s="105">
        <v>0.0009240081668555858</v>
      </c>
      <c r="E583" s="105">
        <v>3.350829273582968</v>
      </c>
      <c r="F583" s="80" t="s">
        <v>3896</v>
      </c>
      <c r="G583" s="80" t="b">
        <v>0</v>
      </c>
      <c r="H583" s="80" t="b">
        <v>0</v>
      </c>
      <c r="I583" s="80" t="b">
        <v>0</v>
      </c>
      <c r="J583" s="80" t="b">
        <v>0</v>
      </c>
      <c r="K583" s="80" t="b">
        <v>0</v>
      </c>
      <c r="L583" s="80" t="b">
        <v>0</v>
      </c>
    </row>
    <row r="584" spans="1:12" ht="15">
      <c r="A584" s="81" t="s">
        <v>3787</v>
      </c>
      <c r="B584" s="80" t="s">
        <v>3788</v>
      </c>
      <c r="C584" s="80">
        <v>2</v>
      </c>
      <c r="D584" s="105">
        <v>0.0009240081668555858</v>
      </c>
      <c r="E584" s="105">
        <v>3.350829273582968</v>
      </c>
      <c r="F584" s="80" t="s">
        <v>3896</v>
      </c>
      <c r="G584" s="80" t="b">
        <v>0</v>
      </c>
      <c r="H584" s="80" t="b">
        <v>0</v>
      </c>
      <c r="I584" s="80" t="b">
        <v>0</v>
      </c>
      <c r="J584" s="80" t="b">
        <v>0</v>
      </c>
      <c r="K584" s="80" t="b">
        <v>0</v>
      </c>
      <c r="L584" s="80" t="b">
        <v>0</v>
      </c>
    </row>
    <row r="585" spans="1:12" ht="15">
      <c r="A585" s="81" t="s">
        <v>3788</v>
      </c>
      <c r="B585" s="80" t="s">
        <v>3789</v>
      </c>
      <c r="C585" s="80">
        <v>2</v>
      </c>
      <c r="D585" s="105">
        <v>0.0009240081668555858</v>
      </c>
      <c r="E585" s="105">
        <v>3.350829273582968</v>
      </c>
      <c r="F585" s="80" t="s">
        <v>3896</v>
      </c>
      <c r="G585" s="80" t="b">
        <v>0</v>
      </c>
      <c r="H585" s="80" t="b">
        <v>0</v>
      </c>
      <c r="I585" s="80" t="b">
        <v>0</v>
      </c>
      <c r="J585" s="80" t="b">
        <v>0</v>
      </c>
      <c r="K585" s="80" t="b">
        <v>0</v>
      </c>
      <c r="L585" s="80" t="b">
        <v>0</v>
      </c>
    </row>
    <row r="586" spans="1:12" ht="15">
      <c r="A586" s="81" t="s">
        <v>3789</v>
      </c>
      <c r="B586" s="80" t="s">
        <v>3790</v>
      </c>
      <c r="C586" s="80">
        <v>2</v>
      </c>
      <c r="D586" s="105">
        <v>0.0009240081668555858</v>
      </c>
      <c r="E586" s="105">
        <v>3.350829273582968</v>
      </c>
      <c r="F586" s="80" t="s">
        <v>3896</v>
      </c>
      <c r="G586" s="80" t="b">
        <v>0</v>
      </c>
      <c r="H586" s="80" t="b">
        <v>0</v>
      </c>
      <c r="I586" s="80" t="b">
        <v>0</v>
      </c>
      <c r="J586" s="80" t="b">
        <v>0</v>
      </c>
      <c r="K586" s="80" t="b">
        <v>0</v>
      </c>
      <c r="L586" s="80" t="b">
        <v>0</v>
      </c>
    </row>
    <row r="587" spans="1:12" ht="15">
      <c r="A587" s="81" t="s">
        <v>3790</v>
      </c>
      <c r="B587" s="80" t="s">
        <v>3791</v>
      </c>
      <c r="C587" s="80">
        <v>2</v>
      </c>
      <c r="D587" s="105">
        <v>0.0009240081668555858</v>
      </c>
      <c r="E587" s="105">
        <v>3.350829273582968</v>
      </c>
      <c r="F587" s="80" t="s">
        <v>3896</v>
      </c>
      <c r="G587" s="80" t="b">
        <v>0</v>
      </c>
      <c r="H587" s="80" t="b">
        <v>0</v>
      </c>
      <c r="I587" s="80" t="b">
        <v>0</v>
      </c>
      <c r="J587" s="80" t="b">
        <v>0</v>
      </c>
      <c r="K587" s="80" t="b">
        <v>0</v>
      </c>
      <c r="L587" s="80" t="b">
        <v>0</v>
      </c>
    </row>
    <row r="588" spans="1:12" ht="15">
      <c r="A588" s="81" t="s">
        <v>3791</v>
      </c>
      <c r="B588" s="80" t="s">
        <v>3792</v>
      </c>
      <c r="C588" s="80">
        <v>2</v>
      </c>
      <c r="D588" s="105">
        <v>0.0009240081668555858</v>
      </c>
      <c r="E588" s="105">
        <v>3.350829273582968</v>
      </c>
      <c r="F588" s="80" t="s">
        <v>3896</v>
      </c>
      <c r="G588" s="80" t="b">
        <v>0</v>
      </c>
      <c r="H588" s="80" t="b">
        <v>0</v>
      </c>
      <c r="I588" s="80" t="b">
        <v>0</v>
      </c>
      <c r="J588" s="80" t="b">
        <v>0</v>
      </c>
      <c r="K588" s="80" t="b">
        <v>0</v>
      </c>
      <c r="L588" s="80" t="b">
        <v>0</v>
      </c>
    </row>
    <row r="589" spans="1:12" ht="15">
      <c r="A589" s="81" t="s">
        <v>3792</v>
      </c>
      <c r="B589" s="80" t="s">
        <v>3629</v>
      </c>
      <c r="C589" s="80">
        <v>2</v>
      </c>
      <c r="D589" s="105">
        <v>0.0009240081668555858</v>
      </c>
      <c r="E589" s="105">
        <v>3.1747380145272865</v>
      </c>
      <c r="F589" s="80" t="s">
        <v>3896</v>
      </c>
      <c r="G589" s="80" t="b">
        <v>0</v>
      </c>
      <c r="H589" s="80" t="b">
        <v>0</v>
      </c>
      <c r="I589" s="80" t="b">
        <v>0</v>
      </c>
      <c r="J589" s="80" t="b">
        <v>0</v>
      </c>
      <c r="K589" s="80" t="b">
        <v>0</v>
      </c>
      <c r="L589" s="80" t="b">
        <v>0</v>
      </c>
    </row>
    <row r="590" spans="1:12" ht="15">
      <c r="A590" s="81" t="s">
        <v>3794</v>
      </c>
      <c r="B590" s="80" t="s">
        <v>3795</v>
      </c>
      <c r="C590" s="80">
        <v>2</v>
      </c>
      <c r="D590" s="105">
        <v>0.0009240081668555858</v>
      </c>
      <c r="E590" s="105">
        <v>3.350829273582968</v>
      </c>
      <c r="F590" s="80" t="s">
        <v>3896</v>
      </c>
      <c r="G590" s="80" t="b">
        <v>0</v>
      </c>
      <c r="H590" s="80" t="b">
        <v>0</v>
      </c>
      <c r="I590" s="80" t="b">
        <v>0</v>
      </c>
      <c r="J590" s="80" t="b">
        <v>0</v>
      </c>
      <c r="K590" s="80" t="b">
        <v>0</v>
      </c>
      <c r="L590" s="80" t="b">
        <v>0</v>
      </c>
    </row>
    <row r="591" spans="1:12" ht="15">
      <c r="A591" s="81" t="s">
        <v>3795</v>
      </c>
      <c r="B591" s="80" t="s">
        <v>3796</v>
      </c>
      <c r="C591" s="80">
        <v>2</v>
      </c>
      <c r="D591" s="105">
        <v>0.0009240081668555858</v>
      </c>
      <c r="E591" s="105">
        <v>3.350829273582968</v>
      </c>
      <c r="F591" s="80" t="s">
        <v>3896</v>
      </c>
      <c r="G591" s="80" t="b">
        <v>0</v>
      </c>
      <c r="H591" s="80" t="b">
        <v>0</v>
      </c>
      <c r="I591" s="80" t="b">
        <v>0</v>
      </c>
      <c r="J591" s="80" t="b">
        <v>0</v>
      </c>
      <c r="K591" s="80" t="b">
        <v>0</v>
      </c>
      <c r="L591" s="80" t="b">
        <v>0</v>
      </c>
    </row>
    <row r="592" spans="1:12" ht="15">
      <c r="A592" s="81" t="s">
        <v>3796</v>
      </c>
      <c r="B592" s="80" t="s">
        <v>3362</v>
      </c>
      <c r="C592" s="80">
        <v>2</v>
      </c>
      <c r="D592" s="105">
        <v>0.0009240081668555858</v>
      </c>
      <c r="E592" s="105">
        <v>2.7487692822550054</v>
      </c>
      <c r="F592" s="80" t="s">
        <v>3896</v>
      </c>
      <c r="G592" s="80" t="b">
        <v>0</v>
      </c>
      <c r="H592" s="80" t="b">
        <v>0</v>
      </c>
      <c r="I592" s="80" t="b">
        <v>0</v>
      </c>
      <c r="J592" s="80" t="b">
        <v>0</v>
      </c>
      <c r="K592" s="80" t="b">
        <v>0</v>
      </c>
      <c r="L592" s="80" t="b">
        <v>0</v>
      </c>
    </row>
    <row r="593" spans="1:12" ht="15">
      <c r="A593" s="81" t="s">
        <v>3363</v>
      </c>
      <c r="B593" s="80" t="s">
        <v>3797</v>
      </c>
      <c r="C593" s="80">
        <v>2</v>
      </c>
      <c r="D593" s="105">
        <v>0.0009240081668555858</v>
      </c>
      <c r="E593" s="105">
        <v>2.7487692822550054</v>
      </c>
      <c r="F593" s="80" t="s">
        <v>3896</v>
      </c>
      <c r="G593" s="80" t="b">
        <v>0</v>
      </c>
      <c r="H593" s="80" t="b">
        <v>0</v>
      </c>
      <c r="I593" s="80" t="b">
        <v>0</v>
      </c>
      <c r="J593" s="80" t="b">
        <v>0</v>
      </c>
      <c r="K593" s="80" t="b">
        <v>0</v>
      </c>
      <c r="L593" s="80" t="b">
        <v>0</v>
      </c>
    </row>
    <row r="594" spans="1:12" ht="15">
      <c r="A594" s="81" t="s">
        <v>3797</v>
      </c>
      <c r="B594" s="80" t="s">
        <v>3798</v>
      </c>
      <c r="C594" s="80">
        <v>2</v>
      </c>
      <c r="D594" s="105">
        <v>0.0009240081668555858</v>
      </c>
      <c r="E594" s="105">
        <v>3.350829273582968</v>
      </c>
      <c r="F594" s="80" t="s">
        <v>3896</v>
      </c>
      <c r="G594" s="80" t="b">
        <v>0</v>
      </c>
      <c r="H594" s="80" t="b">
        <v>0</v>
      </c>
      <c r="I594" s="80" t="b">
        <v>0</v>
      </c>
      <c r="J594" s="80" t="b">
        <v>0</v>
      </c>
      <c r="K594" s="80" t="b">
        <v>0</v>
      </c>
      <c r="L594" s="80" t="b">
        <v>0</v>
      </c>
    </row>
    <row r="595" spans="1:12" ht="15">
      <c r="A595" s="81" t="s">
        <v>3798</v>
      </c>
      <c r="B595" s="80" t="s">
        <v>3262</v>
      </c>
      <c r="C595" s="80">
        <v>2</v>
      </c>
      <c r="D595" s="105">
        <v>0.0009240081668555858</v>
      </c>
      <c r="E595" s="105">
        <v>1.9528892649109302</v>
      </c>
      <c r="F595" s="80" t="s">
        <v>3896</v>
      </c>
      <c r="G595" s="80" t="b">
        <v>0</v>
      </c>
      <c r="H595" s="80" t="b">
        <v>0</v>
      </c>
      <c r="I595" s="80" t="b">
        <v>0</v>
      </c>
      <c r="J595" s="80" t="b">
        <v>0</v>
      </c>
      <c r="K595" s="80" t="b">
        <v>0</v>
      </c>
      <c r="L595" s="80" t="b">
        <v>0</v>
      </c>
    </row>
    <row r="596" spans="1:12" ht="15">
      <c r="A596" s="81" t="s">
        <v>3359</v>
      </c>
      <c r="B596" s="80" t="s">
        <v>3495</v>
      </c>
      <c r="C596" s="80">
        <v>2</v>
      </c>
      <c r="D596" s="105">
        <v>0.0009240081668555858</v>
      </c>
      <c r="E596" s="105">
        <v>2.505731233568711</v>
      </c>
      <c r="F596" s="80" t="s">
        <v>3896</v>
      </c>
      <c r="G596" s="80" t="b">
        <v>0</v>
      </c>
      <c r="H596" s="80" t="b">
        <v>0</v>
      </c>
      <c r="I596" s="80" t="b">
        <v>0</v>
      </c>
      <c r="J596" s="80" t="b">
        <v>0</v>
      </c>
      <c r="K596" s="80" t="b">
        <v>0</v>
      </c>
      <c r="L596" s="80" t="b">
        <v>0</v>
      </c>
    </row>
    <row r="597" spans="1:12" ht="15">
      <c r="A597" s="81" t="s">
        <v>3495</v>
      </c>
      <c r="B597" s="80" t="s">
        <v>3799</v>
      </c>
      <c r="C597" s="80">
        <v>2</v>
      </c>
      <c r="D597" s="105">
        <v>0.0009240081668555858</v>
      </c>
      <c r="E597" s="105">
        <v>3.0497992779189866</v>
      </c>
      <c r="F597" s="80" t="s">
        <v>3896</v>
      </c>
      <c r="G597" s="80" t="b">
        <v>0</v>
      </c>
      <c r="H597" s="80" t="b">
        <v>0</v>
      </c>
      <c r="I597" s="80" t="b">
        <v>0</v>
      </c>
      <c r="J597" s="80" t="b">
        <v>0</v>
      </c>
      <c r="K597" s="80" t="b">
        <v>0</v>
      </c>
      <c r="L597" s="80" t="b">
        <v>0</v>
      </c>
    </row>
    <row r="598" spans="1:12" ht="15">
      <c r="A598" s="81" t="s">
        <v>3799</v>
      </c>
      <c r="B598" s="80" t="s">
        <v>3800</v>
      </c>
      <c r="C598" s="80">
        <v>2</v>
      </c>
      <c r="D598" s="105">
        <v>0.0009240081668555858</v>
      </c>
      <c r="E598" s="105">
        <v>3.350829273582968</v>
      </c>
      <c r="F598" s="80" t="s">
        <v>3896</v>
      </c>
      <c r="G598" s="80" t="b">
        <v>0</v>
      </c>
      <c r="H598" s="80" t="b">
        <v>0</v>
      </c>
      <c r="I598" s="80" t="b">
        <v>0</v>
      </c>
      <c r="J598" s="80" t="b">
        <v>0</v>
      </c>
      <c r="K598" s="80" t="b">
        <v>0</v>
      </c>
      <c r="L598" s="80" t="b">
        <v>0</v>
      </c>
    </row>
    <row r="599" spans="1:12" ht="15">
      <c r="A599" s="81" t="s">
        <v>3800</v>
      </c>
      <c r="B599" s="80" t="s">
        <v>3801</v>
      </c>
      <c r="C599" s="80">
        <v>2</v>
      </c>
      <c r="D599" s="105">
        <v>0.0009240081668555858</v>
      </c>
      <c r="E599" s="105">
        <v>3.350829273582968</v>
      </c>
      <c r="F599" s="80" t="s">
        <v>3896</v>
      </c>
      <c r="G599" s="80" t="b">
        <v>0</v>
      </c>
      <c r="H599" s="80" t="b">
        <v>0</v>
      </c>
      <c r="I599" s="80" t="b">
        <v>0</v>
      </c>
      <c r="J599" s="80" t="b">
        <v>0</v>
      </c>
      <c r="K599" s="80" t="b">
        <v>0</v>
      </c>
      <c r="L599" s="80" t="b">
        <v>0</v>
      </c>
    </row>
    <row r="600" spans="1:12" ht="15">
      <c r="A600" s="81" t="s">
        <v>3801</v>
      </c>
      <c r="B600" s="80" t="s">
        <v>3386</v>
      </c>
      <c r="C600" s="80">
        <v>2</v>
      </c>
      <c r="D600" s="105">
        <v>0.0009240081668555858</v>
      </c>
      <c r="E600" s="105">
        <v>2.8737080188633053</v>
      </c>
      <c r="F600" s="80" t="s">
        <v>3896</v>
      </c>
      <c r="G600" s="80" t="b">
        <v>0</v>
      </c>
      <c r="H600" s="80" t="b">
        <v>0</v>
      </c>
      <c r="I600" s="80" t="b">
        <v>0</v>
      </c>
      <c r="J600" s="80" t="b">
        <v>0</v>
      </c>
      <c r="K600" s="80" t="b">
        <v>0</v>
      </c>
      <c r="L600" s="80" t="b">
        <v>0</v>
      </c>
    </row>
    <row r="601" spans="1:12" ht="15">
      <c r="A601" s="81" t="s">
        <v>3386</v>
      </c>
      <c r="B601" s="80" t="s">
        <v>3802</v>
      </c>
      <c r="C601" s="80">
        <v>2</v>
      </c>
      <c r="D601" s="105">
        <v>0.0009240081668555858</v>
      </c>
      <c r="E601" s="105">
        <v>2.8737080188633053</v>
      </c>
      <c r="F601" s="80" t="s">
        <v>3896</v>
      </c>
      <c r="G601" s="80" t="b">
        <v>0</v>
      </c>
      <c r="H601" s="80" t="b">
        <v>0</v>
      </c>
      <c r="I601" s="80" t="b">
        <v>0</v>
      </c>
      <c r="J601" s="80" t="b">
        <v>0</v>
      </c>
      <c r="K601" s="80" t="b">
        <v>0</v>
      </c>
      <c r="L601" s="80" t="b">
        <v>0</v>
      </c>
    </row>
    <row r="602" spans="1:12" ht="15">
      <c r="A602" s="81" t="s">
        <v>3802</v>
      </c>
      <c r="B602" s="80" t="s">
        <v>3803</v>
      </c>
      <c r="C602" s="80">
        <v>2</v>
      </c>
      <c r="D602" s="105">
        <v>0.0009240081668555858</v>
      </c>
      <c r="E602" s="105">
        <v>3.350829273582968</v>
      </c>
      <c r="F602" s="80" t="s">
        <v>3896</v>
      </c>
      <c r="G602" s="80" t="b">
        <v>0</v>
      </c>
      <c r="H602" s="80" t="b">
        <v>0</v>
      </c>
      <c r="I602" s="80" t="b">
        <v>0</v>
      </c>
      <c r="J602" s="80" t="b">
        <v>0</v>
      </c>
      <c r="K602" s="80" t="b">
        <v>0</v>
      </c>
      <c r="L602" s="80" t="b">
        <v>0</v>
      </c>
    </row>
    <row r="603" spans="1:12" ht="15">
      <c r="A603" s="81" t="s">
        <v>3803</v>
      </c>
      <c r="B603" s="80" t="s">
        <v>3804</v>
      </c>
      <c r="C603" s="80">
        <v>2</v>
      </c>
      <c r="D603" s="105">
        <v>0.0009240081668555858</v>
      </c>
      <c r="E603" s="105">
        <v>3.350829273582968</v>
      </c>
      <c r="F603" s="80" t="s">
        <v>3896</v>
      </c>
      <c r="G603" s="80" t="b">
        <v>0</v>
      </c>
      <c r="H603" s="80" t="b">
        <v>0</v>
      </c>
      <c r="I603" s="80" t="b">
        <v>0</v>
      </c>
      <c r="J603" s="80" t="b">
        <v>0</v>
      </c>
      <c r="K603" s="80" t="b">
        <v>0</v>
      </c>
      <c r="L603" s="80" t="b">
        <v>0</v>
      </c>
    </row>
    <row r="604" spans="1:12" ht="15">
      <c r="A604" s="81" t="s">
        <v>3804</v>
      </c>
      <c r="B604" s="80" t="s">
        <v>3805</v>
      </c>
      <c r="C604" s="80">
        <v>2</v>
      </c>
      <c r="D604" s="105">
        <v>0.0009240081668555858</v>
      </c>
      <c r="E604" s="105">
        <v>3.350829273582968</v>
      </c>
      <c r="F604" s="80" t="s">
        <v>3896</v>
      </c>
      <c r="G604" s="80" t="b">
        <v>0</v>
      </c>
      <c r="H604" s="80" t="b">
        <v>0</v>
      </c>
      <c r="I604" s="80" t="b">
        <v>0</v>
      </c>
      <c r="J604" s="80" t="b">
        <v>0</v>
      </c>
      <c r="K604" s="80" t="b">
        <v>0</v>
      </c>
      <c r="L604" s="80" t="b">
        <v>0</v>
      </c>
    </row>
    <row r="605" spans="1:12" ht="15">
      <c r="A605" s="81" t="s">
        <v>3805</v>
      </c>
      <c r="B605" s="80" t="s">
        <v>3495</v>
      </c>
      <c r="C605" s="80">
        <v>2</v>
      </c>
      <c r="D605" s="105">
        <v>0.0009240081668555858</v>
      </c>
      <c r="E605" s="105">
        <v>3.0497992779189866</v>
      </c>
      <c r="F605" s="80" t="s">
        <v>3896</v>
      </c>
      <c r="G605" s="80" t="b">
        <v>0</v>
      </c>
      <c r="H605" s="80" t="b">
        <v>0</v>
      </c>
      <c r="I605" s="80" t="b">
        <v>0</v>
      </c>
      <c r="J605" s="80" t="b">
        <v>0</v>
      </c>
      <c r="K605" s="80" t="b">
        <v>0</v>
      </c>
      <c r="L605" s="80" t="b">
        <v>0</v>
      </c>
    </row>
    <row r="606" spans="1:12" ht="15">
      <c r="A606" s="81" t="s">
        <v>3495</v>
      </c>
      <c r="B606" s="80" t="s">
        <v>3806</v>
      </c>
      <c r="C606" s="80">
        <v>2</v>
      </c>
      <c r="D606" s="105">
        <v>0.0009240081668555858</v>
      </c>
      <c r="E606" s="105">
        <v>3.0497992779189866</v>
      </c>
      <c r="F606" s="80" t="s">
        <v>3896</v>
      </c>
      <c r="G606" s="80" t="b">
        <v>0</v>
      </c>
      <c r="H606" s="80" t="b">
        <v>0</v>
      </c>
      <c r="I606" s="80" t="b">
        <v>0</v>
      </c>
      <c r="J606" s="80" t="b">
        <v>0</v>
      </c>
      <c r="K606" s="80" t="b">
        <v>0</v>
      </c>
      <c r="L606" s="80" t="b">
        <v>0</v>
      </c>
    </row>
    <row r="607" spans="1:12" ht="15">
      <c r="A607" s="81" t="s">
        <v>3807</v>
      </c>
      <c r="B607" s="80" t="s">
        <v>3383</v>
      </c>
      <c r="C607" s="80">
        <v>2</v>
      </c>
      <c r="D607" s="105">
        <v>0.0009240081668555858</v>
      </c>
      <c r="E607" s="105">
        <v>2.8737080188633053</v>
      </c>
      <c r="F607" s="80" t="s">
        <v>3896</v>
      </c>
      <c r="G607" s="80" t="b">
        <v>0</v>
      </c>
      <c r="H607" s="80" t="b">
        <v>0</v>
      </c>
      <c r="I607" s="80" t="b">
        <v>0</v>
      </c>
      <c r="J607" s="80" t="b">
        <v>0</v>
      </c>
      <c r="K607" s="80" t="b">
        <v>0</v>
      </c>
      <c r="L607" s="80" t="b">
        <v>0</v>
      </c>
    </row>
    <row r="608" spans="1:12" ht="15">
      <c r="A608" s="81" t="s">
        <v>3813</v>
      </c>
      <c r="B608" s="80" t="s">
        <v>501</v>
      </c>
      <c r="C608" s="80">
        <v>2</v>
      </c>
      <c r="D608" s="105">
        <v>0.0009240081668555858</v>
      </c>
      <c r="E608" s="105">
        <v>2.8067612292326922</v>
      </c>
      <c r="F608" s="80" t="s">
        <v>3896</v>
      </c>
      <c r="G608" s="80" t="b">
        <v>0</v>
      </c>
      <c r="H608" s="80" t="b">
        <v>0</v>
      </c>
      <c r="I608" s="80" t="b">
        <v>0</v>
      </c>
      <c r="J608" s="80" t="b">
        <v>0</v>
      </c>
      <c r="K608" s="80" t="b">
        <v>0</v>
      </c>
      <c r="L608" s="80" t="b">
        <v>0</v>
      </c>
    </row>
    <row r="609" spans="1:12" ht="15">
      <c r="A609" s="81" t="s">
        <v>501</v>
      </c>
      <c r="B609" s="80" t="s">
        <v>500</v>
      </c>
      <c r="C609" s="80">
        <v>2</v>
      </c>
      <c r="D609" s="105">
        <v>0.0009240081668555858</v>
      </c>
      <c r="E609" s="105">
        <v>1.4845419344987727</v>
      </c>
      <c r="F609" s="80" t="s">
        <v>3896</v>
      </c>
      <c r="G609" s="80" t="b">
        <v>0</v>
      </c>
      <c r="H609" s="80" t="b">
        <v>0</v>
      </c>
      <c r="I609" s="80" t="b">
        <v>0</v>
      </c>
      <c r="J609" s="80" t="b">
        <v>0</v>
      </c>
      <c r="K609" s="80" t="b">
        <v>0</v>
      </c>
      <c r="L609" s="80" t="b">
        <v>0</v>
      </c>
    </row>
    <row r="610" spans="1:12" ht="15">
      <c r="A610" s="81" t="s">
        <v>500</v>
      </c>
      <c r="B610" s="80" t="s">
        <v>3814</v>
      </c>
      <c r="C610" s="80">
        <v>2</v>
      </c>
      <c r="D610" s="105">
        <v>0.0009240081668555858</v>
      </c>
      <c r="E610" s="105">
        <v>2.0497992779189866</v>
      </c>
      <c r="F610" s="80" t="s">
        <v>3896</v>
      </c>
      <c r="G610" s="80" t="b">
        <v>0</v>
      </c>
      <c r="H610" s="80" t="b">
        <v>0</v>
      </c>
      <c r="I610" s="80" t="b">
        <v>0</v>
      </c>
      <c r="J610" s="80" t="b">
        <v>0</v>
      </c>
      <c r="K610" s="80" t="b">
        <v>0</v>
      </c>
      <c r="L610" s="80" t="b">
        <v>0</v>
      </c>
    </row>
    <row r="611" spans="1:12" ht="15">
      <c r="A611" s="81" t="s">
        <v>3814</v>
      </c>
      <c r="B611" s="80" t="s">
        <v>3260</v>
      </c>
      <c r="C611" s="80">
        <v>2</v>
      </c>
      <c r="D611" s="105">
        <v>0.0009240081668555858</v>
      </c>
      <c r="E611" s="105">
        <v>1.1440033975511181</v>
      </c>
      <c r="F611" s="80" t="s">
        <v>3896</v>
      </c>
      <c r="G611" s="80" t="b">
        <v>0</v>
      </c>
      <c r="H611" s="80" t="b">
        <v>0</v>
      </c>
      <c r="I611" s="80" t="b">
        <v>0</v>
      </c>
      <c r="J611" s="80" t="b">
        <v>0</v>
      </c>
      <c r="K611" s="80" t="b">
        <v>0</v>
      </c>
      <c r="L611" s="80" t="b">
        <v>0</v>
      </c>
    </row>
    <row r="612" spans="1:12" ht="15">
      <c r="A612" s="81" t="s">
        <v>3260</v>
      </c>
      <c r="B612" s="80" t="s">
        <v>3815</v>
      </c>
      <c r="C612" s="80">
        <v>2</v>
      </c>
      <c r="D612" s="105">
        <v>0.0009240081668555858</v>
      </c>
      <c r="E612" s="105">
        <v>1.4014392669380549</v>
      </c>
      <c r="F612" s="80" t="s">
        <v>3896</v>
      </c>
      <c r="G612" s="80" t="b">
        <v>0</v>
      </c>
      <c r="H612" s="80" t="b">
        <v>0</v>
      </c>
      <c r="I612" s="80" t="b">
        <v>0</v>
      </c>
      <c r="J612" s="80" t="b">
        <v>0</v>
      </c>
      <c r="K612" s="80" t="b">
        <v>0</v>
      </c>
      <c r="L612" s="80" t="b">
        <v>0</v>
      </c>
    </row>
    <row r="613" spans="1:12" ht="15">
      <c r="A613" s="81" t="s">
        <v>3815</v>
      </c>
      <c r="B613" s="80" t="s">
        <v>3305</v>
      </c>
      <c r="C613" s="80">
        <v>2</v>
      </c>
      <c r="D613" s="105">
        <v>0.0009240081668555858</v>
      </c>
      <c r="E613" s="105">
        <v>2.475768010191268</v>
      </c>
      <c r="F613" s="80" t="s">
        <v>3896</v>
      </c>
      <c r="G613" s="80" t="b">
        <v>0</v>
      </c>
      <c r="H613" s="80" t="b">
        <v>0</v>
      </c>
      <c r="I613" s="80" t="b">
        <v>0</v>
      </c>
      <c r="J613" s="80" t="b">
        <v>0</v>
      </c>
      <c r="K613" s="80" t="b">
        <v>0</v>
      </c>
      <c r="L613" s="80" t="b">
        <v>0</v>
      </c>
    </row>
    <row r="614" spans="1:12" ht="15">
      <c r="A614" s="81" t="s">
        <v>3305</v>
      </c>
      <c r="B614" s="80" t="s">
        <v>3816</v>
      </c>
      <c r="C614" s="80">
        <v>2</v>
      </c>
      <c r="D614" s="105">
        <v>0.0009240081668555858</v>
      </c>
      <c r="E614" s="105">
        <v>2.505731233568711</v>
      </c>
      <c r="F614" s="80" t="s">
        <v>3896</v>
      </c>
      <c r="G614" s="80" t="b">
        <v>0</v>
      </c>
      <c r="H614" s="80" t="b">
        <v>0</v>
      </c>
      <c r="I614" s="80" t="b">
        <v>0</v>
      </c>
      <c r="J614" s="80" t="b">
        <v>0</v>
      </c>
      <c r="K614" s="80" t="b">
        <v>0</v>
      </c>
      <c r="L614" s="80" t="b">
        <v>0</v>
      </c>
    </row>
    <row r="615" spans="1:12" ht="15">
      <c r="A615" s="81" t="s">
        <v>3816</v>
      </c>
      <c r="B615" s="80" t="s">
        <v>3817</v>
      </c>
      <c r="C615" s="80">
        <v>2</v>
      </c>
      <c r="D615" s="105">
        <v>0.0009240081668555858</v>
      </c>
      <c r="E615" s="105">
        <v>3.350829273582968</v>
      </c>
      <c r="F615" s="80" t="s">
        <v>3896</v>
      </c>
      <c r="G615" s="80" t="b">
        <v>0</v>
      </c>
      <c r="H615" s="80" t="b">
        <v>0</v>
      </c>
      <c r="I615" s="80" t="b">
        <v>0</v>
      </c>
      <c r="J615" s="80" t="b">
        <v>0</v>
      </c>
      <c r="K615" s="80" t="b">
        <v>0</v>
      </c>
      <c r="L615" s="80" t="b">
        <v>0</v>
      </c>
    </row>
    <row r="616" spans="1:12" ht="15">
      <c r="A616" s="81" t="s">
        <v>3634</v>
      </c>
      <c r="B616" s="80" t="s">
        <v>3634</v>
      </c>
      <c r="C616" s="80">
        <v>2</v>
      </c>
      <c r="D616" s="105">
        <v>0.0010487874396696714</v>
      </c>
      <c r="E616" s="105">
        <v>3.1747380145272865</v>
      </c>
      <c r="F616" s="80" t="s">
        <v>3896</v>
      </c>
      <c r="G616" s="80" t="b">
        <v>0</v>
      </c>
      <c r="H616" s="80" t="b">
        <v>0</v>
      </c>
      <c r="I616" s="80" t="b">
        <v>0</v>
      </c>
      <c r="J616" s="80" t="b">
        <v>0</v>
      </c>
      <c r="K616" s="80" t="b">
        <v>0</v>
      </c>
      <c r="L616" s="80" t="b">
        <v>0</v>
      </c>
    </row>
    <row r="617" spans="1:12" ht="15">
      <c r="A617" s="81" t="s">
        <v>3260</v>
      </c>
      <c r="B617" s="80" t="s">
        <v>3308</v>
      </c>
      <c r="C617" s="80">
        <v>2</v>
      </c>
      <c r="D617" s="105">
        <v>0.0009240081668555858</v>
      </c>
      <c r="E617" s="105">
        <v>0.6232880165544114</v>
      </c>
      <c r="F617" s="80" t="s">
        <v>3896</v>
      </c>
      <c r="G617" s="80" t="b">
        <v>0</v>
      </c>
      <c r="H617" s="80" t="b">
        <v>0</v>
      </c>
      <c r="I617" s="80" t="b">
        <v>0</v>
      </c>
      <c r="J617" s="80" t="b">
        <v>0</v>
      </c>
      <c r="K617" s="80" t="b">
        <v>0</v>
      </c>
      <c r="L617" s="80" t="b">
        <v>0</v>
      </c>
    </row>
    <row r="618" spans="1:12" ht="15">
      <c r="A618" s="81" t="s">
        <v>3821</v>
      </c>
      <c r="B618" s="80" t="s">
        <v>3341</v>
      </c>
      <c r="C618" s="80">
        <v>2</v>
      </c>
      <c r="D618" s="105">
        <v>0.0009240081668555858</v>
      </c>
      <c r="E618" s="105">
        <v>2.6518592692469487</v>
      </c>
      <c r="F618" s="80" t="s">
        <v>3896</v>
      </c>
      <c r="G618" s="80" t="b">
        <v>0</v>
      </c>
      <c r="H618" s="80" t="b">
        <v>0</v>
      </c>
      <c r="I618" s="80" t="b">
        <v>0</v>
      </c>
      <c r="J618" s="80" t="b">
        <v>0</v>
      </c>
      <c r="K618" s="80" t="b">
        <v>0</v>
      </c>
      <c r="L618" s="80" t="b">
        <v>0</v>
      </c>
    </row>
    <row r="619" spans="1:12" ht="15">
      <c r="A619" s="81" t="s">
        <v>3341</v>
      </c>
      <c r="B619" s="80" t="s">
        <v>3822</v>
      </c>
      <c r="C619" s="80">
        <v>2</v>
      </c>
      <c r="D619" s="105">
        <v>0.0009240081668555858</v>
      </c>
      <c r="E619" s="105">
        <v>2.6518592692469487</v>
      </c>
      <c r="F619" s="80" t="s">
        <v>3896</v>
      </c>
      <c r="G619" s="80" t="b">
        <v>0</v>
      </c>
      <c r="H619" s="80" t="b">
        <v>0</v>
      </c>
      <c r="I619" s="80" t="b">
        <v>0</v>
      </c>
      <c r="J619" s="80" t="b">
        <v>0</v>
      </c>
      <c r="K619" s="80" t="b">
        <v>1</v>
      </c>
      <c r="L619" s="80" t="b">
        <v>0</v>
      </c>
    </row>
    <row r="620" spans="1:12" ht="15">
      <c r="A620" s="81" t="s">
        <v>3822</v>
      </c>
      <c r="B620" s="80" t="s">
        <v>3823</v>
      </c>
      <c r="C620" s="80">
        <v>2</v>
      </c>
      <c r="D620" s="105">
        <v>0.0009240081668555858</v>
      </c>
      <c r="E620" s="105">
        <v>3.350829273582968</v>
      </c>
      <c r="F620" s="80" t="s">
        <v>3896</v>
      </c>
      <c r="G620" s="80" t="b">
        <v>0</v>
      </c>
      <c r="H620" s="80" t="b">
        <v>1</v>
      </c>
      <c r="I620" s="80" t="b">
        <v>0</v>
      </c>
      <c r="J620" s="80" t="b">
        <v>0</v>
      </c>
      <c r="K620" s="80" t="b">
        <v>1</v>
      </c>
      <c r="L620" s="80" t="b">
        <v>0</v>
      </c>
    </row>
    <row r="621" spans="1:12" ht="15">
      <c r="A621" s="81" t="s">
        <v>3823</v>
      </c>
      <c r="B621" s="80" t="s">
        <v>3824</v>
      </c>
      <c r="C621" s="80">
        <v>2</v>
      </c>
      <c r="D621" s="105">
        <v>0.0009240081668555858</v>
      </c>
      <c r="E621" s="105">
        <v>3.350829273582968</v>
      </c>
      <c r="F621" s="80" t="s">
        <v>3896</v>
      </c>
      <c r="G621" s="80" t="b">
        <v>0</v>
      </c>
      <c r="H621" s="80" t="b">
        <v>1</v>
      </c>
      <c r="I621" s="80" t="b">
        <v>0</v>
      </c>
      <c r="J621" s="80" t="b">
        <v>0</v>
      </c>
      <c r="K621" s="80" t="b">
        <v>0</v>
      </c>
      <c r="L621" s="80" t="b">
        <v>0</v>
      </c>
    </row>
    <row r="622" spans="1:12" ht="15">
      <c r="A622" s="81" t="s">
        <v>3824</v>
      </c>
      <c r="B622" s="80" t="s">
        <v>3260</v>
      </c>
      <c r="C622" s="80">
        <v>2</v>
      </c>
      <c r="D622" s="105">
        <v>0.0009240081668555858</v>
      </c>
      <c r="E622" s="105">
        <v>1.1440033975511181</v>
      </c>
      <c r="F622" s="80" t="s">
        <v>3896</v>
      </c>
      <c r="G622" s="80" t="b">
        <v>0</v>
      </c>
      <c r="H622" s="80" t="b">
        <v>0</v>
      </c>
      <c r="I622" s="80" t="b">
        <v>0</v>
      </c>
      <c r="J622" s="80" t="b">
        <v>0</v>
      </c>
      <c r="K622" s="80" t="b">
        <v>0</v>
      </c>
      <c r="L622" s="80" t="b">
        <v>0</v>
      </c>
    </row>
    <row r="623" spans="1:12" ht="15">
      <c r="A623" s="81" t="s">
        <v>3305</v>
      </c>
      <c r="B623" s="80" t="s">
        <v>3825</v>
      </c>
      <c r="C623" s="80">
        <v>2</v>
      </c>
      <c r="D623" s="105">
        <v>0.0009240081668555858</v>
      </c>
      <c r="E623" s="105">
        <v>2.505731233568711</v>
      </c>
      <c r="F623" s="80" t="s">
        <v>3896</v>
      </c>
      <c r="G623" s="80" t="b">
        <v>0</v>
      </c>
      <c r="H623" s="80" t="b">
        <v>0</v>
      </c>
      <c r="I623" s="80" t="b">
        <v>0</v>
      </c>
      <c r="J623" s="80" t="b">
        <v>0</v>
      </c>
      <c r="K623" s="80" t="b">
        <v>0</v>
      </c>
      <c r="L623" s="80" t="b">
        <v>0</v>
      </c>
    </row>
    <row r="624" spans="1:12" ht="15">
      <c r="A624" s="81" t="s">
        <v>3825</v>
      </c>
      <c r="B624" s="80" t="s">
        <v>3826</v>
      </c>
      <c r="C624" s="80">
        <v>2</v>
      </c>
      <c r="D624" s="105">
        <v>0.0009240081668555858</v>
      </c>
      <c r="E624" s="105">
        <v>3.350829273582968</v>
      </c>
      <c r="F624" s="80" t="s">
        <v>3896</v>
      </c>
      <c r="G624" s="80" t="b">
        <v>0</v>
      </c>
      <c r="H624" s="80" t="b">
        <v>0</v>
      </c>
      <c r="I624" s="80" t="b">
        <v>0</v>
      </c>
      <c r="J624" s="80" t="b">
        <v>0</v>
      </c>
      <c r="K624" s="80" t="b">
        <v>0</v>
      </c>
      <c r="L624" s="80" t="b">
        <v>0</v>
      </c>
    </row>
    <row r="625" spans="1:12" ht="15">
      <c r="A625" s="81" t="s">
        <v>3826</v>
      </c>
      <c r="B625" s="80" t="s">
        <v>3827</v>
      </c>
      <c r="C625" s="80">
        <v>2</v>
      </c>
      <c r="D625" s="105">
        <v>0.0009240081668555858</v>
      </c>
      <c r="E625" s="105">
        <v>3.350829273582968</v>
      </c>
      <c r="F625" s="80" t="s">
        <v>3896</v>
      </c>
      <c r="G625" s="80" t="b">
        <v>0</v>
      </c>
      <c r="H625" s="80" t="b">
        <v>0</v>
      </c>
      <c r="I625" s="80" t="b">
        <v>0</v>
      </c>
      <c r="J625" s="80" t="b">
        <v>0</v>
      </c>
      <c r="K625" s="80" t="b">
        <v>0</v>
      </c>
      <c r="L625" s="80" t="b">
        <v>0</v>
      </c>
    </row>
    <row r="626" spans="1:12" ht="15">
      <c r="A626" s="81" t="s">
        <v>3827</v>
      </c>
      <c r="B626" s="80" t="s">
        <v>3828</v>
      </c>
      <c r="C626" s="80">
        <v>2</v>
      </c>
      <c r="D626" s="105">
        <v>0.0009240081668555858</v>
      </c>
      <c r="E626" s="105">
        <v>3.350829273582968</v>
      </c>
      <c r="F626" s="80" t="s">
        <v>3896</v>
      </c>
      <c r="G626" s="80" t="b">
        <v>0</v>
      </c>
      <c r="H626" s="80" t="b">
        <v>0</v>
      </c>
      <c r="I626" s="80" t="b">
        <v>0</v>
      </c>
      <c r="J626" s="80" t="b">
        <v>0</v>
      </c>
      <c r="K626" s="80" t="b">
        <v>0</v>
      </c>
      <c r="L626" s="80" t="b">
        <v>0</v>
      </c>
    </row>
    <row r="627" spans="1:12" ht="15">
      <c r="A627" s="81" t="s">
        <v>3828</v>
      </c>
      <c r="B627" s="80" t="s">
        <v>3829</v>
      </c>
      <c r="C627" s="80">
        <v>2</v>
      </c>
      <c r="D627" s="105">
        <v>0.0009240081668555858</v>
      </c>
      <c r="E627" s="105">
        <v>3.350829273582968</v>
      </c>
      <c r="F627" s="80" t="s">
        <v>3896</v>
      </c>
      <c r="G627" s="80" t="b">
        <v>0</v>
      </c>
      <c r="H627" s="80" t="b">
        <v>0</v>
      </c>
      <c r="I627" s="80" t="b">
        <v>0</v>
      </c>
      <c r="J627" s="80" t="b">
        <v>0</v>
      </c>
      <c r="K627" s="80" t="b">
        <v>0</v>
      </c>
      <c r="L627" s="80" t="b">
        <v>0</v>
      </c>
    </row>
    <row r="628" spans="1:12" ht="15">
      <c r="A628" s="81" t="s">
        <v>495</v>
      </c>
      <c r="B628" s="80" t="s">
        <v>3453</v>
      </c>
      <c r="C628" s="80">
        <v>2</v>
      </c>
      <c r="D628" s="105">
        <v>0.0009240081668555858</v>
      </c>
      <c r="E628" s="105">
        <v>3.0497992779189866</v>
      </c>
      <c r="F628" s="80" t="s">
        <v>3896</v>
      </c>
      <c r="G628" s="80" t="b">
        <v>0</v>
      </c>
      <c r="H628" s="80" t="b">
        <v>0</v>
      </c>
      <c r="I628" s="80" t="b">
        <v>0</v>
      </c>
      <c r="J628" s="80" t="b">
        <v>0</v>
      </c>
      <c r="K628" s="80" t="b">
        <v>0</v>
      </c>
      <c r="L628" s="80" t="b">
        <v>0</v>
      </c>
    </row>
    <row r="629" spans="1:12" ht="15">
      <c r="A629" s="81" t="s">
        <v>3453</v>
      </c>
      <c r="B629" s="80" t="s">
        <v>3371</v>
      </c>
      <c r="C629" s="80">
        <v>2</v>
      </c>
      <c r="D629" s="105">
        <v>0.0009240081668555858</v>
      </c>
      <c r="E629" s="105">
        <v>2.505731233568711</v>
      </c>
      <c r="F629" s="80" t="s">
        <v>3896</v>
      </c>
      <c r="G629" s="80" t="b">
        <v>0</v>
      </c>
      <c r="H629" s="80" t="b">
        <v>0</v>
      </c>
      <c r="I629" s="80" t="b">
        <v>0</v>
      </c>
      <c r="J629" s="80" t="b">
        <v>0</v>
      </c>
      <c r="K629" s="80" t="b">
        <v>0</v>
      </c>
      <c r="L629" s="80" t="b">
        <v>0</v>
      </c>
    </row>
    <row r="630" spans="1:12" ht="15">
      <c r="A630" s="81" t="s">
        <v>3371</v>
      </c>
      <c r="B630" s="80" t="s">
        <v>3552</v>
      </c>
      <c r="C630" s="80">
        <v>2</v>
      </c>
      <c r="D630" s="105">
        <v>0.0009240081668555858</v>
      </c>
      <c r="E630" s="105">
        <v>2.630669970177011</v>
      </c>
      <c r="F630" s="80" t="s">
        <v>3896</v>
      </c>
      <c r="G630" s="80" t="b">
        <v>0</v>
      </c>
      <c r="H630" s="80" t="b">
        <v>0</v>
      </c>
      <c r="I630" s="80" t="b">
        <v>0</v>
      </c>
      <c r="J630" s="80" t="b">
        <v>0</v>
      </c>
      <c r="K630" s="80" t="b">
        <v>0</v>
      </c>
      <c r="L630" s="80" t="b">
        <v>0</v>
      </c>
    </row>
    <row r="631" spans="1:12" ht="15">
      <c r="A631" s="81" t="s">
        <v>3552</v>
      </c>
      <c r="B631" s="80" t="s">
        <v>3266</v>
      </c>
      <c r="C631" s="80">
        <v>2</v>
      </c>
      <c r="D631" s="105">
        <v>0.0009240081668555858</v>
      </c>
      <c r="E631" s="105">
        <v>1.9075662861242726</v>
      </c>
      <c r="F631" s="80" t="s">
        <v>3896</v>
      </c>
      <c r="G631" s="80" t="b">
        <v>0</v>
      </c>
      <c r="H631" s="80" t="b">
        <v>0</v>
      </c>
      <c r="I631" s="80" t="b">
        <v>0</v>
      </c>
      <c r="J631" s="80" t="b">
        <v>0</v>
      </c>
      <c r="K631" s="80" t="b">
        <v>0</v>
      </c>
      <c r="L631" s="80" t="b">
        <v>0</v>
      </c>
    </row>
    <row r="632" spans="1:12" ht="15">
      <c r="A632" s="81" t="s">
        <v>3318</v>
      </c>
      <c r="B632" s="80" t="s">
        <v>3830</v>
      </c>
      <c r="C632" s="80">
        <v>2</v>
      </c>
      <c r="D632" s="105">
        <v>0.0009240081668555858</v>
      </c>
      <c r="E632" s="105">
        <v>2.572678023199324</v>
      </c>
      <c r="F632" s="80" t="s">
        <v>3896</v>
      </c>
      <c r="G632" s="80" t="b">
        <v>0</v>
      </c>
      <c r="H632" s="80" t="b">
        <v>0</v>
      </c>
      <c r="I632" s="80" t="b">
        <v>0</v>
      </c>
      <c r="J632" s="80" t="b">
        <v>0</v>
      </c>
      <c r="K632" s="80" t="b">
        <v>0</v>
      </c>
      <c r="L632" s="80" t="b">
        <v>0</v>
      </c>
    </row>
    <row r="633" spans="1:12" ht="15">
      <c r="A633" s="81" t="s">
        <v>3830</v>
      </c>
      <c r="B633" s="80" t="s">
        <v>3260</v>
      </c>
      <c r="C633" s="80">
        <v>2</v>
      </c>
      <c r="D633" s="105">
        <v>0.0009240081668555858</v>
      </c>
      <c r="E633" s="105">
        <v>1.1440033975511181</v>
      </c>
      <c r="F633" s="80" t="s">
        <v>3896</v>
      </c>
      <c r="G633" s="80" t="b">
        <v>0</v>
      </c>
      <c r="H633" s="80" t="b">
        <v>0</v>
      </c>
      <c r="I633" s="80" t="b">
        <v>0</v>
      </c>
      <c r="J633" s="80" t="b">
        <v>0</v>
      </c>
      <c r="K633" s="80" t="b">
        <v>0</v>
      </c>
      <c r="L633" s="80" t="b">
        <v>0</v>
      </c>
    </row>
    <row r="634" spans="1:12" ht="15">
      <c r="A634" s="81" t="s">
        <v>3260</v>
      </c>
      <c r="B634" s="80" t="s">
        <v>3831</v>
      </c>
      <c r="C634" s="80">
        <v>2</v>
      </c>
      <c r="D634" s="105">
        <v>0.0009240081668555858</v>
      </c>
      <c r="E634" s="105">
        <v>1.4014392669380549</v>
      </c>
      <c r="F634" s="80" t="s">
        <v>3896</v>
      </c>
      <c r="G634" s="80" t="b">
        <v>0</v>
      </c>
      <c r="H634" s="80" t="b">
        <v>0</v>
      </c>
      <c r="I634" s="80" t="b">
        <v>0</v>
      </c>
      <c r="J634" s="80" t="b">
        <v>0</v>
      </c>
      <c r="K634" s="80" t="b">
        <v>0</v>
      </c>
      <c r="L634" s="80" t="b">
        <v>0</v>
      </c>
    </row>
    <row r="635" spans="1:12" ht="15">
      <c r="A635" s="81" t="s">
        <v>490</v>
      </c>
      <c r="B635" s="80" t="s">
        <v>3260</v>
      </c>
      <c r="C635" s="80">
        <v>2</v>
      </c>
      <c r="D635" s="105">
        <v>0.0009240081668555858</v>
      </c>
      <c r="E635" s="105">
        <v>0.9679121384954368</v>
      </c>
      <c r="F635" s="80" t="s">
        <v>3896</v>
      </c>
      <c r="G635" s="80" t="b">
        <v>0</v>
      </c>
      <c r="H635" s="80" t="b">
        <v>0</v>
      </c>
      <c r="I635" s="80" t="b">
        <v>0</v>
      </c>
      <c r="J635" s="80" t="b">
        <v>0</v>
      </c>
      <c r="K635" s="80" t="b">
        <v>0</v>
      </c>
      <c r="L635" s="80" t="b">
        <v>0</v>
      </c>
    </row>
    <row r="636" spans="1:12" ht="15">
      <c r="A636" s="81" t="s">
        <v>3260</v>
      </c>
      <c r="B636" s="80" t="s">
        <v>3832</v>
      </c>
      <c r="C636" s="80">
        <v>2</v>
      </c>
      <c r="D636" s="105">
        <v>0.0009240081668555858</v>
      </c>
      <c r="E636" s="105">
        <v>1.4014392669380549</v>
      </c>
      <c r="F636" s="80" t="s">
        <v>3896</v>
      </c>
      <c r="G636" s="80" t="b">
        <v>0</v>
      </c>
      <c r="H636" s="80" t="b">
        <v>0</v>
      </c>
      <c r="I636" s="80" t="b">
        <v>0</v>
      </c>
      <c r="J636" s="80" t="b">
        <v>0</v>
      </c>
      <c r="K636" s="80" t="b">
        <v>0</v>
      </c>
      <c r="L636" s="80" t="b">
        <v>0</v>
      </c>
    </row>
    <row r="637" spans="1:12" ht="15">
      <c r="A637" s="81" t="s">
        <v>3832</v>
      </c>
      <c r="B637" s="80" t="s">
        <v>3627</v>
      </c>
      <c r="C637" s="80">
        <v>2</v>
      </c>
      <c r="D637" s="105">
        <v>0.0009240081668555858</v>
      </c>
      <c r="E637" s="105">
        <v>3.1747380145272865</v>
      </c>
      <c r="F637" s="80" t="s">
        <v>3896</v>
      </c>
      <c r="G637" s="80" t="b">
        <v>0</v>
      </c>
      <c r="H637" s="80" t="b">
        <v>0</v>
      </c>
      <c r="I637" s="80" t="b">
        <v>0</v>
      </c>
      <c r="J637" s="80" t="b">
        <v>0</v>
      </c>
      <c r="K637" s="80" t="b">
        <v>0</v>
      </c>
      <c r="L637" s="80" t="b">
        <v>0</v>
      </c>
    </row>
    <row r="638" spans="1:12" ht="15">
      <c r="A638" s="81" t="s">
        <v>3627</v>
      </c>
      <c r="B638" s="80" t="s">
        <v>3833</v>
      </c>
      <c r="C638" s="80">
        <v>2</v>
      </c>
      <c r="D638" s="105">
        <v>0.0009240081668555858</v>
      </c>
      <c r="E638" s="105">
        <v>3.1747380145272865</v>
      </c>
      <c r="F638" s="80" t="s">
        <v>3896</v>
      </c>
      <c r="G638" s="80" t="b">
        <v>0</v>
      </c>
      <c r="H638" s="80" t="b">
        <v>0</v>
      </c>
      <c r="I638" s="80" t="b">
        <v>0</v>
      </c>
      <c r="J638" s="80" t="b">
        <v>0</v>
      </c>
      <c r="K638" s="80" t="b">
        <v>0</v>
      </c>
      <c r="L638" s="80" t="b">
        <v>0</v>
      </c>
    </row>
    <row r="639" spans="1:12" ht="15">
      <c r="A639" s="81" t="s">
        <v>3833</v>
      </c>
      <c r="B639" s="80" t="s">
        <v>3834</v>
      </c>
      <c r="C639" s="80">
        <v>2</v>
      </c>
      <c r="D639" s="105">
        <v>0.0009240081668555858</v>
      </c>
      <c r="E639" s="105">
        <v>3.350829273582968</v>
      </c>
      <c r="F639" s="80" t="s">
        <v>3896</v>
      </c>
      <c r="G639" s="80" t="b">
        <v>0</v>
      </c>
      <c r="H639" s="80" t="b">
        <v>0</v>
      </c>
      <c r="I639" s="80" t="b">
        <v>0</v>
      </c>
      <c r="J639" s="80" t="b">
        <v>0</v>
      </c>
      <c r="K639" s="80" t="b">
        <v>0</v>
      </c>
      <c r="L639" s="80" t="b">
        <v>0</v>
      </c>
    </row>
    <row r="640" spans="1:12" ht="15">
      <c r="A640" s="81" t="s">
        <v>3834</v>
      </c>
      <c r="B640" s="80" t="s">
        <v>3434</v>
      </c>
      <c r="C640" s="80">
        <v>2</v>
      </c>
      <c r="D640" s="105">
        <v>0.0009240081668555858</v>
      </c>
      <c r="E640" s="105">
        <v>3.0497992779189866</v>
      </c>
      <c r="F640" s="80" t="s">
        <v>3896</v>
      </c>
      <c r="G640" s="80" t="b">
        <v>0</v>
      </c>
      <c r="H640" s="80" t="b">
        <v>0</v>
      </c>
      <c r="I640" s="80" t="b">
        <v>0</v>
      </c>
      <c r="J640" s="80" t="b">
        <v>0</v>
      </c>
      <c r="K640" s="80" t="b">
        <v>0</v>
      </c>
      <c r="L640" s="80" t="b">
        <v>0</v>
      </c>
    </row>
    <row r="641" spans="1:12" ht="15">
      <c r="A641" s="81" t="s">
        <v>492</v>
      </c>
      <c r="B641" s="80" t="s">
        <v>3260</v>
      </c>
      <c r="C641" s="80">
        <v>2</v>
      </c>
      <c r="D641" s="105">
        <v>0.0009240081668555858</v>
      </c>
      <c r="E641" s="105">
        <v>1.1440033975511181</v>
      </c>
      <c r="F641" s="80" t="s">
        <v>3896</v>
      </c>
      <c r="G641" s="80" t="b">
        <v>0</v>
      </c>
      <c r="H641" s="80" t="b">
        <v>0</v>
      </c>
      <c r="I641" s="80" t="b">
        <v>0</v>
      </c>
      <c r="J641" s="80" t="b">
        <v>0</v>
      </c>
      <c r="K641" s="80" t="b">
        <v>0</v>
      </c>
      <c r="L641" s="80" t="b">
        <v>0</v>
      </c>
    </row>
    <row r="642" spans="1:12" ht="15">
      <c r="A642" s="81" t="s">
        <v>3260</v>
      </c>
      <c r="B642" s="80" t="s">
        <v>3524</v>
      </c>
      <c r="C642" s="80">
        <v>2</v>
      </c>
      <c r="D642" s="105">
        <v>0.0009240081668555858</v>
      </c>
      <c r="E642" s="105">
        <v>1.1004092712740738</v>
      </c>
      <c r="F642" s="80" t="s">
        <v>3896</v>
      </c>
      <c r="G642" s="80" t="b">
        <v>0</v>
      </c>
      <c r="H642" s="80" t="b">
        <v>0</v>
      </c>
      <c r="I642" s="80" t="b">
        <v>0</v>
      </c>
      <c r="J642" s="80" t="b">
        <v>0</v>
      </c>
      <c r="K642" s="80" t="b">
        <v>0</v>
      </c>
      <c r="L642" s="80" t="b">
        <v>0</v>
      </c>
    </row>
    <row r="643" spans="1:12" ht="15">
      <c r="A643" s="81" t="s">
        <v>3260</v>
      </c>
      <c r="B643" s="80" t="s">
        <v>542</v>
      </c>
      <c r="C643" s="80">
        <v>2</v>
      </c>
      <c r="D643" s="105">
        <v>0.0009240081668555858</v>
      </c>
      <c r="E643" s="105">
        <v>0.5563412269237982</v>
      </c>
      <c r="F643" s="80" t="s">
        <v>3896</v>
      </c>
      <c r="G643" s="80" t="b">
        <v>0</v>
      </c>
      <c r="H643" s="80" t="b">
        <v>0</v>
      </c>
      <c r="I643" s="80" t="b">
        <v>0</v>
      </c>
      <c r="J643" s="80" t="b">
        <v>0</v>
      </c>
      <c r="K643" s="80" t="b">
        <v>0</v>
      </c>
      <c r="L643" s="80" t="b">
        <v>0</v>
      </c>
    </row>
    <row r="644" spans="1:12" ht="15">
      <c r="A644" s="81" t="s">
        <v>542</v>
      </c>
      <c r="B644" s="80" t="s">
        <v>3524</v>
      </c>
      <c r="C644" s="80">
        <v>2</v>
      </c>
      <c r="D644" s="105">
        <v>0.0009240081668555858</v>
      </c>
      <c r="E644" s="105">
        <v>2.120380352204694</v>
      </c>
      <c r="F644" s="80" t="s">
        <v>3896</v>
      </c>
      <c r="G644" s="80" t="b">
        <v>0</v>
      </c>
      <c r="H644" s="80" t="b">
        <v>0</v>
      </c>
      <c r="I644" s="80" t="b">
        <v>0</v>
      </c>
      <c r="J644" s="80" t="b">
        <v>0</v>
      </c>
      <c r="K644" s="80" t="b">
        <v>0</v>
      </c>
      <c r="L644" s="80" t="b">
        <v>0</v>
      </c>
    </row>
    <row r="645" spans="1:12" ht="15">
      <c r="A645" s="81" t="s">
        <v>3836</v>
      </c>
      <c r="B645" s="80" t="s">
        <v>3633</v>
      </c>
      <c r="C645" s="80">
        <v>2</v>
      </c>
      <c r="D645" s="105">
        <v>0.0009240081668555858</v>
      </c>
      <c r="E645" s="105">
        <v>3.1747380145272865</v>
      </c>
      <c r="F645" s="80" t="s">
        <v>3896</v>
      </c>
      <c r="G645" s="80" t="b">
        <v>0</v>
      </c>
      <c r="H645" s="80" t="b">
        <v>0</v>
      </c>
      <c r="I645" s="80" t="b">
        <v>0</v>
      </c>
      <c r="J645" s="80" t="b">
        <v>0</v>
      </c>
      <c r="K645" s="80" t="b">
        <v>0</v>
      </c>
      <c r="L645" s="80" t="b">
        <v>0</v>
      </c>
    </row>
    <row r="646" spans="1:12" ht="15">
      <c r="A646" s="81" t="s">
        <v>3837</v>
      </c>
      <c r="B646" s="80" t="s">
        <v>3260</v>
      </c>
      <c r="C646" s="80">
        <v>2</v>
      </c>
      <c r="D646" s="105">
        <v>0.0009240081668555858</v>
      </c>
      <c r="E646" s="105">
        <v>1.1440033975511181</v>
      </c>
      <c r="F646" s="80" t="s">
        <v>3896</v>
      </c>
      <c r="G646" s="80" t="b">
        <v>0</v>
      </c>
      <c r="H646" s="80" t="b">
        <v>0</v>
      </c>
      <c r="I646" s="80" t="b">
        <v>0</v>
      </c>
      <c r="J646" s="80" t="b">
        <v>0</v>
      </c>
      <c r="K646" s="80" t="b">
        <v>0</v>
      </c>
      <c r="L646" s="80" t="b">
        <v>0</v>
      </c>
    </row>
    <row r="647" spans="1:12" ht="15">
      <c r="A647" s="81" t="s">
        <v>3838</v>
      </c>
      <c r="B647" s="80" t="s">
        <v>3839</v>
      </c>
      <c r="C647" s="80">
        <v>2</v>
      </c>
      <c r="D647" s="105">
        <v>0.0009240081668555858</v>
      </c>
      <c r="E647" s="105">
        <v>3.350829273582968</v>
      </c>
      <c r="F647" s="80" t="s">
        <v>3896</v>
      </c>
      <c r="G647" s="80" t="b">
        <v>0</v>
      </c>
      <c r="H647" s="80" t="b">
        <v>0</v>
      </c>
      <c r="I647" s="80" t="b">
        <v>0</v>
      </c>
      <c r="J647" s="80" t="b">
        <v>0</v>
      </c>
      <c r="K647" s="80" t="b">
        <v>0</v>
      </c>
      <c r="L647" s="80" t="b">
        <v>0</v>
      </c>
    </row>
    <row r="648" spans="1:12" ht="15">
      <c r="A648" s="81" t="s">
        <v>3839</v>
      </c>
      <c r="B648" s="80" t="s">
        <v>3406</v>
      </c>
      <c r="C648" s="80">
        <v>2</v>
      </c>
      <c r="D648" s="105">
        <v>0.0009240081668555858</v>
      </c>
      <c r="E648" s="105">
        <v>2.95288926491093</v>
      </c>
      <c r="F648" s="80" t="s">
        <v>3896</v>
      </c>
      <c r="G648" s="80" t="b">
        <v>0</v>
      </c>
      <c r="H648" s="80" t="b">
        <v>0</v>
      </c>
      <c r="I648" s="80" t="b">
        <v>0</v>
      </c>
      <c r="J648" s="80" t="b">
        <v>0</v>
      </c>
      <c r="K648" s="80" t="b">
        <v>0</v>
      </c>
      <c r="L648" s="80" t="b">
        <v>0</v>
      </c>
    </row>
    <row r="649" spans="1:12" ht="15">
      <c r="A649" s="81" t="s">
        <v>3406</v>
      </c>
      <c r="B649" s="80" t="s">
        <v>3260</v>
      </c>
      <c r="C649" s="80">
        <v>2</v>
      </c>
      <c r="D649" s="105">
        <v>0.0009240081668555858</v>
      </c>
      <c r="E649" s="105">
        <v>0.7460633888790804</v>
      </c>
      <c r="F649" s="80" t="s">
        <v>3896</v>
      </c>
      <c r="G649" s="80" t="b">
        <v>0</v>
      </c>
      <c r="H649" s="80" t="b">
        <v>0</v>
      </c>
      <c r="I649" s="80" t="b">
        <v>0</v>
      </c>
      <c r="J649" s="80" t="b">
        <v>0</v>
      </c>
      <c r="K649" s="80" t="b">
        <v>0</v>
      </c>
      <c r="L649" s="80" t="b">
        <v>0</v>
      </c>
    </row>
    <row r="650" spans="1:12" ht="15">
      <c r="A650" s="81" t="s">
        <v>3260</v>
      </c>
      <c r="B650" s="80" t="s">
        <v>3318</v>
      </c>
      <c r="C650" s="80">
        <v>2</v>
      </c>
      <c r="D650" s="105">
        <v>0.0009240081668555858</v>
      </c>
      <c r="E650" s="105">
        <v>0.6232880165544114</v>
      </c>
      <c r="F650" s="80" t="s">
        <v>3896</v>
      </c>
      <c r="G650" s="80" t="b">
        <v>0</v>
      </c>
      <c r="H650" s="80" t="b">
        <v>0</v>
      </c>
      <c r="I650" s="80" t="b">
        <v>0</v>
      </c>
      <c r="J650" s="80" t="b">
        <v>0</v>
      </c>
      <c r="K650" s="80" t="b">
        <v>0</v>
      </c>
      <c r="L650" s="80" t="b">
        <v>0</v>
      </c>
    </row>
    <row r="651" spans="1:12" ht="15">
      <c r="A651" s="81" t="s">
        <v>3318</v>
      </c>
      <c r="B651" s="80" t="s">
        <v>3625</v>
      </c>
      <c r="C651" s="80">
        <v>2</v>
      </c>
      <c r="D651" s="105">
        <v>0.0009240081668555858</v>
      </c>
      <c r="E651" s="105">
        <v>2.3965867641436427</v>
      </c>
      <c r="F651" s="80" t="s">
        <v>3896</v>
      </c>
      <c r="G651" s="80" t="b">
        <v>0</v>
      </c>
      <c r="H651" s="80" t="b">
        <v>0</v>
      </c>
      <c r="I651" s="80" t="b">
        <v>0</v>
      </c>
      <c r="J651" s="80" t="b">
        <v>0</v>
      </c>
      <c r="K651" s="80" t="b">
        <v>1</v>
      </c>
      <c r="L651" s="80" t="b">
        <v>0</v>
      </c>
    </row>
    <row r="652" spans="1:12" ht="15">
      <c r="A652" s="81" t="s">
        <v>3625</v>
      </c>
      <c r="B652" s="80" t="s">
        <v>3472</v>
      </c>
      <c r="C652" s="80">
        <v>2</v>
      </c>
      <c r="D652" s="105">
        <v>0.0009240081668555858</v>
      </c>
      <c r="E652" s="105">
        <v>2.8737080188633053</v>
      </c>
      <c r="F652" s="80" t="s">
        <v>3896</v>
      </c>
      <c r="G652" s="80" t="b">
        <v>0</v>
      </c>
      <c r="H652" s="80" t="b">
        <v>1</v>
      </c>
      <c r="I652" s="80" t="b">
        <v>0</v>
      </c>
      <c r="J652" s="80" t="b">
        <v>0</v>
      </c>
      <c r="K652" s="80" t="b">
        <v>0</v>
      </c>
      <c r="L652" s="80" t="b">
        <v>0</v>
      </c>
    </row>
    <row r="653" spans="1:12" ht="15">
      <c r="A653" s="81" t="s">
        <v>3308</v>
      </c>
      <c r="B653" s="80" t="s">
        <v>3261</v>
      </c>
      <c r="C653" s="80">
        <v>2</v>
      </c>
      <c r="D653" s="105">
        <v>0.0009240081668555858</v>
      </c>
      <c r="E653" s="105">
        <v>1.1521721866285453</v>
      </c>
      <c r="F653" s="80" t="s">
        <v>3896</v>
      </c>
      <c r="G653" s="80" t="b">
        <v>0</v>
      </c>
      <c r="H653" s="80" t="b">
        <v>0</v>
      </c>
      <c r="I653" s="80" t="b">
        <v>0</v>
      </c>
      <c r="J653" s="80" t="b">
        <v>0</v>
      </c>
      <c r="K653" s="80" t="b">
        <v>0</v>
      </c>
      <c r="L653" s="80" t="b">
        <v>0</v>
      </c>
    </row>
    <row r="654" spans="1:12" ht="15">
      <c r="A654" s="81" t="s">
        <v>3260</v>
      </c>
      <c r="B654" s="80" t="s">
        <v>3840</v>
      </c>
      <c r="C654" s="80">
        <v>2</v>
      </c>
      <c r="D654" s="105">
        <v>0.0009240081668555858</v>
      </c>
      <c r="E654" s="105">
        <v>1.4014392669380549</v>
      </c>
      <c r="F654" s="80" t="s">
        <v>3896</v>
      </c>
      <c r="G654" s="80" t="b">
        <v>0</v>
      </c>
      <c r="H654" s="80" t="b">
        <v>0</v>
      </c>
      <c r="I654" s="80" t="b">
        <v>0</v>
      </c>
      <c r="J654" s="80" t="b">
        <v>0</v>
      </c>
      <c r="K654" s="80" t="b">
        <v>0</v>
      </c>
      <c r="L654" s="80" t="b">
        <v>0</v>
      </c>
    </row>
    <row r="655" spans="1:12" ht="15">
      <c r="A655" s="81" t="s">
        <v>3840</v>
      </c>
      <c r="B655" s="80" t="s">
        <v>500</v>
      </c>
      <c r="C655" s="80">
        <v>2</v>
      </c>
      <c r="D655" s="105">
        <v>0.0009240081668555858</v>
      </c>
      <c r="E655" s="105">
        <v>2.0286099788490484</v>
      </c>
      <c r="F655" s="80" t="s">
        <v>3896</v>
      </c>
      <c r="G655" s="80" t="b">
        <v>0</v>
      </c>
      <c r="H655" s="80" t="b">
        <v>0</v>
      </c>
      <c r="I655" s="80" t="b">
        <v>0</v>
      </c>
      <c r="J655" s="80" t="b">
        <v>0</v>
      </c>
      <c r="K655" s="80" t="b">
        <v>0</v>
      </c>
      <c r="L655" s="80" t="b">
        <v>0</v>
      </c>
    </row>
    <row r="656" spans="1:12" ht="15">
      <c r="A656" s="81" t="s">
        <v>3322</v>
      </c>
      <c r="B656" s="80" t="s">
        <v>795</v>
      </c>
      <c r="C656" s="80">
        <v>2</v>
      </c>
      <c r="D656" s="105">
        <v>0.0009240081668555858</v>
      </c>
      <c r="E656" s="105">
        <v>1.8323153337050802</v>
      </c>
      <c r="F656" s="80" t="s">
        <v>3896</v>
      </c>
      <c r="G656" s="80" t="b">
        <v>0</v>
      </c>
      <c r="H656" s="80" t="b">
        <v>0</v>
      </c>
      <c r="I656" s="80" t="b">
        <v>0</v>
      </c>
      <c r="J656" s="80" t="b">
        <v>0</v>
      </c>
      <c r="K656" s="80" t="b">
        <v>0</v>
      </c>
      <c r="L656" s="80" t="b">
        <v>0</v>
      </c>
    </row>
    <row r="657" spans="1:12" ht="15">
      <c r="A657" s="81" t="s">
        <v>795</v>
      </c>
      <c r="B657" s="80" t="s">
        <v>3320</v>
      </c>
      <c r="C657" s="80">
        <v>2</v>
      </c>
      <c r="D657" s="105">
        <v>0.0009240081668555858</v>
      </c>
      <c r="E657" s="105">
        <v>1.7945267728156804</v>
      </c>
      <c r="F657" s="80" t="s">
        <v>3896</v>
      </c>
      <c r="G657" s="80" t="b">
        <v>0</v>
      </c>
      <c r="H657" s="80" t="b">
        <v>0</v>
      </c>
      <c r="I657" s="80" t="b">
        <v>0</v>
      </c>
      <c r="J657" s="80" t="b">
        <v>0</v>
      </c>
      <c r="K657" s="80" t="b">
        <v>0</v>
      </c>
      <c r="L657" s="80" t="b">
        <v>0</v>
      </c>
    </row>
    <row r="658" spans="1:12" ht="15">
      <c r="A658" s="81" t="s">
        <v>3320</v>
      </c>
      <c r="B658" s="80" t="s">
        <v>3323</v>
      </c>
      <c r="C658" s="80">
        <v>2</v>
      </c>
      <c r="D658" s="105">
        <v>0.0009240081668555858</v>
      </c>
      <c r="E658" s="105">
        <v>1.8323153337050802</v>
      </c>
      <c r="F658" s="80" t="s">
        <v>3896</v>
      </c>
      <c r="G658" s="80" t="b">
        <v>0</v>
      </c>
      <c r="H658" s="80" t="b">
        <v>0</v>
      </c>
      <c r="I658" s="80" t="b">
        <v>0</v>
      </c>
      <c r="J658" s="80" t="b">
        <v>0</v>
      </c>
      <c r="K658" s="80" t="b">
        <v>0</v>
      </c>
      <c r="L658" s="80" t="b">
        <v>0</v>
      </c>
    </row>
    <row r="659" spans="1:12" ht="15">
      <c r="A659" s="81" t="s">
        <v>3635</v>
      </c>
      <c r="B659" s="80" t="s">
        <v>500</v>
      </c>
      <c r="C659" s="80">
        <v>2</v>
      </c>
      <c r="D659" s="105">
        <v>0.0009240081668555858</v>
      </c>
      <c r="E659" s="105">
        <v>1.8525187197933672</v>
      </c>
      <c r="F659" s="80" t="s">
        <v>3896</v>
      </c>
      <c r="G659" s="80" t="b">
        <v>0</v>
      </c>
      <c r="H659" s="80" t="b">
        <v>0</v>
      </c>
      <c r="I659" s="80" t="b">
        <v>0</v>
      </c>
      <c r="J659" s="80" t="b">
        <v>0</v>
      </c>
      <c r="K659" s="80" t="b">
        <v>0</v>
      </c>
      <c r="L659" s="80" t="b">
        <v>0</v>
      </c>
    </row>
    <row r="660" spans="1:12" ht="15">
      <c r="A660" s="81" t="s">
        <v>500</v>
      </c>
      <c r="B660" s="80" t="s">
        <v>3260</v>
      </c>
      <c r="C660" s="80">
        <v>2</v>
      </c>
      <c r="D660" s="105">
        <v>0.0009240081668555858</v>
      </c>
      <c r="E660" s="105">
        <v>-0.15702659811286312</v>
      </c>
      <c r="F660" s="80" t="s">
        <v>3896</v>
      </c>
      <c r="G660" s="80" t="b">
        <v>0</v>
      </c>
      <c r="H660" s="80" t="b">
        <v>0</v>
      </c>
      <c r="I660" s="80" t="b">
        <v>0</v>
      </c>
      <c r="J660" s="80" t="b">
        <v>0</v>
      </c>
      <c r="K660" s="80" t="b">
        <v>0</v>
      </c>
      <c r="L660" s="80" t="b">
        <v>0</v>
      </c>
    </row>
    <row r="661" spans="1:12" ht="15">
      <c r="A661" s="81" t="s">
        <v>3844</v>
      </c>
      <c r="B661" s="80" t="s">
        <v>3845</v>
      </c>
      <c r="C661" s="80">
        <v>2</v>
      </c>
      <c r="D661" s="105">
        <v>0.0009240081668555858</v>
      </c>
      <c r="E661" s="105">
        <v>3.350829273582968</v>
      </c>
      <c r="F661" s="80" t="s">
        <v>3896</v>
      </c>
      <c r="G661" s="80" t="b">
        <v>0</v>
      </c>
      <c r="H661" s="80" t="b">
        <v>0</v>
      </c>
      <c r="I661" s="80" t="b">
        <v>0</v>
      </c>
      <c r="J661" s="80" t="b">
        <v>0</v>
      </c>
      <c r="K661" s="80" t="b">
        <v>0</v>
      </c>
      <c r="L661" s="80" t="b">
        <v>0</v>
      </c>
    </row>
    <row r="662" spans="1:12" ht="15">
      <c r="A662" s="81" t="s">
        <v>3845</v>
      </c>
      <c r="B662" s="80" t="s">
        <v>3846</v>
      </c>
      <c r="C662" s="80">
        <v>2</v>
      </c>
      <c r="D662" s="105">
        <v>0.0009240081668555858</v>
      </c>
      <c r="E662" s="105">
        <v>3.350829273582968</v>
      </c>
      <c r="F662" s="80" t="s">
        <v>3896</v>
      </c>
      <c r="G662" s="80" t="b">
        <v>0</v>
      </c>
      <c r="H662" s="80" t="b">
        <v>0</v>
      </c>
      <c r="I662" s="80" t="b">
        <v>0</v>
      </c>
      <c r="J662" s="80" t="b">
        <v>0</v>
      </c>
      <c r="K662" s="80" t="b">
        <v>0</v>
      </c>
      <c r="L662" s="80" t="b">
        <v>0</v>
      </c>
    </row>
    <row r="663" spans="1:12" ht="15">
      <c r="A663" s="81" t="s">
        <v>3846</v>
      </c>
      <c r="B663" s="80" t="s">
        <v>3847</v>
      </c>
      <c r="C663" s="80">
        <v>2</v>
      </c>
      <c r="D663" s="105">
        <v>0.0009240081668555858</v>
      </c>
      <c r="E663" s="105">
        <v>3.350829273582968</v>
      </c>
      <c r="F663" s="80" t="s">
        <v>3896</v>
      </c>
      <c r="G663" s="80" t="b">
        <v>0</v>
      </c>
      <c r="H663" s="80" t="b">
        <v>0</v>
      </c>
      <c r="I663" s="80" t="b">
        <v>0</v>
      </c>
      <c r="J663" s="80" t="b">
        <v>0</v>
      </c>
      <c r="K663" s="80" t="b">
        <v>0</v>
      </c>
      <c r="L663" s="80" t="b">
        <v>0</v>
      </c>
    </row>
    <row r="664" spans="1:12" ht="15">
      <c r="A664" s="81" t="s">
        <v>3847</v>
      </c>
      <c r="B664" s="80" t="s">
        <v>3848</v>
      </c>
      <c r="C664" s="80">
        <v>2</v>
      </c>
      <c r="D664" s="105">
        <v>0.0009240081668555858</v>
      </c>
      <c r="E664" s="105">
        <v>3.350829273582968</v>
      </c>
      <c r="F664" s="80" t="s">
        <v>3896</v>
      </c>
      <c r="G664" s="80" t="b">
        <v>0</v>
      </c>
      <c r="H664" s="80" t="b">
        <v>0</v>
      </c>
      <c r="I664" s="80" t="b">
        <v>0</v>
      </c>
      <c r="J664" s="80" t="b">
        <v>0</v>
      </c>
      <c r="K664" s="80" t="b">
        <v>0</v>
      </c>
      <c r="L664" s="80" t="b">
        <v>0</v>
      </c>
    </row>
    <row r="665" spans="1:12" ht="15">
      <c r="A665" s="81" t="s">
        <v>3848</v>
      </c>
      <c r="B665" s="80" t="s">
        <v>3260</v>
      </c>
      <c r="C665" s="80">
        <v>2</v>
      </c>
      <c r="D665" s="105">
        <v>0.0009240081668555858</v>
      </c>
      <c r="E665" s="105">
        <v>1.1440033975511181</v>
      </c>
      <c r="F665" s="80" t="s">
        <v>3896</v>
      </c>
      <c r="G665" s="80" t="b">
        <v>0</v>
      </c>
      <c r="H665" s="80" t="b">
        <v>0</v>
      </c>
      <c r="I665" s="80" t="b">
        <v>0</v>
      </c>
      <c r="J665" s="80" t="b">
        <v>0</v>
      </c>
      <c r="K665" s="80" t="b">
        <v>0</v>
      </c>
      <c r="L665" s="80" t="b">
        <v>0</v>
      </c>
    </row>
    <row r="666" spans="1:12" ht="15">
      <c r="A666" s="81" t="s">
        <v>3260</v>
      </c>
      <c r="B666" s="80" t="s">
        <v>3849</v>
      </c>
      <c r="C666" s="80">
        <v>2</v>
      </c>
      <c r="D666" s="105">
        <v>0.0009240081668555858</v>
      </c>
      <c r="E666" s="105">
        <v>1.4014392669380549</v>
      </c>
      <c r="F666" s="80" t="s">
        <v>3896</v>
      </c>
      <c r="G666" s="80" t="b">
        <v>0</v>
      </c>
      <c r="H666" s="80" t="b">
        <v>0</v>
      </c>
      <c r="I666" s="80" t="b">
        <v>0</v>
      </c>
      <c r="J666" s="80" t="b">
        <v>0</v>
      </c>
      <c r="K666" s="80" t="b">
        <v>0</v>
      </c>
      <c r="L666" s="80" t="b">
        <v>0</v>
      </c>
    </row>
    <row r="667" spans="1:12" ht="15">
      <c r="A667" s="81" t="s">
        <v>461</v>
      </c>
      <c r="B667" s="80" t="s">
        <v>3850</v>
      </c>
      <c r="C667" s="80">
        <v>2</v>
      </c>
      <c r="D667" s="105">
        <v>0.0009240081668555858</v>
      </c>
      <c r="E667" s="105">
        <v>3.350829273582968</v>
      </c>
      <c r="F667" s="80" t="s">
        <v>3896</v>
      </c>
      <c r="G667" s="80" t="b">
        <v>0</v>
      </c>
      <c r="H667" s="80" t="b">
        <v>0</v>
      </c>
      <c r="I667" s="80" t="b">
        <v>0</v>
      </c>
      <c r="J667" s="80" t="b">
        <v>0</v>
      </c>
      <c r="K667" s="80" t="b">
        <v>0</v>
      </c>
      <c r="L667" s="80" t="b">
        <v>0</v>
      </c>
    </row>
    <row r="668" spans="1:12" ht="15">
      <c r="A668" s="81" t="s">
        <v>3850</v>
      </c>
      <c r="B668" s="80" t="s">
        <v>3851</v>
      </c>
      <c r="C668" s="80">
        <v>2</v>
      </c>
      <c r="D668" s="105">
        <v>0.0009240081668555858</v>
      </c>
      <c r="E668" s="105">
        <v>3.350829273582968</v>
      </c>
      <c r="F668" s="80" t="s">
        <v>3896</v>
      </c>
      <c r="G668" s="80" t="b">
        <v>0</v>
      </c>
      <c r="H668" s="80" t="b">
        <v>0</v>
      </c>
      <c r="I668" s="80" t="b">
        <v>0</v>
      </c>
      <c r="J668" s="80" t="b">
        <v>0</v>
      </c>
      <c r="K668" s="80" t="b">
        <v>0</v>
      </c>
      <c r="L668" s="80" t="b">
        <v>0</v>
      </c>
    </row>
    <row r="669" spans="1:12" ht="15">
      <c r="A669" s="81" t="s">
        <v>3851</v>
      </c>
      <c r="B669" s="80" t="s">
        <v>3852</v>
      </c>
      <c r="C669" s="80">
        <v>2</v>
      </c>
      <c r="D669" s="105">
        <v>0.0009240081668555858</v>
      </c>
      <c r="E669" s="105">
        <v>3.350829273582968</v>
      </c>
      <c r="F669" s="80" t="s">
        <v>3896</v>
      </c>
      <c r="G669" s="80" t="b">
        <v>0</v>
      </c>
      <c r="H669" s="80" t="b">
        <v>0</v>
      </c>
      <c r="I669" s="80" t="b">
        <v>0</v>
      </c>
      <c r="J669" s="80" t="b">
        <v>0</v>
      </c>
      <c r="K669" s="80" t="b">
        <v>0</v>
      </c>
      <c r="L669" s="80" t="b">
        <v>0</v>
      </c>
    </row>
    <row r="670" spans="1:12" ht="15">
      <c r="A670" s="81" t="s">
        <v>3852</v>
      </c>
      <c r="B670" s="80" t="s">
        <v>3853</v>
      </c>
      <c r="C670" s="80">
        <v>2</v>
      </c>
      <c r="D670" s="105">
        <v>0.0009240081668555858</v>
      </c>
      <c r="E670" s="105">
        <v>3.350829273582968</v>
      </c>
      <c r="F670" s="80" t="s">
        <v>3896</v>
      </c>
      <c r="G670" s="80" t="b">
        <v>0</v>
      </c>
      <c r="H670" s="80" t="b">
        <v>0</v>
      </c>
      <c r="I670" s="80" t="b">
        <v>0</v>
      </c>
      <c r="J670" s="80" t="b">
        <v>0</v>
      </c>
      <c r="K670" s="80" t="b">
        <v>0</v>
      </c>
      <c r="L670" s="80" t="b">
        <v>0</v>
      </c>
    </row>
    <row r="671" spans="1:12" ht="15">
      <c r="A671" s="81" t="s">
        <v>3853</v>
      </c>
      <c r="B671" s="80" t="s">
        <v>3854</v>
      </c>
      <c r="C671" s="80">
        <v>2</v>
      </c>
      <c r="D671" s="105">
        <v>0.0009240081668555858</v>
      </c>
      <c r="E671" s="105">
        <v>3.350829273582968</v>
      </c>
      <c r="F671" s="80" t="s">
        <v>3896</v>
      </c>
      <c r="G671" s="80" t="b">
        <v>0</v>
      </c>
      <c r="H671" s="80" t="b">
        <v>0</v>
      </c>
      <c r="I671" s="80" t="b">
        <v>0</v>
      </c>
      <c r="J671" s="80" t="b">
        <v>0</v>
      </c>
      <c r="K671" s="80" t="b">
        <v>0</v>
      </c>
      <c r="L671" s="80" t="b">
        <v>0</v>
      </c>
    </row>
    <row r="672" spans="1:12" ht="15">
      <c r="A672" s="81" t="s">
        <v>3854</v>
      </c>
      <c r="B672" s="80" t="s">
        <v>3855</v>
      </c>
      <c r="C672" s="80">
        <v>2</v>
      </c>
      <c r="D672" s="105">
        <v>0.0009240081668555858</v>
      </c>
      <c r="E672" s="105">
        <v>3.350829273582968</v>
      </c>
      <c r="F672" s="80" t="s">
        <v>3896</v>
      </c>
      <c r="G672" s="80" t="b">
        <v>0</v>
      </c>
      <c r="H672" s="80" t="b">
        <v>0</v>
      </c>
      <c r="I672" s="80" t="b">
        <v>0</v>
      </c>
      <c r="J672" s="80" t="b">
        <v>0</v>
      </c>
      <c r="K672" s="80" t="b">
        <v>0</v>
      </c>
      <c r="L672" s="80" t="b">
        <v>0</v>
      </c>
    </row>
    <row r="673" spans="1:12" ht="15">
      <c r="A673" s="81" t="s">
        <v>3855</v>
      </c>
      <c r="B673" s="80" t="s">
        <v>3856</v>
      </c>
      <c r="C673" s="80">
        <v>2</v>
      </c>
      <c r="D673" s="105">
        <v>0.0009240081668555858</v>
      </c>
      <c r="E673" s="105">
        <v>3.350829273582968</v>
      </c>
      <c r="F673" s="80" t="s">
        <v>3896</v>
      </c>
      <c r="G673" s="80" t="b">
        <v>0</v>
      </c>
      <c r="H673" s="80" t="b">
        <v>0</v>
      </c>
      <c r="I673" s="80" t="b">
        <v>0</v>
      </c>
      <c r="J673" s="80" t="b">
        <v>0</v>
      </c>
      <c r="K673" s="80" t="b">
        <v>0</v>
      </c>
      <c r="L673" s="80" t="b">
        <v>0</v>
      </c>
    </row>
    <row r="674" spans="1:12" ht="15">
      <c r="A674" s="81" t="s">
        <v>3856</v>
      </c>
      <c r="B674" s="80" t="s">
        <v>3857</v>
      </c>
      <c r="C674" s="80">
        <v>2</v>
      </c>
      <c r="D674" s="105">
        <v>0.0009240081668555858</v>
      </c>
      <c r="E674" s="105">
        <v>3.350829273582968</v>
      </c>
      <c r="F674" s="80" t="s">
        <v>3896</v>
      </c>
      <c r="G674" s="80" t="b">
        <v>0</v>
      </c>
      <c r="H674" s="80" t="b">
        <v>0</v>
      </c>
      <c r="I674" s="80" t="b">
        <v>0</v>
      </c>
      <c r="J674" s="80" t="b">
        <v>0</v>
      </c>
      <c r="K674" s="80" t="b">
        <v>0</v>
      </c>
      <c r="L674" s="80" t="b">
        <v>0</v>
      </c>
    </row>
    <row r="675" spans="1:12" ht="15">
      <c r="A675" s="81" t="s">
        <v>3857</v>
      </c>
      <c r="B675" s="80" t="s">
        <v>3858</v>
      </c>
      <c r="C675" s="80">
        <v>2</v>
      </c>
      <c r="D675" s="105">
        <v>0.0009240081668555858</v>
      </c>
      <c r="E675" s="105">
        <v>3.350829273582968</v>
      </c>
      <c r="F675" s="80" t="s">
        <v>3896</v>
      </c>
      <c r="G675" s="80" t="b">
        <v>0</v>
      </c>
      <c r="H675" s="80" t="b">
        <v>0</v>
      </c>
      <c r="I675" s="80" t="b">
        <v>0</v>
      </c>
      <c r="J675" s="80" t="b">
        <v>0</v>
      </c>
      <c r="K675" s="80" t="b">
        <v>0</v>
      </c>
      <c r="L675" s="80" t="b">
        <v>0</v>
      </c>
    </row>
    <row r="676" spans="1:12" ht="15">
      <c r="A676" s="81" t="s">
        <v>3858</v>
      </c>
      <c r="B676" s="80" t="s">
        <v>3260</v>
      </c>
      <c r="C676" s="80">
        <v>2</v>
      </c>
      <c r="D676" s="105">
        <v>0.0009240081668555858</v>
      </c>
      <c r="E676" s="105">
        <v>1.1440033975511181</v>
      </c>
      <c r="F676" s="80" t="s">
        <v>3896</v>
      </c>
      <c r="G676" s="80" t="b">
        <v>0</v>
      </c>
      <c r="H676" s="80" t="b">
        <v>0</v>
      </c>
      <c r="I676" s="80" t="b">
        <v>0</v>
      </c>
      <c r="J676" s="80" t="b">
        <v>0</v>
      </c>
      <c r="K676" s="80" t="b">
        <v>0</v>
      </c>
      <c r="L676" s="80" t="b">
        <v>0</v>
      </c>
    </row>
    <row r="677" spans="1:12" ht="15">
      <c r="A677" s="81" t="s">
        <v>3260</v>
      </c>
      <c r="B677" s="80" t="s">
        <v>3859</v>
      </c>
      <c r="C677" s="80">
        <v>2</v>
      </c>
      <c r="D677" s="105">
        <v>0.0009240081668555858</v>
      </c>
      <c r="E677" s="105">
        <v>1.4014392669380549</v>
      </c>
      <c r="F677" s="80" t="s">
        <v>3896</v>
      </c>
      <c r="G677" s="80" t="b">
        <v>0</v>
      </c>
      <c r="H677" s="80" t="b">
        <v>0</v>
      </c>
      <c r="I677" s="80" t="b">
        <v>0</v>
      </c>
      <c r="J677" s="80" t="b">
        <v>0</v>
      </c>
      <c r="K677" s="80" t="b">
        <v>0</v>
      </c>
      <c r="L677" s="80" t="b">
        <v>0</v>
      </c>
    </row>
    <row r="678" spans="1:12" ht="15">
      <c r="A678" s="81" t="s">
        <v>459</v>
      </c>
      <c r="B678" s="80" t="s">
        <v>458</v>
      </c>
      <c r="C678" s="80">
        <v>2</v>
      </c>
      <c r="D678" s="105">
        <v>0.0009240081668555858</v>
      </c>
      <c r="E678" s="105">
        <v>3.0497992779189866</v>
      </c>
      <c r="F678" s="80" t="s">
        <v>3896</v>
      </c>
      <c r="G678" s="80" t="b">
        <v>0</v>
      </c>
      <c r="H678" s="80" t="b">
        <v>0</v>
      </c>
      <c r="I678" s="80" t="b">
        <v>0</v>
      </c>
      <c r="J678" s="80" t="b">
        <v>0</v>
      </c>
      <c r="K678" s="80" t="b">
        <v>0</v>
      </c>
      <c r="L678" s="80" t="b">
        <v>0</v>
      </c>
    </row>
    <row r="679" spans="1:12" ht="15">
      <c r="A679" s="81" t="s">
        <v>458</v>
      </c>
      <c r="B679" s="80" t="s">
        <v>457</v>
      </c>
      <c r="C679" s="80">
        <v>2</v>
      </c>
      <c r="D679" s="105">
        <v>0.0009240081668555858</v>
      </c>
      <c r="E679" s="105">
        <v>3.0497992779189866</v>
      </c>
      <c r="F679" s="80" t="s">
        <v>3896</v>
      </c>
      <c r="G679" s="80" t="b">
        <v>0</v>
      </c>
      <c r="H679" s="80" t="b">
        <v>0</v>
      </c>
      <c r="I679" s="80" t="b">
        <v>0</v>
      </c>
      <c r="J679" s="80" t="b">
        <v>0</v>
      </c>
      <c r="K679" s="80" t="b">
        <v>0</v>
      </c>
      <c r="L679" s="80" t="b">
        <v>0</v>
      </c>
    </row>
    <row r="680" spans="1:12" ht="15">
      <c r="A680" s="81" t="s">
        <v>457</v>
      </c>
      <c r="B680" s="80" t="s">
        <v>3860</v>
      </c>
      <c r="C680" s="80">
        <v>2</v>
      </c>
      <c r="D680" s="105">
        <v>0.0009240081668555858</v>
      </c>
      <c r="E680" s="105">
        <v>3.350829273582968</v>
      </c>
      <c r="F680" s="80" t="s">
        <v>3896</v>
      </c>
      <c r="G680" s="80" t="b">
        <v>0</v>
      </c>
      <c r="H680" s="80" t="b">
        <v>0</v>
      </c>
      <c r="I680" s="80" t="b">
        <v>0</v>
      </c>
      <c r="J680" s="80" t="b">
        <v>0</v>
      </c>
      <c r="K680" s="80" t="b">
        <v>0</v>
      </c>
      <c r="L680" s="80" t="b">
        <v>0</v>
      </c>
    </row>
    <row r="681" spans="1:12" ht="15">
      <c r="A681" s="81" t="s">
        <v>3860</v>
      </c>
      <c r="B681" s="80" t="s">
        <v>3861</v>
      </c>
      <c r="C681" s="80">
        <v>2</v>
      </c>
      <c r="D681" s="105">
        <v>0.0009240081668555858</v>
      </c>
      <c r="E681" s="105">
        <v>3.350829273582968</v>
      </c>
      <c r="F681" s="80" t="s">
        <v>3896</v>
      </c>
      <c r="G681" s="80" t="b">
        <v>0</v>
      </c>
      <c r="H681" s="80" t="b">
        <v>0</v>
      </c>
      <c r="I681" s="80" t="b">
        <v>0</v>
      </c>
      <c r="J681" s="80" t="b">
        <v>0</v>
      </c>
      <c r="K681" s="80" t="b">
        <v>0</v>
      </c>
      <c r="L681" s="80" t="b">
        <v>0</v>
      </c>
    </row>
    <row r="682" spans="1:12" ht="15">
      <c r="A682" s="81" t="s">
        <v>3861</v>
      </c>
      <c r="B682" s="80" t="s">
        <v>3862</v>
      </c>
      <c r="C682" s="80">
        <v>2</v>
      </c>
      <c r="D682" s="105">
        <v>0.0009240081668555858</v>
      </c>
      <c r="E682" s="105">
        <v>3.350829273582968</v>
      </c>
      <c r="F682" s="80" t="s">
        <v>3896</v>
      </c>
      <c r="G682" s="80" t="b">
        <v>0</v>
      </c>
      <c r="H682" s="80" t="b">
        <v>0</v>
      </c>
      <c r="I682" s="80" t="b">
        <v>0</v>
      </c>
      <c r="J682" s="80" t="b">
        <v>0</v>
      </c>
      <c r="K682" s="80" t="b">
        <v>0</v>
      </c>
      <c r="L682" s="80" t="b">
        <v>0</v>
      </c>
    </row>
    <row r="683" spans="1:12" ht="15">
      <c r="A683" s="81" t="s">
        <v>3862</v>
      </c>
      <c r="B683" s="80" t="s">
        <v>3863</v>
      </c>
      <c r="C683" s="80">
        <v>2</v>
      </c>
      <c r="D683" s="105">
        <v>0.0009240081668555858</v>
      </c>
      <c r="E683" s="105">
        <v>3.350829273582968</v>
      </c>
      <c r="F683" s="80" t="s">
        <v>3896</v>
      </c>
      <c r="G683" s="80" t="b">
        <v>0</v>
      </c>
      <c r="H683" s="80" t="b">
        <v>0</v>
      </c>
      <c r="I683" s="80" t="b">
        <v>0</v>
      </c>
      <c r="J683" s="80" t="b">
        <v>0</v>
      </c>
      <c r="K683" s="80" t="b">
        <v>0</v>
      </c>
      <c r="L683" s="80" t="b">
        <v>0</v>
      </c>
    </row>
    <row r="684" spans="1:12" ht="15">
      <c r="A684" s="81" t="s">
        <v>3863</v>
      </c>
      <c r="B684" s="80" t="s">
        <v>3864</v>
      </c>
      <c r="C684" s="80">
        <v>2</v>
      </c>
      <c r="D684" s="105">
        <v>0.0009240081668555858</v>
      </c>
      <c r="E684" s="105">
        <v>3.350829273582968</v>
      </c>
      <c r="F684" s="80" t="s">
        <v>3896</v>
      </c>
      <c r="G684" s="80" t="b">
        <v>0</v>
      </c>
      <c r="H684" s="80" t="b">
        <v>0</v>
      </c>
      <c r="I684" s="80" t="b">
        <v>0</v>
      </c>
      <c r="J684" s="80" t="b">
        <v>0</v>
      </c>
      <c r="K684" s="80" t="b">
        <v>1</v>
      </c>
      <c r="L684" s="80" t="b">
        <v>0</v>
      </c>
    </row>
    <row r="685" spans="1:12" ht="15">
      <c r="A685" s="81" t="s">
        <v>3864</v>
      </c>
      <c r="B685" s="80" t="s">
        <v>3308</v>
      </c>
      <c r="C685" s="80">
        <v>2</v>
      </c>
      <c r="D685" s="105">
        <v>0.0009240081668555858</v>
      </c>
      <c r="E685" s="105">
        <v>2.572678023199324</v>
      </c>
      <c r="F685" s="80" t="s">
        <v>3896</v>
      </c>
      <c r="G685" s="80" t="b">
        <v>0</v>
      </c>
      <c r="H685" s="80" t="b">
        <v>1</v>
      </c>
      <c r="I685" s="80" t="b">
        <v>0</v>
      </c>
      <c r="J685" s="80" t="b">
        <v>0</v>
      </c>
      <c r="K685" s="80" t="b">
        <v>0</v>
      </c>
      <c r="L685" s="80" t="b">
        <v>0</v>
      </c>
    </row>
    <row r="686" spans="1:12" ht="15">
      <c r="A686" s="81" t="s">
        <v>3308</v>
      </c>
      <c r="B686" s="80" t="s">
        <v>3385</v>
      </c>
      <c r="C686" s="80">
        <v>2</v>
      </c>
      <c r="D686" s="105">
        <v>0.0009240081668555858</v>
      </c>
      <c r="E686" s="105">
        <v>2.271648027535343</v>
      </c>
      <c r="F686" s="80" t="s">
        <v>3896</v>
      </c>
      <c r="G686" s="80" t="b">
        <v>0</v>
      </c>
      <c r="H686" s="80" t="b">
        <v>0</v>
      </c>
      <c r="I686" s="80" t="b">
        <v>0</v>
      </c>
      <c r="J686" s="80" t="b">
        <v>0</v>
      </c>
      <c r="K686" s="80" t="b">
        <v>0</v>
      </c>
      <c r="L686" s="80" t="b">
        <v>0</v>
      </c>
    </row>
    <row r="687" spans="1:12" ht="15">
      <c r="A687" s="81" t="s">
        <v>3866</v>
      </c>
      <c r="B687" s="80" t="s">
        <v>3867</v>
      </c>
      <c r="C687" s="80">
        <v>2</v>
      </c>
      <c r="D687" s="105">
        <v>0.0009240081668555858</v>
      </c>
      <c r="E687" s="105">
        <v>3.350829273582968</v>
      </c>
      <c r="F687" s="80" t="s">
        <v>3896</v>
      </c>
      <c r="G687" s="80" t="b">
        <v>0</v>
      </c>
      <c r="H687" s="80" t="b">
        <v>0</v>
      </c>
      <c r="I687" s="80" t="b">
        <v>0</v>
      </c>
      <c r="J687" s="80" t="b">
        <v>0</v>
      </c>
      <c r="K687" s="80" t="b">
        <v>0</v>
      </c>
      <c r="L687" s="80" t="b">
        <v>0</v>
      </c>
    </row>
    <row r="688" spans="1:12" ht="15">
      <c r="A688" s="81" t="s">
        <v>3867</v>
      </c>
      <c r="B688" s="80" t="s">
        <v>3868</v>
      </c>
      <c r="C688" s="80">
        <v>2</v>
      </c>
      <c r="D688" s="105">
        <v>0.0009240081668555858</v>
      </c>
      <c r="E688" s="105">
        <v>3.350829273582968</v>
      </c>
      <c r="F688" s="80" t="s">
        <v>3896</v>
      </c>
      <c r="G688" s="80" t="b">
        <v>0</v>
      </c>
      <c r="H688" s="80" t="b">
        <v>0</v>
      </c>
      <c r="I688" s="80" t="b">
        <v>0</v>
      </c>
      <c r="J688" s="80" t="b">
        <v>0</v>
      </c>
      <c r="K688" s="80" t="b">
        <v>0</v>
      </c>
      <c r="L688" s="80" t="b">
        <v>0</v>
      </c>
    </row>
    <row r="689" spans="1:12" ht="15">
      <c r="A689" s="81" t="s">
        <v>3868</v>
      </c>
      <c r="B689" s="80" t="s">
        <v>3869</v>
      </c>
      <c r="C689" s="80">
        <v>2</v>
      </c>
      <c r="D689" s="105">
        <v>0.0009240081668555858</v>
      </c>
      <c r="E689" s="105">
        <v>3.350829273582968</v>
      </c>
      <c r="F689" s="80" t="s">
        <v>3896</v>
      </c>
      <c r="G689" s="80" t="b">
        <v>0</v>
      </c>
      <c r="H689" s="80" t="b">
        <v>0</v>
      </c>
      <c r="I689" s="80" t="b">
        <v>0</v>
      </c>
      <c r="J689" s="80" t="b">
        <v>0</v>
      </c>
      <c r="K689" s="80" t="b">
        <v>0</v>
      </c>
      <c r="L689" s="80" t="b">
        <v>0</v>
      </c>
    </row>
    <row r="690" spans="1:12" ht="15">
      <c r="A690" s="81" t="s">
        <v>3869</v>
      </c>
      <c r="B690" s="80" t="s">
        <v>3870</v>
      </c>
      <c r="C690" s="80">
        <v>2</v>
      </c>
      <c r="D690" s="105">
        <v>0.0009240081668555858</v>
      </c>
      <c r="E690" s="105">
        <v>3.350829273582968</v>
      </c>
      <c r="F690" s="80" t="s">
        <v>3896</v>
      </c>
      <c r="G690" s="80" t="b">
        <v>0</v>
      </c>
      <c r="H690" s="80" t="b">
        <v>0</v>
      </c>
      <c r="I690" s="80" t="b">
        <v>0</v>
      </c>
      <c r="J690" s="80" t="b">
        <v>0</v>
      </c>
      <c r="K690" s="80" t="b">
        <v>0</v>
      </c>
      <c r="L690" s="80" t="b">
        <v>0</v>
      </c>
    </row>
    <row r="691" spans="1:12" ht="15">
      <c r="A691" s="81" t="s">
        <v>3870</v>
      </c>
      <c r="B691" s="80" t="s">
        <v>3478</v>
      </c>
      <c r="C691" s="80">
        <v>2</v>
      </c>
      <c r="D691" s="105">
        <v>0.0009240081668555858</v>
      </c>
      <c r="E691" s="105">
        <v>3.0497992779189866</v>
      </c>
      <c r="F691" s="80" t="s">
        <v>3896</v>
      </c>
      <c r="G691" s="80" t="b">
        <v>0</v>
      </c>
      <c r="H691" s="80" t="b">
        <v>0</v>
      </c>
      <c r="I691" s="80" t="b">
        <v>0</v>
      </c>
      <c r="J691" s="80" t="b">
        <v>0</v>
      </c>
      <c r="K691" s="80" t="b">
        <v>0</v>
      </c>
      <c r="L691" s="80" t="b">
        <v>0</v>
      </c>
    </row>
    <row r="692" spans="1:12" ht="15">
      <c r="A692" s="81" t="s">
        <v>3478</v>
      </c>
      <c r="B692" s="80" t="s">
        <v>3309</v>
      </c>
      <c r="C692" s="80">
        <v>2</v>
      </c>
      <c r="D692" s="105">
        <v>0.0009240081668555858</v>
      </c>
      <c r="E692" s="105">
        <v>2.2047012379047297</v>
      </c>
      <c r="F692" s="80" t="s">
        <v>3896</v>
      </c>
      <c r="G692" s="80" t="b">
        <v>0</v>
      </c>
      <c r="H692" s="80" t="b">
        <v>0</v>
      </c>
      <c r="I692" s="80" t="b">
        <v>0</v>
      </c>
      <c r="J692" s="80" t="b">
        <v>0</v>
      </c>
      <c r="K692" s="80" t="b">
        <v>0</v>
      </c>
      <c r="L692" s="80" t="b">
        <v>0</v>
      </c>
    </row>
    <row r="693" spans="1:12" ht="15">
      <c r="A693" s="81" t="s">
        <v>3316</v>
      </c>
      <c r="B693" s="80" t="s">
        <v>3871</v>
      </c>
      <c r="C693" s="80">
        <v>2</v>
      </c>
      <c r="D693" s="105">
        <v>0.0009240081668555858</v>
      </c>
      <c r="E693" s="105">
        <v>2.537915916940112</v>
      </c>
      <c r="F693" s="80" t="s">
        <v>3896</v>
      </c>
      <c r="G693" s="80" t="b">
        <v>0</v>
      </c>
      <c r="H693" s="80" t="b">
        <v>0</v>
      </c>
      <c r="I693" s="80" t="b">
        <v>0</v>
      </c>
      <c r="J693" s="80" t="b">
        <v>0</v>
      </c>
      <c r="K693" s="80" t="b">
        <v>0</v>
      </c>
      <c r="L693" s="80" t="b">
        <v>0</v>
      </c>
    </row>
    <row r="694" spans="1:12" ht="15">
      <c r="A694" s="81" t="s">
        <v>3871</v>
      </c>
      <c r="B694" s="80" t="s">
        <v>3373</v>
      </c>
      <c r="C694" s="80">
        <v>2</v>
      </c>
      <c r="D694" s="105">
        <v>0.0009240081668555858</v>
      </c>
      <c r="E694" s="105">
        <v>2.8067612292326922</v>
      </c>
      <c r="F694" s="80" t="s">
        <v>3896</v>
      </c>
      <c r="G694" s="80" t="b">
        <v>0</v>
      </c>
      <c r="H694" s="80" t="b">
        <v>0</v>
      </c>
      <c r="I694" s="80" t="b">
        <v>0</v>
      </c>
      <c r="J694" s="80" t="b">
        <v>0</v>
      </c>
      <c r="K694" s="80" t="b">
        <v>0</v>
      </c>
      <c r="L694" s="80" t="b">
        <v>0</v>
      </c>
    </row>
    <row r="695" spans="1:12" ht="15">
      <c r="A695" s="81" t="s">
        <v>3373</v>
      </c>
      <c r="B695" s="80" t="s">
        <v>3474</v>
      </c>
      <c r="C695" s="80">
        <v>2</v>
      </c>
      <c r="D695" s="105">
        <v>0.0009240081668555858</v>
      </c>
      <c r="E695" s="105">
        <v>2.505731233568711</v>
      </c>
      <c r="F695" s="80" t="s">
        <v>3896</v>
      </c>
      <c r="G695" s="80" t="b">
        <v>0</v>
      </c>
      <c r="H695" s="80" t="b">
        <v>0</v>
      </c>
      <c r="I695" s="80" t="b">
        <v>0</v>
      </c>
      <c r="J695" s="80" t="b">
        <v>0</v>
      </c>
      <c r="K695" s="80" t="b">
        <v>0</v>
      </c>
      <c r="L695" s="80" t="b">
        <v>0</v>
      </c>
    </row>
    <row r="696" spans="1:12" ht="15">
      <c r="A696" s="81" t="s">
        <v>3474</v>
      </c>
      <c r="B696" s="80" t="s">
        <v>3451</v>
      </c>
      <c r="C696" s="80">
        <v>2</v>
      </c>
      <c r="D696" s="105">
        <v>0.0009240081668555858</v>
      </c>
      <c r="E696" s="105">
        <v>2.7487692822550054</v>
      </c>
      <c r="F696" s="80" t="s">
        <v>3896</v>
      </c>
      <c r="G696" s="80" t="b">
        <v>0</v>
      </c>
      <c r="H696" s="80" t="b">
        <v>0</v>
      </c>
      <c r="I696" s="80" t="b">
        <v>0</v>
      </c>
      <c r="J696" s="80" t="b">
        <v>0</v>
      </c>
      <c r="K696" s="80" t="b">
        <v>0</v>
      </c>
      <c r="L696" s="80" t="b">
        <v>0</v>
      </c>
    </row>
    <row r="697" spans="1:12" ht="15">
      <c r="A697" s="81" t="s">
        <v>3451</v>
      </c>
      <c r="B697" s="80" t="s">
        <v>3548</v>
      </c>
      <c r="C697" s="80">
        <v>2</v>
      </c>
      <c r="D697" s="105">
        <v>0.0009240081668555858</v>
      </c>
      <c r="E697" s="105">
        <v>2.8737080188633053</v>
      </c>
      <c r="F697" s="80" t="s">
        <v>3896</v>
      </c>
      <c r="G697" s="80" t="b">
        <v>0</v>
      </c>
      <c r="H697" s="80" t="b">
        <v>0</v>
      </c>
      <c r="I697" s="80" t="b">
        <v>0</v>
      </c>
      <c r="J697" s="80" t="b">
        <v>0</v>
      </c>
      <c r="K697" s="80" t="b">
        <v>0</v>
      </c>
      <c r="L697" s="80" t="b">
        <v>0</v>
      </c>
    </row>
    <row r="698" spans="1:12" ht="15">
      <c r="A698" s="81" t="s">
        <v>3548</v>
      </c>
      <c r="B698" s="80" t="s">
        <v>3872</v>
      </c>
      <c r="C698" s="80">
        <v>2</v>
      </c>
      <c r="D698" s="105">
        <v>0.0009240081668555858</v>
      </c>
      <c r="E698" s="105">
        <v>3.1747380145272865</v>
      </c>
      <c r="F698" s="80" t="s">
        <v>3896</v>
      </c>
      <c r="G698" s="80" t="b">
        <v>0</v>
      </c>
      <c r="H698" s="80" t="b">
        <v>0</v>
      </c>
      <c r="I698" s="80" t="b">
        <v>0</v>
      </c>
      <c r="J698" s="80" t="b">
        <v>0</v>
      </c>
      <c r="K698" s="80" t="b">
        <v>0</v>
      </c>
      <c r="L698" s="80" t="b">
        <v>0</v>
      </c>
    </row>
    <row r="699" spans="1:12" ht="15">
      <c r="A699" s="81" t="s">
        <v>3872</v>
      </c>
      <c r="B699" s="80" t="s">
        <v>3534</v>
      </c>
      <c r="C699" s="80">
        <v>2</v>
      </c>
      <c r="D699" s="105">
        <v>0.0009240081668555858</v>
      </c>
      <c r="E699" s="105">
        <v>3.0497992779189866</v>
      </c>
      <c r="F699" s="80" t="s">
        <v>3896</v>
      </c>
      <c r="G699" s="80" t="b">
        <v>0</v>
      </c>
      <c r="H699" s="80" t="b">
        <v>0</v>
      </c>
      <c r="I699" s="80" t="b">
        <v>0</v>
      </c>
      <c r="J699" s="80" t="b">
        <v>0</v>
      </c>
      <c r="K699" s="80" t="b">
        <v>0</v>
      </c>
      <c r="L699" s="80" t="b">
        <v>0</v>
      </c>
    </row>
    <row r="700" spans="1:12" ht="15">
      <c r="A700" s="81" t="s">
        <v>3534</v>
      </c>
      <c r="B700" s="80" t="s">
        <v>3475</v>
      </c>
      <c r="C700" s="80">
        <v>2</v>
      </c>
      <c r="D700" s="105">
        <v>0.0009240081668555858</v>
      </c>
      <c r="E700" s="105">
        <v>2.7487692822550054</v>
      </c>
      <c r="F700" s="80" t="s">
        <v>3896</v>
      </c>
      <c r="G700" s="80" t="b">
        <v>0</v>
      </c>
      <c r="H700" s="80" t="b">
        <v>0</v>
      </c>
      <c r="I700" s="80" t="b">
        <v>0</v>
      </c>
      <c r="J700" s="80" t="b">
        <v>0</v>
      </c>
      <c r="K700" s="80" t="b">
        <v>0</v>
      </c>
      <c r="L700" s="80" t="b">
        <v>0</v>
      </c>
    </row>
    <row r="701" spans="1:12" ht="15">
      <c r="A701" s="81" t="s">
        <v>3475</v>
      </c>
      <c r="B701" s="80" t="s">
        <v>3873</v>
      </c>
      <c r="C701" s="80">
        <v>2</v>
      </c>
      <c r="D701" s="105">
        <v>0.0009240081668555858</v>
      </c>
      <c r="E701" s="105">
        <v>3.0497992779189866</v>
      </c>
      <c r="F701" s="80" t="s">
        <v>3896</v>
      </c>
      <c r="G701" s="80" t="b">
        <v>0</v>
      </c>
      <c r="H701" s="80" t="b">
        <v>0</v>
      </c>
      <c r="I701" s="80" t="b">
        <v>0</v>
      </c>
      <c r="J701" s="80" t="b">
        <v>0</v>
      </c>
      <c r="K701" s="80" t="b">
        <v>0</v>
      </c>
      <c r="L701" s="80" t="b">
        <v>0</v>
      </c>
    </row>
    <row r="702" spans="1:12" ht="15">
      <c r="A702" s="81" t="s">
        <v>3873</v>
      </c>
      <c r="B702" s="80" t="s">
        <v>3534</v>
      </c>
      <c r="C702" s="80">
        <v>2</v>
      </c>
      <c r="D702" s="105">
        <v>0.0009240081668555858</v>
      </c>
      <c r="E702" s="105">
        <v>3.0497992779189866</v>
      </c>
      <c r="F702" s="80" t="s">
        <v>3896</v>
      </c>
      <c r="G702" s="80" t="b">
        <v>0</v>
      </c>
      <c r="H702" s="80" t="b">
        <v>0</v>
      </c>
      <c r="I702" s="80" t="b">
        <v>0</v>
      </c>
      <c r="J702" s="80" t="b">
        <v>0</v>
      </c>
      <c r="K702" s="80" t="b">
        <v>0</v>
      </c>
      <c r="L702" s="80" t="b">
        <v>0</v>
      </c>
    </row>
    <row r="703" spans="1:12" ht="15">
      <c r="A703" s="81" t="s">
        <v>3534</v>
      </c>
      <c r="B703" s="80" t="s">
        <v>3874</v>
      </c>
      <c r="C703" s="80">
        <v>2</v>
      </c>
      <c r="D703" s="105">
        <v>0.0009240081668555858</v>
      </c>
      <c r="E703" s="105">
        <v>3.0497992779189866</v>
      </c>
      <c r="F703" s="80" t="s">
        <v>3896</v>
      </c>
      <c r="G703" s="80" t="b">
        <v>0</v>
      </c>
      <c r="H703" s="80" t="b">
        <v>0</v>
      </c>
      <c r="I703" s="80" t="b">
        <v>0</v>
      </c>
      <c r="J703" s="80" t="b">
        <v>0</v>
      </c>
      <c r="K703" s="80" t="b">
        <v>0</v>
      </c>
      <c r="L703" s="80" t="b">
        <v>0</v>
      </c>
    </row>
    <row r="704" spans="1:12" ht="15">
      <c r="A704" s="81" t="s">
        <v>3874</v>
      </c>
      <c r="B704" s="80" t="s">
        <v>3875</v>
      </c>
      <c r="C704" s="80">
        <v>2</v>
      </c>
      <c r="D704" s="105">
        <v>0.0009240081668555858</v>
      </c>
      <c r="E704" s="105">
        <v>3.350829273582968</v>
      </c>
      <c r="F704" s="80" t="s">
        <v>3896</v>
      </c>
      <c r="G704" s="80" t="b">
        <v>0</v>
      </c>
      <c r="H704" s="80" t="b">
        <v>0</v>
      </c>
      <c r="I704" s="80" t="b">
        <v>0</v>
      </c>
      <c r="J704" s="80" t="b">
        <v>0</v>
      </c>
      <c r="K704" s="80" t="b">
        <v>0</v>
      </c>
      <c r="L704" s="80" t="b">
        <v>0</v>
      </c>
    </row>
    <row r="705" spans="1:12" ht="15">
      <c r="A705" s="81" t="s">
        <v>3875</v>
      </c>
      <c r="B705" s="80" t="s">
        <v>3876</v>
      </c>
      <c r="C705" s="80">
        <v>2</v>
      </c>
      <c r="D705" s="105">
        <v>0.0009240081668555858</v>
      </c>
      <c r="E705" s="105">
        <v>3.350829273582968</v>
      </c>
      <c r="F705" s="80" t="s">
        <v>3896</v>
      </c>
      <c r="G705" s="80" t="b">
        <v>0</v>
      </c>
      <c r="H705" s="80" t="b">
        <v>0</v>
      </c>
      <c r="I705" s="80" t="b">
        <v>0</v>
      </c>
      <c r="J705" s="80" t="b">
        <v>0</v>
      </c>
      <c r="K705" s="80" t="b">
        <v>0</v>
      </c>
      <c r="L705" s="80" t="b">
        <v>0</v>
      </c>
    </row>
    <row r="706" spans="1:12" ht="15">
      <c r="A706" s="81" t="s">
        <v>3876</v>
      </c>
      <c r="B706" s="80" t="s">
        <v>3547</v>
      </c>
      <c r="C706" s="80">
        <v>2</v>
      </c>
      <c r="D706" s="105">
        <v>0.0009240081668555858</v>
      </c>
      <c r="E706" s="105">
        <v>3.1747380145272865</v>
      </c>
      <c r="F706" s="80" t="s">
        <v>3896</v>
      </c>
      <c r="G706" s="80" t="b">
        <v>0</v>
      </c>
      <c r="H706" s="80" t="b">
        <v>0</v>
      </c>
      <c r="I706" s="80" t="b">
        <v>0</v>
      </c>
      <c r="J706" s="80" t="b">
        <v>0</v>
      </c>
      <c r="K706" s="80" t="b">
        <v>0</v>
      </c>
      <c r="L706" s="80" t="b">
        <v>0</v>
      </c>
    </row>
    <row r="707" spans="1:12" ht="15">
      <c r="A707" s="81" t="s">
        <v>3547</v>
      </c>
      <c r="B707" s="80" t="s">
        <v>3877</v>
      </c>
      <c r="C707" s="80">
        <v>2</v>
      </c>
      <c r="D707" s="105">
        <v>0.0009240081668555858</v>
      </c>
      <c r="E707" s="105">
        <v>3.1747380145272865</v>
      </c>
      <c r="F707" s="80" t="s">
        <v>3896</v>
      </c>
      <c r="G707" s="80" t="b">
        <v>0</v>
      </c>
      <c r="H707" s="80" t="b">
        <v>0</v>
      </c>
      <c r="I707" s="80" t="b">
        <v>0</v>
      </c>
      <c r="J707" s="80" t="b">
        <v>0</v>
      </c>
      <c r="K707" s="80" t="b">
        <v>0</v>
      </c>
      <c r="L707" s="80" t="b">
        <v>0</v>
      </c>
    </row>
    <row r="708" spans="1:12" ht="15">
      <c r="A708" s="81" t="s">
        <v>3877</v>
      </c>
      <c r="B708" s="80" t="s">
        <v>3668</v>
      </c>
      <c r="C708" s="80">
        <v>2</v>
      </c>
      <c r="D708" s="105">
        <v>0.0009240081668555858</v>
      </c>
      <c r="E708" s="105">
        <v>3.1747380145272865</v>
      </c>
      <c r="F708" s="80" t="s">
        <v>3896</v>
      </c>
      <c r="G708" s="80" t="b">
        <v>0</v>
      </c>
      <c r="H708" s="80" t="b">
        <v>0</v>
      </c>
      <c r="I708" s="80" t="b">
        <v>0</v>
      </c>
      <c r="J708" s="80" t="b">
        <v>0</v>
      </c>
      <c r="K708" s="80" t="b">
        <v>0</v>
      </c>
      <c r="L708" s="80" t="b">
        <v>0</v>
      </c>
    </row>
    <row r="709" spans="1:12" ht="15">
      <c r="A709" s="81" t="s">
        <v>3668</v>
      </c>
      <c r="B709" s="80" t="s">
        <v>3669</v>
      </c>
      <c r="C709" s="80">
        <v>2</v>
      </c>
      <c r="D709" s="105">
        <v>0.0009240081668555858</v>
      </c>
      <c r="E709" s="105">
        <v>2.998646755471605</v>
      </c>
      <c r="F709" s="80" t="s">
        <v>3896</v>
      </c>
      <c r="G709" s="80" t="b">
        <v>0</v>
      </c>
      <c r="H709" s="80" t="b">
        <v>0</v>
      </c>
      <c r="I709" s="80" t="b">
        <v>0</v>
      </c>
      <c r="J709" s="80" t="b">
        <v>0</v>
      </c>
      <c r="K709" s="80" t="b">
        <v>0</v>
      </c>
      <c r="L709" s="80" t="b">
        <v>0</v>
      </c>
    </row>
    <row r="710" spans="1:12" ht="15">
      <c r="A710" s="81" t="s">
        <v>3669</v>
      </c>
      <c r="B710" s="80" t="s">
        <v>3670</v>
      </c>
      <c r="C710" s="80">
        <v>2</v>
      </c>
      <c r="D710" s="105">
        <v>0.0009240081668555858</v>
      </c>
      <c r="E710" s="105">
        <v>3.1747380145272865</v>
      </c>
      <c r="F710" s="80" t="s">
        <v>3896</v>
      </c>
      <c r="G710" s="80" t="b">
        <v>0</v>
      </c>
      <c r="H710" s="80" t="b">
        <v>0</v>
      </c>
      <c r="I710" s="80" t="b">
        <v>0</v>
      </c>
      <c r="J710" s="80" t="b">
        <v>0</v>
      </c>
      <c r="K710" s="80" t="b">
        <v>0</v>
      </c>
      <c r="L710" s="80" t="b">
        <v>0</v>
      </c>
    </row>
    <row r="711" spans="1:12" ht="15">
      <c r="A711" s="81" t="s">
        <v>3670</v>
      </c>
      <c r="B711" s="80" t="s">
        <v>3266</v>
      </c>
      <c r="C711" s="80">
        <v>2</v>
      </c>
      <c r="D711" s="105">
        <v>0.0009240081668555858</v>
      </c>
      <c r="E711" s="105">
        <v>1.9075662861242726</v>
      </c>
      <c r="F711" s="80" t="s">
        <v>3896</v>
      </c>
      <c r="G711" s="80" t="b">
        <v>0</v>
      </c>
      <c r="H711" s="80" t="b">
        <v>0</v>
      </c>
      <c r="I711" s="80" t="b">
        <v>0</v>
      </c>
      <c r="J711" s="80" t="b">
        <v>0</v>
      </c>
      <c r="K711" s="80" t="b">
        <v>0</v>
      </c>
      <c r="L711" s="80" t="b">
        <v>0</v>
      </c>
    </row>
    <row r="712" spans="1:12" ht="15">
      <c r="A712" s="81" t="s">
        <v>3375</v>
      </c>
      <c r="B712" s="80" t="s">
        <v>3882</v>
      </c>
      <c r="C712" s="80">
        <v>2</v>
      </c>
      <c r="D712" s="105">
        <v>0.0009240081668555858</v>
      </c>
      <c r="E712" s="105">
        <v>2.8737080188633053</v>
      </c>
      <c r="F712" s="80" t="s">
        <v>3896</v>
      </c>
      <c r="G712" s="80" t="b">
        <v>0</v>
      </c>
      <c r="H712" s="80" t="b">
        <v>0</v>
      </c>
      <c r="I712" s="80" t="b">
        <v>0</v>
      </c>
      <c r="J712" s="80" t="b">
        <v>0</v>
      </c>
      <c r="K712" s="80" t="b">
        <v>0</v>
      </c>
      <c r="L712" s="80" t="b">
        <v>0</v>
      </c>
    </row>
    <row r="713" spans="1:12" ht="15">
      <c r="A713" s="81" t="s">
        <v>3883</v>
      </c>
      <c r="B713" s="80" t="s">
        <v>3303</v>
      </c>
      <c r="C713" s="80">
        <v>2</v>
      </c>
      <c r="D713" s="105">
        <v>0.0009240081668555858</v>
      </c>
      <c r="E713" s="105">
        <v>2.475768010191268</v>
      </c>
      <c r="F713" s="80" t="s">
        <v>3896</v>
      </c>
      <c r="G713" s="80" t="b">
        <v>0</v>
      </c>
      <c r="H713" s="80" t="b">
        <v>1</v>
      </c>
      <c r="I713" s="80" t="b">
        <v>0</v>
      </c>
      <c r="J713" s="80" t="b">
        <v>0</v>
      </c>
      <c r="K713" s="80" t="b">
        <v>0</v>
      </c>
      <c r="L713" s="80" t="b">
        <v>0</v>
      </c>
    </row>
    <row r="714" spans="1:12" ht="15">
      <c r="A714" s="81" t="s">
        <v>3266</v>
      </c>
      <c r="B714" s="80" t="s">
        <v>3288</v>
      </c>
      <c r="C714" s="80">
        <v>8</v>
      </c>
      <c r="D714" s="105">
        <v>0.008301417601588312</v>
      </c>
      <c r="E714" s="105">
        <v>1.2662678894047692</v>
      </c>
      <c r="F714" s="80" t="s">
        <v>3176</v>
      </c>
      <c r="G714" s="80" t="b">
        <v>0</v>
      </c>
      <c r="H714" s="80" t="b">
        <v>0</v>
      </c>
      <c r="I714" s="80" t="b">
        <v>0</v>
      </c>
      <c r="J714" s="80" t="b">
        <v>0</v>
      </c>
      <c r="K714" s="80" t="b">
        <v>0</v>
      </c>
      <c r="L714" s="80" t="b">
        <v>0</v>
      </c>
    </row>
    <row r="715" spans="1:12" ht="15">
      <c r="A715" s="81" t="s">
        <v>3288</v>
      </c>
      <c r="B715" s="80" t="s">
        <v>3260</v>
      </c>
      <c r="C715" s="80">
        <v>8</v>
      </c>
      <c r="D715" s="105">
        <v>0.008301417601588312</v>
      </c>
      <c r="E715" s="105">
        <v>0.91781324381265</v>
      </c>
      <c r="F715" s="80" t="s">
        <v>3176</v>
      </c>
      <c r="G715" s="80" t="b">
        <v>0</v>
      </c>
      <c r="H715" s="80" t="b">
        <v>0</v>
      </c>
      <c r="I715" s="80" t="b">
        <v>0</v>
      </c>
      <c r="J715" s="80" t="b">
        <v>0</v>
      </c>
      <c r="K715" s="80" t="b">
        <v>0</v>
      </c>
      <c r="L715" s="80" t="b">
        <v>0</v>
      </c>
    </row>
    <row r="716" spans="1:12" ht="15">
      <c r="A716" s="81" t="s">
        <v>3310</v>
      </c>
      <c r="B716" s="80" t="s">
        <v>3311</v>
      </c>
      <c r="C716" s="80">
        <v>6</v>
      </c>
      <c r="D716" s="105">
        <v>0.00761684691111665</v>
      </c>
      <c r="E716" s="105">
        <v>1.49008623188403</v>
      </c>
      <c r="F716" s="80" t="s">
        <v>3176</v>
      </c>
      <c r="G716" s="80" t="b">
        <v>0</v>
      </c>
      <c r="H716" s="80" t="b">
        <v>0</v>
      </c>
      <c r="I716" s="80" t="b">
        <v>0</v>
      </c>
      <c r="J716" s="80" t="b">
        <v>0</v>
      </c>
      <c r="K716" s="80" t="b">
        <v>0</v>
      </c>
      <c r="L716" s="80" t="b">
        <v>0</v>
      </c>
    </row>
    <row r="717" spans="1:12" ht="15">
      <c r="A717" s="81" t="s">
        <v>3311</v>
      </c>
      <c r="B717" s="80" t="s">
        <v>3430</v>
      </c>
      <c r="C717" s="80">
        <v>4</v>
      </c>
      <c r="D717" s="105">
        <v>0.006384697636890492</v>
      </c>
      <c r="E717" s="105">
        <v>1.7533276666586115</v>
      </c>
      <c r="F717" s="80" t="s">
        <v>3176</v>
      </c>
      <c r="G717" s="80" t="b">
        <v>0</v>
      </c>
      <c r="H717" s="80" t="b">
        <v>0</v>
      </c>
      <c r="I717" s="80" t="b">
        <v>0</v>
      </c>
      <c r="J717" s="80" t="b">
        <v>0</v>
      </c>
      <c r="K717" s="80" t="b">
        <v>0</v>
      </c>
      <c r="L717" s="80" t="b">
        <v>0</v>
      </c>
    </row>
    <row r="718" spans="1:12" ht="15">
      <c r="A718" s="81" t="s">
        <v>3430</v>
      </c>
      <c r="B718" s="80" t="s">
        <v>3431</v>
      </c>
      <c r="C718" s="80">
        <v>4</v>
      </c>
      <c r="D718" s="105">
        <v>0.006384697636890492</v>
      </c>
      <c r="E718" s="105">
        <v>2.105510184769974</v>
      </c>
      <c r="F718" s="80" t="s">
        <v>3176</v>
      </c>
      <c r="G718" s="80" t="b">
        <v>0</v>
      </c>
      <c r="H718" s="80" t="b">
        <v>0</v>
      </c>
      <c r="I718" s="80" t="b">
        <v>0</v>
      </c>
      <c r="J718" s="80" t="b">
        <v>0</v>
      </c>
      <c r="K718" s="80" t="b">
        <v>0</v>
      </c>
      <c r="L718" s="80" t="b">
        <v>0</v>
      </c>
    </row>
    <row r="719" spans="1:12" ht="15">
      <c r="A719" s="81" t="s">
        <v>3288</v>
      </c>
      <c r="B719" s="80" t="s">
        <v>3266</v>
      </c>
      <c r="C719" s="80">
        <v>4</v>
      </c>
      <c r="D719" s="105">
        <v>0.006384697636890492</v>
      </c>
      <c r="E719" s="105">
        <v>0.9030899869919435</v>
      </c>
      <c r="F719" s="80" t="s">
        <v>3176</v>
      </c>
      <c r="G719" s="80" t="b">
        <v>0</v>
      </c>
      <c r="H719" s="80" t="b">
        <v>0</v>
      </c>
      <c r="I719" s="80" t="b">
        <v>0</v>
      </c>
      <c r="J719" s="80" t="b">
        <v>0</v>
      </c>
      <c r="K719" s="80" t="b">
        <v>0</v>
      </c>
      <c r="L719" s="80" t="b">
        <v>0</v>
      </c>
    </row>
    <row r="720" spans="1:12" ht="15">
      <c r="A720" s="81" t="s">
        <v>3432</v>
      </c>
      <c r="B720" s="80" t="s">
        <v>3392</v>
      </c>
      <c r="C720" s="80">
        <v>4</v>
      </c>
      <c r="D720" s="105">
        <v>0.006384697636890492</v>
      </c>
      <c r="E720" s="105">
        <v>2.0086001717619175</v>
      </c>
      <c r="F720" s="80" t="s">
        <v>3176</v>
      </c>
      <c r="G720" s="80" t="b">
        <v>0</v>
      </c>
      <c r="H720" s="80" t="b">
        <v>0</v>
      </c>
      <c r="I720" s="80" t="b">
        <v>0</v>
      </c>
      <c r="J720" s="80" t="b">
        <v>0</v>
      </c>
      <c r="K720" s="80" t="b">
        <v>0</v>
      </c>
      <c r="L720" s="80" t="b">
        <v>0</v>
      </c>
    </row>
    <row r="721" spans="1:12" ht="15">
      <c r="A721" s="81" t="s">
        <v>3391</v>
      </c>
      <c r="B721" s="80" t="s">
        <v>3393</v>
      </c>
      <c r="C721" s="80">
        <v>4</v>
      </c>
      <c r="D721" s="105">
        <v>0.006384697636890492</v>
      </c>
      <c r="E721" s="105">
        <v>1.911690158753861</v>
      </c>
      <c r="F721" s="80" t="s">
        <v>3176</v>
      </c>
      <c r="G721" s="80" t="b">
        <v>0</v>
      </c>
      <c r="H721" s="80" t="b">
        <v>0</v>
      </c>
      <c r="I721" s="80" t="b">
        <v>0</v>
      </c>
      <c r="J721" s="80" t="b">
        <v>0</v>
      </c>
      <c r="K721" s="80" t="b">
        <v>0</v>
      </c>
      <c r="L721" s="80" t="b">
        <v>0</v>
      </c>
    </row>
    <row r="722" spans="1:12" ht="15">
      <c r="A722" s="81" t="s">
        <v>3539</v>
      </c>
      <c r="B722" s="80" t="s">
        <v>3288</v>
      </c>
      <c r="C722" s="80">
        <v>3</v>
      </c>
      <c r="D722" s="105">
        <v>0.005483915082630577</v>
      </c>
      <c r="E722" s="105">
        <v>1.4771212547196624</v>
      </c>
      <c r="F722" s="80" t="s">
        <v>3176</v>
      </c>
      <c r="G722" s="80" t="b">
        <v>0</v>
      </c>
      <c r="H722" s="80" t="b">
        <v>0</v>
      </c>
      <c r="I722" s="80" t="b">
        <v>0</v>
      </c>
      <c r="J722" s="80" t="b">
        <v>0</v>
      </c>
      <c r="K722" s="80" t="b">
        <v>0</v>
      </c>
      <c r="L722" s="80" t="b">
        <v>0</v>
      </c>
    </row>
    <row r="723" spans="1:12" ht="15">
      <c r="A723" s="81" t="s">
        <v>3266</v>
      </c>
      <c r="B723" s="80" t="s">
        <v>3260</v>
      </c>
      <c r="C723" s="80">
        <v>3</v>
      </c>
      <c r="D723" s="105">
        <v>0.005483915082630577</v>
      </c>
      <c r="E723" s="105">
        <v>0.608350080611806</v>
      </c>
      <c r="F723" s="80" t="s">
        <v>3176</v>
      </c>
      <c r="G723" s="80" t="b">
        <v>0</v>
      </c>
      <c r="H723" s="80" t="b">
        <v>0</v>
      </c>
      <c r="I723" s="80" t="b">
        <v>0</v>
      </c>
      <c r="J723" s="80" t="b">
        <v>0</v>
      </c>
      <c r="K723" s="80" t="b">
        <v>0</v>
      </c>
      <c r="L723" s="80" t="b">
        <v>0</v>
      </c>
    </row>
    <row r="724" spans="1:12" ht="15">
      <c r="A724" s="81" t="s">
        <v>3542</v>
      </c>
      <c r="B724" s="80" t="s">
        <v>3543</v>
      </c>
      <c r="C724" s="80">
        <v>3</v>
      </c>
      <c r="D724" s="105">
        <v>0.005483915082630577</v>
      </c>
      <c r="E724" s="105">
        <v>2.230448921378274</v>
      </c>
      <c r="F724" s="80" t="s">
        <v>3176</v>
      </c>
      <c r="G724" s="80" t="b">
        <v>0</v>
      </c>
      <c r="H724" s="80" t="b">
        <v>1</v>
      </c>
      <c r="I724" s="80" t="b">
        <v>0</v>
      </c>
      <c r="J724" s="80" t="b">
        <v>0</v>
      </c>
      <c r="K724" s="80" t="b">
        <v>1</v>
      </c>
      <c r="L724" s="80" t="b">
        <v>0</v>
      </c>
    </row>
    <row r="725" spans="1:12" ht="15">
      <c r="A725" s="81" t="s">
        <v>3545</v>
      </c>
      <c r="B725" s="80" t="s">
        <v>2768</v>
      </c>
      <c r="C725" s="80">
        <v>3</v>
      </c>
      <c r="D725" s="105">
        <v>0.005483915082630577</v>
      </c>
      <c r="E725" s="105">
        <v>1.9294189257142929</v>
      </c>
      <c r="F725" s="80" t="s">
        <v>3176</v>
      </c>
      <c r="G725" s="80" t="b">
        <v>0</v>
      </c>
      <c r="H725" s="80" t="b">
        <v>0</v>
      </c>
      <c r="I725" s="80" t="b">
        <v>0</v>
      </c>
      <c r="J725" s="80" t="b">
        <v>0</v>
      </c>
      <c r="K725" s="80" t="b">
        <v>0</v>
      </c>
      <c r="L725" s="80" t="b">
        <v>0</v>
      </c>
    </row>
    <row r="726" spans="1:12" ht="15">
      <c r="A726" s="81" t="s">
        <v>3288</v>
      </c>
      <c r="B726" s="80" t="s">
        <v>3435</v>
      </c>
      <c r="C726" s="80">
        <v>3</v>
      </c>
      <c r="D726" s="105">
        <v>0.005483915082630577</v>
      </c>
      <c r="E726" s="105">
        <v>1.3521825181113625</v>
      </c>
      <c r="F726" s="80" t="s">
        <v>3176</v>
      </c>
      <c r="G726" s="80" t="b">
        <v>0</v>
      </c>
      <c r="H726" s="80" t="b">
        <v>0</v>
      </c>
      <c r="I726" s="80" t="b">
        <v>0</v>
      </c>
      <c r="J726" s="80" t="b">
        <v>0</v>
      </c>
      <c r="K726" s="80" t="b">
        <v>0</v>
      </c>
      <c r="L726" s="80" t="b">
        <v>0</v>
      </c>
    </row>
    <row r="727" spans="1:12" ht="15">
      <c r="A727" s="81" t="s">
        <v>3541</v>
      </c>
      <c r="B727" s="80" t="s">
        <v>3436</v>
      </c>
      <c r="C727" s="80">
        <v>3</v>
      </c>
      <c r="D727" s="105">
        <v>0.005483915082630577</v>
      </c>
      <c r="E727" s="105">
        <v>2.1055101847699738</v>
      </c>
      <c r="F727" s="80" t="s">
        <v>3176</v>
      </c>
      <c r="G727" s="80" t="b">
        <v>0</v>
      </c>
      <c r="H727" s="80" t="b">
        <v>0</v>
      </c>
      <c r="I727" s="80" t="b">
        <v>0</v>
      </c>
      <c r="J727" s="80" t="b">
        <v>0</v>
      </c>
      <c r="K727" s="80" t="b">
        <v>0</v>
      </c>
      <c r="L727" s="80" t="b">
        <v>0</v>
      </c>
    </row>
    <row r="728" spans="1:12" ht="15">
      <c r="A728" s="81" t="s">
        <v>3392</v>
      </c>
      <c r="B728" s="80" t="s">
        <v>3376</v>
      </c>
      <c r="C728" s="80">
        <v>3</v>
      </c>
      <c r="D728" s="105">
        <v>0.005483915082630577</v>
      </c>
      <c r="E728" s="105">
        <v>1.7075701760979363</v>
      </c>
      <c r="F728" s="80" t="s">
        <v>3176</v>
      </c>
      <c r="G728" s="80" t="b">
        <v>0</v>
      </c>
      <c r="H728" s="80" t="b">
        <v>0</v>
      </c>
      <c r="I728" s="80" t="b">
        <v>0</v>
      </c>
      <c r="J728" s="80" t="b">
        <v>0</v>
      </c>
      <c r="K728" s="80" t="b">
        <v>0</v>
      </c>
      <c r="L728" s="80" t="b">
        <v>0</v>
      </c>
    </row>
    <row r="729" spans="1:12" ht="15">
      <c r="A729" s="81" t="s">
        <v>501</v>
      </c>
      <c r="B729" s="80" t="s">
        <v>3260</v>
      </c>
      <c r="C729" s="80">
        <v>3</v>
      </c>
      <c r="D729" s="105">
        <v>0.005483915082630577</v>
      </c>
      <c r="E729" s="105">
        <v>1.023323428582624</v>
      </c>
      <c r="F729" s="80" t="s">
        <v>3176</v>
      </c>
      <c r="G729" s="80" t="b">
        <v>0</v>
      </c>
      <c r="H729" s="80" t="b">
        <v>0</v>
      </c>
      <c r="I729" s="80" t="b">
        <v>0</v>
      </c>
      <c r="J729" s="80" t="b">
        <v>0</v>
      </c>
      <c r="K729" s="80" t="b">
        <v>0</v>
      </c>
      <c r="L729" s="80" t="b">
        <v>0</v>
      </c>
    </row>
    <row r="730" spans="1:12" ht="15">
      <c r="A730" s="81" t="s">
        <v>3360</v>
      </c>
      <c r="B730" s="80" t="s">
        <v>3340</v>
      </c>
      <c r="C730" s="80">
        <v>3</v>
      </c>
      <c r="D730" s="105">
        <v>0.005483915082630577</v>
      </c>
      <c r="E730" s="105">
        <v>1.8836614351536176</v>
      </c>
      <c r="F730" s="80" t="s">
        <v>3176</v>
      </c>
      <c r="G730" s="80" t="b">
        <v>0</v>
      </c>
      <c r="H730" s="80" t="b">
        <v>0</v>
      </c>
      <c r="I730" s="80" t="b">
        <v>0</v>
      </c>
      <c r="J730" s="80" t="b">
        <v>0</v>
      </c>
      <c r="K730" s="80" t="b">
        <v>0</v>
      </c>
      <c r="L730" s="80" t="b">
        <v>0</v>
      </c>
    </row>
    <row r="731" spans="1:12" ht="15">
      <c r="A731" s="81" t="s">
        <v>3431</v>
      </c>
      <c r="B731" s="80" t="s">
        <v>3673</v>
      </c>
      <c r="C731" s="80">
        <v>2</v>
      </c>
      <c r="D731" s="105">
        <v>0.004309343236493413</v>
      </c>
      <c r="E731" s="105">
        <v>2.105510184769974</v>
      </c>
      <c r="F731" s="80" t="s">
        <v>3176</v>
      </c>
      <c r="G731" s="80" t="b">
        <v>0</v>
      </c>
      <c r="H731" s="80" t="b">
        <v>0</v>
      </c>
      <c r="I731" s="80" t="b">
        <v>0</v>
      </c>
      <c r="J731" s="80" t="b">
        <v>0</v>
      </c>
      <c r="K731" s="80" t="b">
        <v>0</v>
      </c>
      <c r="L731" s="80" t="b">
        <v>0</v>
      </c>
    </row>
    <row r="732" spans="1:12" ht="15">
      <c r="A732" s="81" t="s">
        <v>3673</v>
      </c>
      <c r="B732" s="80" t="s">
        <v>3537</v>
      </c>
      <c r="C732" s="80">
        <v>2</v>
      </c>
      <c r="D732" s="105">
        <v>0.004309343236493413</v>
      </c>
      <c r="E732" s="105">
        <v>2.230448921378274</v>
      </c>
      <c r="F732" s="80" t="s">
        <v>3176</v>
      </c>
      <c r="G732" s="80" t="b">
        <v>0</v>
      </c>
      <c r="H732" s="80" t="b">
        <v>0</v>
      </c>
      <c r="I732" s="80" t="b">
        <v>0</v>
      </c>
      <c r="J732" s="80" t="b">
        <v>0</v>
      </c>
      <c r="K732" s="80" t="b">
        <v>0</v>
      </c>
      <c r="L732" s="80" t="b">
        <v>0</v>
      </c>
    </row>
    <row r="733" spans="1:12" ht="15">
      <c r="A733" s="81" t="s">
        <v>447</v>
      </c>
      <c r="B733" s="80" t="s">
        <v>533</v>
      </c>
      <c r="C733" s="80">
        <v>2</v>
      </c>
      <c r="D733" s="105">
        <v>0.004309343236493413</v>
      </c>
      <c r="E733" s="105">
        <v>1.5034501934420117</v>
      </c>
      <c r="F733" s="80" t="s">
        <v>3176</v>
      </c>
      <c r="G733" s="80" t="b">
        <v>0</v>
      </c>
      <c r="H733" s="80" t="b">
        <v>0</v>
      </c>
      <c r="I733" s="80" t="b">
        <v>0</v>
      </c>
      <c r="J733" s="80" t="b">
        <v>0</v>
      </c>
      <c r="K733" s="80" t="b">
        <v>0</v>
      </c>
      <c r="L733" s="80" t="b">
        <v>0</v>
      </c>
    </row>
    <row r="734" spans="1:12" ht="15">
      <c r="A734" s="81" t="s">
        <v>447</v>
      </c>
      <c r="B734" s="80" t="s">
        <v>497</v>
      </c>
      <c r="C734" s="80">
        <v>2</v>
      </c>
      <c r="D734" s="105">
        <v>0.004309343236493413</v>
      </c>
      <c r="E734" s="105">
        <v>1.6283889300503116</v>
      </c>
      <c r="F734" s="80" t="s">
        <v>3176</v>
      </c>
      <c r="G734" s="80" t="b">
        <v>0</v>
      </c>
      <c r="H734" s="80" t="b">
        <v>0</v>
      </c>
      <c r="I734" s="80" t="b">
        <v>0</v>
      </c>
      <c r="J734" s="80" t="b">
        <v>0</v>
      </c>
      <c r="K734" s="80" t="b">
        <v>0</v>
      </c>
      <c r="L734" s="80" t="b">
        <v>0</v>
      </c>
    </row>
    <row r="735" spans="1:12" ht="15">
      <c r="A735" s="81" t="s">
        <v>542</v>
      </c>
      <c r="B735" s="80" t="s">
        <v>3732</v>
      </c>
      <c r="C735" s="80">
        <v>2</v>
      </c>
      <c r="D735" s="105">
        <v>0.004309343236493413</v>
      </c>
      <c r="E735" s="105">
        <v>2.0086001717619175</v>
      </c>
      <c r="F735" s="80" t="s">
        <v>3176</v>
      </c>
      <c r="G735" s="80" t="b">
        <v>0</v>
      </c>
      <c r="H735" s="80" t="b">
        <v>0</v>
      </c>
      <c r="I735" s="80" t="b">
        <v>0</v>
      </c>
      <c r="J735" s="80" t="b">
        <v>0</v>
      </c>
      <c r="K735" s="80" t="b">
        <v>0</v>
      </c>
      <c r="L735" s="80" t="b">
        <v>0</v>
      </c>
    </row>
    <row r="736" spans="1:12" ht="15">
      <c r="A736" s="81" t="s">
        <v>3732</v>
      </c>
      <c r="B736" s="80" t="s">
        <v>3278</v>
      </c>
      <c r="C736" s="80">
        <v>2</v>
      </c>
      <c r="D736" s="105">
        <v>0.004309343236493413</v>
      </c>
      <c r="E736" s="105">
        <v>1.9294189257142926</v>
      </c>
      <c r="F736" s="80" t="s">
        <v>3176</v>
      </c>
      <c r="G736" s="80" t="b">
        <v>0</v>
      </c>
      <c r="H736" s="80" t="b">
        <v>0</v>
      </c>
      <c r="I736" s="80" t="b">
        <v>0</v>
      </c>
      <c r="J736" s="80" t="b">
        <v>0</v>
      </c>
      <c r="K736" s="80" t="b">
        <v>0</v>
      </c>
      <c r="L736" s="80" t="b">
        <v>0</v>
      </c>
    </row>
    <row r="737" spans="1:12" ht="15">
      <c r="A737" s="81" t="s">
        <v>3278</v>
      </c>
      <c r="B737" s="80" t="s">
        <v>3733</v>
      </c>
      <c r="C737" s="80">
        <v>2</v>
      </c>
      <c r="D737" s="105">
        <v>0.004309343236493413</v>
      </c>
      <c r="E737" s="105">
        <v>2.0086001717619175</v>
      </c>
      <c r="F737" s="80" t="s">
        <v>3176</v>
      </c>
      <c r="G737" s="80" t="b">
        <v>0</v>
      </c>
      <c r="H737" s="80" t="b">
        <v>0</v>
      </c>
      <c r="I737" s="80" t="b">
        <v>0</v>
      </c>
      <c r="J737" s="80" t="b">
        <v>0</v>
      </c>
      <c r="K737" s="80" t="b">
        <v>0</v>
      </c>
      <c r="L737" s="80" t="b">
        <v>0</v>
      </c>
    </row>
    <row r="738" spans="1:12" ht="15">
      <c r="A738" s="81" t="s">
        <v>3733</v>
      </c>
      <c r="B738" s="80" t="s">
        <v>3734</v>
      </c>
      <c r="C738" s="80">
        <v>2</v>
      </c>
      <c r="D738" s="105">
        <v>0.004309343236493413</v>
      </c>
      <c r="E738" s="105">
        <v>2.406540180433955</v>
      </c>
      <c r="F738" s="80" t="s">
        <v>3176</v>
      </c>
      <c r="G738" s="80" t="b">
        <v>0</v>
      </c>
      <c r="H738" s="80" t="b">
        <v>0</v>
      </c>
      <c r="I738" s="80" t="b">
        <v>0</v>
      </c>
      <c r="J738" s="80" t="b">
        <v>0</v>
      </c>
      <c r="K738" s="80" t="b">
        <v>0</v>
      </c>
      <c r="L738" s="80" t="b">
        <v>0</v>
      </c>
    </row>
    <row r="739" spans="1:12" ht="15">
      <c r="A739" s="81" t="s">
        <v>3734</v>
      </c>
      <c r="B739" s="80" t="s">
        <v>3735</v>
      </c>
      <c r="C739" s="80">
        <v>2</v>
      </c>
      <c r="D739" s="105">
        <v>0.004309343236493413</v>
      </c>
      <c r="E739" s="105">
        <v>2.406540180433955</v>
      </c>
      <c r="F739" s="80" t="s">
        <v>3176</v>
      </c>
      <c r="G739" s="80" t="b">
        <v>0</v>
      </c>
      <c r="H739" s="80" t="b">
        <v>0</v>
      </c>
      <c r="I739" s="80" t="b">
        <v>0</v>
      </c>
      <c r="J739" s="80" t="b">
        <v>0</v>
      </c>
      <c r="K739" s="80" t="b">
        <v>0</v>
      </c>
      <c r="L739" s="80" t="b">
        <v>0</v>
      </c>
    </row>
    <row r="740" spans="1:12" ht="15">
      <c r="A740" s="81" t="s">
        <v>3735</v>
      </c>
      <c r="B740" s="80" t="s">
        <v>3351</v>
      </c>
      <c r="C740" s="80">
        <v>2</v>
      </c>
      <c r="D740" s="105">
        <v>0.004309343236493413</v>
      </c>
      <c r="E740" s="105">
        <v>2.406540180433955</v>
      </c>
      <c r="F740" s="80" t="s">
        <v>3176</v>
      </c>
      <c r="G740" s="80" t="b">
        <v>0</v>
      </c>
      <c r="H740" s="80" t="b">
        <v>0</v>
      </c>
      <c r="I740" s="80" t="b">
        <v>0</v>
      </c>
      <c r="J740" s="80" t="b">
        <v>0</v>
      </c>
      <c r="K740" s="80" t="b">
        <v>0</v>
      </c>
      <c r="L740" s="80" t="b">
        <v>0</v>
      </c>
    </row>
    <row r="741" spans="1:12" ht="15">
      <c r="A741" s="81" t="s">
        <v>3351</v>
      </c>
      <c r="B741" s="80" t="s">
        <v>3402</v>
      </c>
      <c r="C741" s="80">
        <v>2</v>
      </c>
      <c r="D741" s="105">
        <v>0.004309343236493413</v>
      </c>
      <c r="E741" s="105">
        <v>2.406540180433955</v>
      </c>
      <c r="F741" s="80" t="s">
        <v>3176</v>
      </c>
      <c r="G741" s="80" t="b">
        <v>0</v>
      </c>
      <c r="H741" s="80" t="b">
        <v>0</v>
      </c>
      <c r="I741" s="80" t="b">
        <v>0</v>
      </c>
      <c r="J741" s="80" t="b">
        <v>0</v>
      </c>
      <c r="K741" s="80" t="b">
        <v>0</v>
      </c>
      <c r="L741" s="80" t="b">
        <v>0</v>
      </c>
    </row>
    <row r="742" spans="1:12" ht="15">
      <c r="A742" s="81" t="s">
        <v>3402</v>
      </c>
      <c r="B742" s="80" t="s">
        <v>3280</v>
      </c>
      <c r="C742" s="80">
        <v>2</v>
      </c>
      <c r="D742" s="105">
        <v>0.004309343236493413</v>
      </c>
      <c r="E742" s="105">
        <v>2.406540180433955</v>
      </c>
      <c r="F742" s="80" t="s">
        <v>3176</v>
      </c>
      <c r="G742" s="80" t="b">
        <v>0</v>
      </c>
      <c r="H742" s="80" t="b">
        <v>0</v>
      </c>
      <c r="I742" s="80" t="b">
        <v>0</v>
      </c>
      <c r="J742" s="80" t="b">
        <v>0</v>
      </c>
      <c r="K742" s="80" t="b">
        <v>0</v>
      </c>
      <c r="L742" s="80" t="b">
        <v>0</v>
      </c>
    </row>
    <row r="743" spans="1:12" ht="15">
      <c r="A743" s="81" t="s">
        <v>3280</v>
      </c>
      <c r="B743" s="80" t="s">
        <v>3736</v>
      </c>
      <c r="C743" s="80">
        <v>2</v>
      </c>
      <c r="D743" s="105">
        <v>0.004309343236493413</v>
      </c>
      <c r="E743" s="105">
        <v>2.406540180433955</v>
      </c>
      <c r="F743" s="80" t="s">
        <v>3176</v>
      </c>
      <c r="G743" s="80" t="b">
        <v>0</v>
      </c>
      <c r="H743" s="80" t="b">
        <v>0</v>
      </c>
      <c r="I743" s="80" t="b">
        <v>0</v>
      </c>
      <c r="J743" s="80" t="b">
        <v>0</v>
      </c>
      <c r="K743" s="80" t="b">
        <v>0</v>
      </c>
      <c r="L743" s="80" t="b">
        <v>0</v>
      </c>
    </row>
    <row r="744" spans="1:12" ht="15">
      <c r="A744" s="81" t="s">
        <v>3736</v>
      </c>
      <c r="B744" s="80" t="s">
        <v>3266</v>
      </c>
      <c r="C744" s="80">
        <v>2</v>
      </c>
      <c r="D744" s="105">
        <v>0.004309343236493413</v>
      </c>
      <c r="E744" s="105">
        <v>1.5314789170422551</v>
      </c>
      <c r="F744" s="80" t="s">
        <v>3176</v>
      </c>
      <c r="G744" s="80" t="b">
        <v>0</v>
      </c>
      <c r="H744" s="80" t="b">
        <v>0</v>
      </c>
      <c r="I744" s="80" t="b">
        <v>0</v>
      </c>
      <c r="J744" s="80" t="b">
        <v>0</v>
      </c>
      <c r="K744" s="80" t="b">
        <v>0</v>
      </c>
      <c r="L744" s="80" t="b">
        <v>0</v>
      </c>
    </row>
    <row r="745" spans="1:12" ht="15">
      <c r="A745" s="81" t="s">
        <v>3435</v>
      </c>
      <c r="B745" s="80" t="s">
        <v>3260</v>
      </c>
      <c r="C745" s="80">
        <v>2</v>
      </c>
      <c r="D745" s="105">
        <v>0.004309343236493413</v>
      </c>
      <c r="E745" s="105">
        <v>1.069080919143299</v>
      </c>
      <c r="F745" s="80" t="s">
        <v>3176</v>
      </c>
      <c r="G745" s="80" t="b">
        <v>0</v>
      </c>
      <c r="H745" s="80" t="b">
        <v>0</v>
      </c>
      <c r="I745" s="80" t="b">
        <v>0</v>
      </c>
      <c r="J745" s="80" t="b">
        <v>0</v>
      </c>
      <c r="K745" s="80" t="b">
        <v>0</v>
      </c>
      <c r="L745" s="80" t="b">
        <v>0</v>
      </c>
    </row>
    <row r="746" spans="1:12" ht="15">
      <c r="A746" s="81" t="s">
        <v>545</v>
      </c>
      <c r="B746" s="80" t="s">
        <v>532</v>
      </c>
      <c r="C746" s="80">
        <v>2</v>
      </c>
      <c r="D746" s="105">
        <v>0.004309343236493413</v>
      </c>
      <c r="E746" s="105">
        <v>1.8624721360836796</v>
      </c>
      <c r="F746" s="80" t="s">
        <v>3176</v>
      </c>
      <c r="G746" s="80" t="b">
        <v>0</v>
      </c>
      <c r="H746" s="80" t="b">
        <v>0</v>
      </c>
      <c r="I746" s="80" t="b">
        <v>0</v>
      </c>
      <c r="J746" s="80" t="b">
        <v>0</v>
      </c>
      <c r="K746" s="80" t="b">
        <v>0</v>
      </c>
      <c r="L746" s="80" t="b">
        <v>0</v>
      </c>
    </row>
    <row r="747" spans="1:12" ht="15">
      <c r="A747" s="81" t="s">
        <v>532</v>
      </c>
      <c r="B747" s="80" t="s">
        <v>3696</v>
      </c>
      <c r="C747" s="80">
        <v>2</v>
      </c>
      <c r="D747" s="105">
        <v>0.004309343236493413</v>
      </c>
      <c r="E747" s="105">
        <v>1.8624721360836796</v>
      </c>
      <c r="F747" s="80" t="s">
        <v>3176</v>
      </c>
      <c r="G747" s="80" t="b">
        <v>0</v>
      </c>
      <c r="H747" s="80" t="b">
        <v>0</v>
      </c>
      <c r="I747" s="80" t="b">
        <v>0</v>
      </c>
      <c r="J747" s="80" t="b">
        <v>0</v>
      </c>
      <c r="K747" s="80" t="b">
        <v>0</v>
      </c>
      <c r="L747" s="80" t="b">
        <v>0</v>
      </c>
    </row>
    <row r="748" spans="1:12" ht="15">
      <c r="A748" s="81" t="s">
        <v>3696</v>
      </c>
      <c r="B748" s="80" t="s">
        <v>3697</v>
      </c>
      <c r="C748" s="80">
        <v>2</v>
      </c>
      <c r="D748" s="105">
        <v>0.004309343236493413</v>
      </c>
      <c r="E748" s="105">
        <v>2.406540180433955</v>
      </c>
      <c r="F748" s="80" t="s">
        <v>3176</v>
      </c>
      <c r="G748" s="80" t="b">
        <v>0</v>
      </c>
      <c r="H748" s="80" t="b">
        <v>0</v>
      </c>
      <c r="I748" s="80" t="b">
        <v>0</v>
      </c>
      <c r="J748" s="80" t="b">
        <v>0</v>
      </c>
      <c r="K748" s="80" t="b">
        <v>0</v>
      </c>
      <c r="L748" s="80" t="b">
        <v>0</v>
      </c>
    </row>
    <row r="749" spans="1:12" ht="15">
      <c r="A749" s="81" t="s">
        <v>3697</v>
      </c>
      <c r="B749" s="80" t="s">
        <v>3698</v>
      </c>
      <c r="C749" s="80">
        <v>2</v>
      </c>
      <c r="D749" s="105">
        <v>0.004309343236493413</v>
      </c>
      <c r="E749" s="105">
        <v>2.406540180433955</v>
      </c>
      <c r="F749" s="80" t="s">
        <v>3176</v>
      </c>
      <c r="G749" s="80" t="b">
        <v>0</v>
      </c>
      <c r="H749" s="80" t="b">
        <v>0</v>
      </c>
      <c r="I749" s="80" t="b">
        <v>0</v>
      </c>
      <c r="J749" s="80" t="b">
        <v>0</v>
      </c>
      <c r="K749" s="80" t="b">
        <v>0</v>
      </c>
      <c r="L749" s="80" t="b">
        <v>0</v>
      </c>
    </row>
    <row r="750" spans="1:12" ht="15">
      <c r="A750" s="81" t="s">
        <v>3698</v>
      </c>
      <c r="B750" s="80" t="s">
        <v>3536</v>
      </c>
      <c r="C750" s="80">
        <v>2</v>
      </c>
      <c r="D750" s="105">
        <v>0.004309343236493413</v>
      </c>
      <c r="E750" s="105">
        <v>2.230448921378274</v>
      </c>
      <c r="F750" s="80" t="s">
        <v>3176</v>
      </c>
      <c r="G750" s="80" t="b">
        <v>0</v>
      </c>
      <c r="H750" s="80" t="b">
        <v>0</v>
      </c>
      <c r="I750" s="80" t="b">
        <v>0</v>
      </c>
      <c r="J750" s="80" t="b">
        <v>0</v>
      </c>
      <c r="K750" s="80" t="b">
        <v>0</v>
      </c>
      <c r="L750" s="80" t="b">
        <v>0</v>
      </c>
    </row>
    <row r="751" spans="1:12" ht="15">
      <c r="A751" s="81" t="s">
        <v>3536</v>
      </c>
      <c r="B751" s="80" t="s">
        <v>3541</v>
      </c>
      <c r="C751" s="80">
        <v>2</v>
      </c>
      <c r="D751" s="105">
        <v>0.004309343236493413</v>
      </c>
      <c r="E751" s="105">
        <v>2.0543576623225928</v>
      </c>
      <c r="F751" s="80" t="s">
        <v>3176</v>
      </c>
      <c r="G751" s="80" t="b">
        <v>0</v>
      </c>
      <c r="H751" s="80" t="b">
        <v>0</v>
      </c>
      <c r="I751" s="80" t="b">
        <v>0</v>
      </c>
      <c r="J751" s="80" t="b">
        <v>0</v>
      </c>
      <c r="K751" s="80" t="b">
        <v>0</v>
      </c>
      <c r="L751" s="80" t="b">
        <v>0</v>
      </c>
    </row>
    <row r="752" spans="1:12" ht="15">
      <c r="A752" s="81" t="s">
        <v>3436</v>
      </c>
      <c r="B752" s="80" t="s">
        <v>3310</v>
      </c>
      <c r="C752" s="80">
        <v>2</v>
      </c>
      <c r="D752" s="105">
        <v>0.004309343236493413</v>
      </c>
      <c r="E752" s="105">
        <v>1.36514749527573</v>
      </c>
      <c r="F752" s="80" t="s">
        <v>3176</v>
      </c>
      <c r="G752" s="80" t="b">
        <v>0</v>
      </c>
      <c r="H752" s="80" t="b">
        <v>0</v>
      </c>
      <c r="I752" s="80" t="b">
        <v>0</v>
      </c>
      <c r="J752" s="80" t="b">
        <v>0</v>
      </c>
      <c r="K752" s="80" t="b">
        <v>0</v>
      </c>
      <c r="L752" s="80" t="b">
        <v>0</v>
      </c>
    </row>
    <row r="753" spans="1:12" ht="15">
      <c r="A753" s="81" t="s">
        <v>3431</v>
      </c>
      <c r="B753" s="80" t="s">
        <v>3699</v>
      </c>
      <c r="C753" s="80">
        <v>2</v>
      </c>
      <c r="D753" s="105">
        <v>0.004309343236493413</v>
      </c>
      <c r="E753" s="105">
        <v>2.105510184769974</v>
      </c>
      <c r="F753" s="80" t="s">
        <v>3176</v>
      </c>
      <c r="G753" s="80" t="b">
        <v>0</v>
      </c>
      <c r="H753" s="80" t="b">
        <v>0</v>
      </c>
      <c r="I753" s="80" t="b">
        <v>0</v>
      </c>
      <c r="J753" s="80" t="b">
        <v>0</v>
      </c>
      <c r="K753" s="80" t="b">
        <v>0</v>
      </c>
      <c r="L753" s="80" t="b">
        <v>0</v>
      </c>
    </row>
    <row r="754" spans="1:12" ht="15">
      <c r="A754" s="81" t="s">
        <v>3699</v>
      </c>
      <c r="B754" s="80" t="s">
        <v>3538</v>
      </c>
      <c r="C754" s="80">
        <v>2</v>
      </c>
      <c r="D754" s="105">
        <v>0.004309343236493413</v>
      </c>
      <c r="E754" s="105">
        <v>2.230448921378274</v>
      </c>
      <c r="F754" s="80" t="s">
        <v>3176</v>
      </c>
      <c r="G754" s="80" t="b">
        <v>0</v>
      </c>
      <c r="H754" s="80" t="b">
        <v>0</v>
      </c>
      <c r="I754" s="80" t="b">
        <v>0</v>
      </c>
      <c r="J754" s="80" t="b">
        <v>0</v>
      </c>
      <c r="K754" s="80" t="b">
        <v>0</v>
      </c>
      <c r="L754" s="80" t="b">
        <v>0</v>
      </c>
    </row>
    <row r="755" spans="1:12" ht="15">
      <c r="A755" s="81" t="s">
        <v>3538</v>
      </c>
      <c r="B755" s="80" t="s">
        <v>3391</v>
      </c>
      <c r="C755" s="80">
        <v>2</v>
      </c>
      <c r="D755" s="105">
        <v>0.004309343236493413</v>
      </c>
      <c r="E755" s="105">
        <v>1.8325089127062364</v>
      </c>
      <c r="F755" s="80" t="s">
        <v>3176</v>
      </c>
      <c r="G755" s="80" t="b">
        <v>0</v>
      </c>
      <c r="H755" s="80" t="b">
        <v>0</v>
      </c>
      <c r="I755" s="80" t="b">
        <v>0</v>
      </c>
      <c r="J755" s="80" t="b">
        <v>0</v>
      </c>
      <c r="K755" s="80" t="b">
        <v>0</v>
      </c>
      <c r="L755" s="80" t="b">
        <v>0</v>
      </c>
    </row>
    <row r="756" spans="1:12" ht="15">
      <c r="A756" s="81" t="s">
        <v>3393</v>
      </c>
      <c r="B756" s="80" t="s">
        <v>3433</v>
      </c>
      <c r="C756" s="80">
        <v>2</v>
      </c>
      <c r="D756" s="105">
        <v>0.004309343236493413</v>
      </c>
      <c r="E756" s="105">
        <v>1.7075701760979365</v>
      </c>
      <c r="F756" s="80" t="s">
        <v>3176</v>
      </c>
      <c r="G756" s="80" t="b">
        <v>0</v>
      </c>
      <c r="H756" s="80" t="b">
        <v>0</v>
      </c>
      <c r="I756" s="80" t="b">
        <v>0</v>
      </c>
      <c r="J756" s="80" t="b">
        <v>0</v>
      </c>
      <c r="K756" s="80" t="b">
        <v>0</v>
      </c>
      <c r="L756" s="80" t="b">
        <v>0</v>
      </c>
    </row>
    <row r="757" spans="1:12" ht="15">
      <c r="A757" s="81" t="s">
        <v>3433</v>
      </c>
      <c r="B757" s="80" t="s">
        <v>3376</v>
      </c>
      <c r="C757" s="80">
        <v>2</v>
      </c>
      <c r="D757" s="105">
        <v>0.004309343236493413</v>
      </c>
      <c r="E757" s="105">
        <v>1.6283889300503116</v>
      </c>
      <c r="F757" s="80" t="s">
        <v>3176</v>
      </c>
      <c r="G757" s="80" t="b">
        <v>0</v>
      </c>
      <c r="H757" s="80" t="b">
        <v>0</v>
      </c>
      <c r="I757" s="80" t="b">
        <v>0</v>
      </c>
      <c r="J757" s="80" t="b">
        <v>0</v>
      </c>
      <c r="K757" s="80" t="b">
        <v>0</v>
      </c>
      <c r="L757" s="80" t="b">
        <v>0</v>
      </c>
    </row>
    <row r="758" spans="1:12" ht="15">
      <c r="A758" s="81" t="s">
        <v>3376</v>
      </c>
      <c r="B758" s="80" t="s">
        <v>3266</v>
      </c>
      <c r="C758" s="80">
        <v>2</v>
      </c>
      <c r="D758" s="105">
        <v>0.004309343236493413</v>
      </c>
      <c r="E758" s="105">
        <v>1.0543576623225928</v>
      </c>
      <c r="F758" s="80" t="s">
        <v>3176</v>
      </c>
      <c r="G758" s="80" t="b">
        <v>0</v>
      </c>
      <c r="H758" s="80" t="b">
        <v>0</v>
      </c>
      <c r="I758" s="80" t="b">
        <v>0</v>
      </c>
      <c r="J758" s="80" t="b">
        <v>0</v>
      </c>
      <c r="K758" s="80" t="b">
        <v>0</v>
      </c>
      <c r="L758" s="80" t="b">
        <v>0</v>
      </c>
    </row>
    <row r="759" spans="1:12" ht="15">
      <c r="A759" s="81" t="s">
        <v>3266</v>
      </c>
      <c r="B759" s="80" t="s">
        <v>3349</v>
      </c>
      <c r="C759" s="80">
        <v>2</v>
      </c>
      <c r="D759" s="105">
        <v>0.004309343236493413</v>
      </c>
      <c r="E759" s="105">
        <v>0.9915668324631371</v>
      </c>
      <c r="F759" s="80" t="s">
        <v>3176</v>
      </c>
      <c r="G759" s="80" t="b">
        <v>0</v>
      </c>
      <c r="H759" s="80" t="b">
        <v>0</v>
      </c>
      <c r="I759" s="80" t="b">
        <v>0</v>
      </c>
      <c r="J759" s="80" t="b">
        <v>0</v>
      </c>
      <c r="K759" s="80" t="b">
        <v>0</v>
      </c>
      <c r="L759" s="80" t="b">
        <v>0</v>
      </c>
    </row>
    <row r="760" spans="1:12" ht="15">
      <c r="A760" s="81" t="s">
        <v>3349</v>
      </c>
      <c r="B760" s="80" t="s">
        <v>3288</v>
      </c>
      <c r="C760" s="80">
        <v>2</v>
      </c>
      <c r="D760" s="105">
        <v>0.004309343236493413</v>
      </c>
      <c r="E760" s="105">
        <v>0.9330532103693868</v>
      </c>
      <c r="F760" s="80" t="s">
        <v>3176</v>
      </c>
      <c r="G760" s="80" t="b">
        <v>0</v>
      </c>
      <c r="H760" s="80" t="b">
        <v>0</v>
      </c>
      <c r="I760" s="80" t="b">
        <v>0</v>
      </c>
      <c r="J760" s="80" t="b">
        <v>0</v>
      </c>
      <c r="K760" s="80" t="b">
        <v>0</v>
      </c>
      <c r="L760" s="80" t="b">
        <v>0</v>
      </c>
    </row>
    <row r="761" spans="1:12" ht="15">
      <c r="A761" s="81" t="s">
        <v>3683</v>
      </c>
      <c r="B761" s="80" t="s">
        <v>3289</v>
      </c>
      <c r="C761" s="80">
        <v>2</v>
      </c>
      <c r="D761" s="105">
        <v>0.005426337654541581</v>
      </c>
      <c r="E761" s="105">
        <v>1.8044801891059927</v>
      </c>
      <c r="F761" s="80" t="s">
        <v>3176</v>
      </c>
      <c r="G761" s="80" t="b">
        <v>0</v>
      </c>
      <c r="H761" s="80" t="b">
        <v>0</v>
      </c>
      <c r="I761" s="80" t="b">
        <v>0</v>
      </c>
      <c r="J761" s="80" t="b">
        <v>0</v>
      </c>
      <c r="K761" s="80" t="b">
        <v>1</v>
      </c>
      <c r="L761" s="80" t="b">
        <v>0</v>
      </c>
    </row>
    <row r="762" spans="1:12" ht="15">
      <c r="A762" s="81" t="s">
        <v>3675</v>
      </c>
      <c r="B762" s="80" t="s">
        <v>3432</v>
      </c>
      <c r="C762" s="80">
        <v>2</v>
      </c>
      <c r="D762" s="105">
        <v>0.004309343236493413</v>
      </c>
      <c r="E762" s="105">
        <v>2.105510184769974</v>
      </c>
      <c r="F762" s="80" t="s">
        <v>3176</v>
      </c>
      <c r="G762" s="80" t="b">
        <v>0</v>
      </c>
      <c r="H762" s="80" t="b">
        <v>0</v>
      </c>
      <c r="I762" s="80" t="b">
        <v>0</v>
      </c>
      <c r="J762" s="80" t="b">
        <v>0</v>
      </c>
      <c r="K762" s="80" t="b">
        <v>0</v>
      </c>
      <c r="L762" s="80" t="b">
        <v>0</v>
      </c>
    </row>
    <row r="763" spans="1:12" ht="15">
      <c r="A763" s="81" t="s">
        <v>3543</v>
      </c>
      <c r="B763" s="80" t="s">
        <v>3310</v>
      </c>
      <c r="C763" s="80">
        <v>2</v>
      </c>
      <c r="D763" s="105">
        <v>0.004309343236493413</v>
      </c>
      <c r="E763" s="105">
        <v>1.49008623188403</v>
      </c>
      <c r="F763" s="80" t="s">
        <v>3176</v>
      </c>
      <c r="G763" s="80" t="b">
        <v>0</v>
      </c>
      <c r="H763" s="80" t="b">
        <v>1</v>
      </c>
      <c r="I763" s="80" t="b">
        <v>0</v>
      </c>
      <c r="J763" s="80" t="b">
        <v>0</v>
      </c>
      <c r="K763" s="80" t="b">
        <v>0</v>
      </c>
      <c r="L763" s="80" t="b">
        <v>0</v>
      </c>
    </row>
    <row r="764" spans="1:12" ht="15">
      <c r="A764" s="81" t="s">
        <v>3260</v>
      </c>
      <c r="B764" s="80" t="s">
        <v>3288</v>
      </c>
      <c r="C764" s="80">
        <v>2</v>
      </c>
      <c r="D764" s="105">
        <v>0.004309343236493413</v>
      </c>
      <c r="E764" s="105">
        <v>0.6020599913279624</v>
      </c>
      <c r="F764" s="80" t="s">
        <v>3176</v>
      </c>
      <c r="G764" s="80" t="b">
        <v>0</v>
      </c>
      <c r="H764" s="80" t="b">
        <v>0</v>
      </c>
      <c r="I764" s="80" t="b">
        <v>0</v>
      </c>
      <c r="J764" s="80" t="b">
        <v>0</v>
      </c>
      <c r="K764" s="80" t="b">
        <v>0</v>
      </c>
      <c r="L764" s="80" t="b">
        <v>0</v>
      </c>
    </row>
    <row r="765" spans="1:12" ht="15">
      <c r="A765" s="81" t="s">
        <v>3376</v>
      </c>
      <c r="B765" s="80" t="s">
        <v>3678</v>
      </c>
      <c r="C765" s="80">
        <v>2</v>
      </c>
      <c r="D765" s="105">
        <v>0.004309343236493413</v>
      </c>
      <c r="E765" s="105">
        <v>1.9294189257142926</v>
      </c>
      <c r="F765" s="80" t="s">
        <v>3176</v>
      </c>
      <c r="G765" s="80" t="b">
        <v>0</v>
      </c>
      <c r="H765" s="80" t="b">
        <v>0</v>
      </c>
      <c r="I765" s="80" t="b">
        <v>0</v>
      </c>
      <c r="J765" s="80" t="b">
        <v>0</v>
      </c>
      <c r="K765" s="80" t="b">
        <v>0</v>
      </c>
      <c r="L765" s="80" t="b">
        <v>0</v>
      </c>
    </row>
    <row r="766" spans="1:12" ht="15">
      <c r="A766" s="81" t="s">
        <v>3678</v>
      </c>
      <c r="B766" s="80" t="s">
        <v>3540</v>
      </c>
      <c r="C766" s="80">
        <v>2</v>
      </c>
      <c r="D766" s="105">
        <v>0.004309343236493413</v>
      </c>
      <c r="E766" s="105">
        <v>2.230448921378274</v>
      </c>
      <c r="F766" s="80" t="s">
        <v>3176</v>
      </c>
      <c r="G766" s="80" t="b">
        <v>0</v>
      </c>
      <c r="H766" s="80" t="b">
        <v>0</v>
      </c>
      <c r="I766" s="80" t="b">
        <v>0</v>
      </c>
      <c r="J766" s="80" t="b">
        <v>0</v>
      </c>
      <c r="K766" s="80" t="b">
        <v>0</v>
      </c>
      <c r="L766" s="80" t="b">
        <v>0</v>
      </c>
    </row>
    <row r="767" spans="1:12" ht="15">
      <c r="A767" s="81" t="s">
        <v>3540</v>
      </c>
      <c r="B767" s="80" t="s">
        <v>3535</v>
      </c>
      <c r="C767" s="80">
        <v>2</v>
      </c>
      <c r="D767" s="105">
        <v>0.004309343236493413</v>
      </c>
      <c r="E767" s="105">
        <v>2.230448921378274</v>
      </c>
      <c r="F767" s="80" t="s">
        <v>3176</v>
      </c>
      <c r="G767" s="80" t="b">
        <v>0</v>
      </c>
      <c r="H767" s="80" t="b">
        <v>0</v>
      </c>
      <c r="I767" s="80" t="b">
        <v>0</v>
      </c>
      <c r="J767" s="80" t="b">
        <v>0</v>
      </c>
      <c r="K767" s="80" t="b">
        <v>0</v>
      </c>
      <c r="L767" s="80" t="b">
        <v>0</v>
      </c>
    </row>
    <row r="768" spans="1:12" ht="15">
      <c r="A768" s="81" t="s">
        <v>3535</v>
      </c>
      <c r="B768" s="80" t="s">
        <v>3679</v>
      </c>
      <c r="C768" s="80">
        <v>2</v>
      </c>
      <c r="D768" s="105">
        <v>0.004309343236493413</v>
      </c>
      <c r="E768" s="105">
        <v>2.406540180433955</v>
      </c>
      <c r="F768" s="80" t="s">
        <v>3176</v>
      </c>
      <c r="G768" s="80" t="b">
        <v>0</v>
      </c>
      <c r="H768" s="80" t="b">
        <v>0</v>
      </c>
      <c r="I768" s="80" t="b">
        <v>0</v>
      </c>
      <c r="J768" s="80" t="b">
        <v>0</v>
      </c>
      <c r="K768" s="80" t="b">
        <v>0</v>
      </c>
      <c r="L768" s="80" t="b">
        <v>0</v>
      </c>
    </row>
    <row r="769" spans="1:12" ht="15">
      <c r="A769" s="81" t="s">
        <v>3679</v>
      </c>
      <c r="B769" s="80" t="s">
        <v>3680</v>
      </c>
      <c r="C769" s="80">
        <v>2</v>
      </c>
      <c r="D769" s="105">
        <v>0.004309343236493413</v>
      </c>
      <c r="E769" s="105">
        <v>2.406540180433955</v>
      </c>
      <c r="F769" s="80" t="s">
        <v>3176</v>
      </c>
      <c r="G769" s="80" t="b">
        <v>0</v>
      </c>
      <c r="H769" s="80" t="b">
        <v>0</v>
      </c>
      <c r="I769" s="80" t="b">
        <v>0</v>
      </c>
      <c r="J769" s="80" t="b">
        <v>0</v>
      </c>
      <c r="K769" s="80" t="b">
        <v>0</v>
      </c>
      <c r="L769" s="80" t="b">
        <v>0</v>
      </c>
    </row>
    <row r="770" spans="1:12" ht="15">
      <c r="A770" s="81" t="s">
        <v>3680</v>
      </c>
      <c r="B770" s="80" t="s">
        <v>3433</v>
      </c>
      <c r="C770" s="80">
        <v>2</v>
      </c>
      <c r="D770" s="105">
        <v>0.004309343236493413</v>
      </c>
      <c r="E770" s="105">
        <v>2.105510184769974</v>
      </c>
      <c r="F770" s="80" t="s">
        <v>3176</v>
      </c>
      <c r="G770" s="80" t="b">
        <v>0</v>
      </c>
      <c r="H770" s="80" t="b">
        <v>0</v>
      </c>
      <c r="I770" s="80" t="b">
        <v>0</v>
      </c>
      <c r="J770" s="80" t="b">
        <v>0</v>
      </c>
      <c r="K770" s="80" t="b">
        <v>0</v>
      </c>
      <c r="L770" s="80" t="b">
        <v>0</v>
      </c>
    </row>
    <row r="771" spans="1:12" ht="15">
      <c r="A771" s="81" t="s">
        <v>3433</v>
      </c>
      <c r="B771" s="80" t="s">
        <v>3434</v>
      </c>
      <c r="C771" s="80">
        <v>2</v>
      </c>
      <c r="D771" s="105">
        <v>0.004309343236493413</v>
      </c>
      <c r="E771" s="105">
        <v>2.105510184769974</v>
      </c>
      <c r="F771" s="80" t="s">
        <v>3176</v>
      </c>
      <c r="G771" s="80" t="b">
        <v>0</v>
      </c>
      <c r="H771" s="80" t="b">
        <v>0</v>
      </c>
      <c r="I771" s="80" t="b">
        <v>0</v>
      </c>
      <c r="J771" s="80" t="b">
        <v>0</v>
      </c>
      <c r="K771" s="80" t="b">
        <v>0</v>
      </c>
      <c r="L771" s="80" t="b">
        <v>0</v>
      </c>
    </row>
    <row r="772" spans="1:12" ht="15">
      <c r="A772" s="81" t="s">
        <v>3434</v>
      </c>
      <c r="B772" s="80" t="s">
        <v>3266</v>
      </c>
      <c r="C772" s="80">
        <v>2</v>
      </c>
      <c r="D772" s="105">
        <v>0.004309343236493413</v>
      </c>
      <c r="E772" s="105">
        <v>1.5314789170422551</v>
      </c>
      <c r="F772" s="80" t="s">
        <v>3176</v>
      </c>
      <c r="G772" s="80" t="b">
        <v>0</v>
      </c>
      <c r="H772" s="80" t="b">
        <v>0</v>
      </c>
      <c r="I772" s="80" t="b">
        <v>0</v>
      </c>
      <c r="J772" s="80" t="b">
        <v>0</v>
      </c>
      <c r="K772" s="80" t="b">
        <v>0</v>
      </c>
      <c r="L772" s="80" t="b">
        <v>0</v>
      </c>
    </row>
    <row r="773" spans="1:12" ht="15">
      <c r="A773" s="81" t="s">
        <v>3436</v>
      </c>
      <c r="B773" s="80" t="s">
        <v>3311</v>
      </c>
      <c r="C773" s="80">
        <v>2</v>
      </c>
      <c r="D773" s="105">
        <v>0.004309343236493413</v>
      </c>
      <c r="E773" s="105">
        <v>1.4522976709946303</v>
      </c>
      <c r="F773" s="80" t="s">
        <v>3176</v>
      </c>
      <c r="G773" s="80" t="b">
        <v>0</v>
      </c>
      <c r="H773" s="80" t="b">
        <v>0</v>
      </c>
      <c r="I773" s="80" t="b">
        <v>0</v>
      </c>
      <c r="J773" s="80" t="b">
        <v>0</v>
      </c>
      <c r="K773" s="80" t="b">
        <v>0</v>
      </c>
      <c r="L773" s="80" t="b">
        <v>0</v>
      </c>
    </row>
    <row r="774" spans="1:12" ht="15">
      <c r="A774" s="81" t="s">
        <v>584</v>
      </c>
      <c r="B774" s="80" t="s">
        <v>3391</v>
      </c>
      <c r="C774" s="80">
        <v>2</v>
      </c>
      <c r="D774" s="105">
        <v>0.004309343236493413</v>
      </c>
      <c r="E774" s="105">
        <v>1.7075701760979365</v>
      </c>
      <c r="F774" s="80" t="s">
        <v>3176</v>
      </c>
      <c r="G774" s="80" t="b">
        <v>0</v>
      </c>
      <c r="H774" s="80" t="b">
        <v>0</v>
      </c>
      <c r="I774" s="80" t="b">
        <v>0</v>
      </c>
      <c r="J774" s="80" t="b">
        <v>0</v>
      </c>
      <c r="K774" s="80" t="b">
        <v>0</v>
      </c>
      <c r="L774" s="80" t="b">
        <v>0</v>
      </c>
    </row>
    <row r="775" spans="1:12" ht="15">
      <c r="A775" s="81" t="s">
        <v>3349</v>
      </c>
      <c r="B775" s="80" t="s">
        <v>3260</v>
      </c>
      <c r="C775" s="80">
        <v>2</v>
      </c>
      <c r="D775" s="105">
        <v>0.004309343236493413</v>
      </c>
      <c r="E775" s="105">
        <v>0.7011041338487047</v>
      </c>
      <c r="F775" s="80" t="s">
        <v>3176</v>
      </c>
      <c r="G775" s="80" t="b">
        <v>0</v>
      </c>
      <c r="H775" s="80" t="b">
        <v>0</v>
      </c>
      <c r="I775" s="80" t="b">
        <v>0</v>
      </c>
      <c r="J775" s="80" t="b">
        <v>0</v>
      </c>
      <c r="K775" s="80" t="b">
        <v>0</v>
      </c>
      <c r="L775" s="80" t="b">
        <v>0</v>
      </c>
    </row>
    <row r="776" spans="1:12" ht="15">
      <c r="A776" s="81" t="s">
        <v>494</v>
      </c>
      <c r="B776" s="80" t="s">
        <v>533</v>
      </c>
      <c r="C776" s="80">
        <v>2</v>
      </c>
      <c r="D776" s="105">
        <v>0.004309343236493413</v>
      </c>
      <c r="E776" s="105">
        <v>1.9294189257142926</v>
      </c>
      <c r="F776" s="80" t="s">
        <v>3176</v>
      </c>
      <c r="G776" s="80" t="b">
        <v>0</v>
      </c>
      <c r="H776" s="80" t="b">
        <v>0</v>
      </c>
      <c r="I776" s="80" t="b">
        <v>0</v>
      </c>
      <c r="J776" s="80" t="b">
        <v>0</v>
      </c>
      <c r="K776" s="80" t="b">
        <v>0</v>
      </c>
      <c r="L776" s="80" t="b">
        <v>0</v>
      </c>
    </row>
    <row r="777" spans="1:12" ht="15">
      <c r="A777" s="81" t="s">
        <v>542</v>
      </c>
      <c r="B777" s="80" t="s">
        <v>458</v>
      </c>
      <c r="C777" s="80">
        <v>2</v>
      </c>
      <c r="D777" s="105">
        <v>0.004309343236493413</v>
      </c>
      <c r="E777" s="105">
        <v>2.0086001717619175</v>
      </c>
      <c r="F777" s="80" t="s">
        <v>3176</v>
      </c>
      <c r="G777" s="80" t="b">
        <v>0</v>
      </c>
      <c r="H777" s="80" t="b">
        <v>0</v>
      </c>
      <c r="I777" s="80" t="b">
        <v>0</v>
      </c>
      <c r="J777" s="80" t="b">
        <v>0</v>
      </c>
      <c r="K777" s="80" t="b">
        <v>0</v>
      </c>
      <c r="L777" s="80" t="b">
        <v>0</v>
      </c>
    </row>
    <row r="778" spans="1:12" ht="15">
      <c r="A778" s="81" t="s">
        <v>3260</v>
      </c>
      <c r="B778" s="80" t="s">
        <v>3360</v>
      </c>
      <c r="C778" s="80">
        <v>2</v>
      </c>
      <c r="D778" s="105">
        <v>0.004309343236493413</v>
      </c>
      <c r="E778" s="105">
        <v>1.1335389083702174</v>
      </c>
      <c r="F778" s="80" t="s">
        <v>3176</v>
      </c>
      <c r="G778" s="80" t="b">
        <v>0</v>
      </c>
      <c r="H778" s="80" t="b">
        <v>0</v>
      </c>
      <c r="I778" s="80" t="b">
        <v>0</v>
      </c>
      <c r="J778" s="80" t="b">
        <v>0</v>
      </c>
      <c r="K778" s="80" t="b">
        <v>0</v>
      </c>
      <c r="L778" s="80" t="b">
        <v>0</v>
      </c>
    </row>
    <row r="779" spans="1:12" ht="15">
      <c r="A779" s="81" t="s">
        <v>447</v>
      </c>
      <c r="B779" s="80" t="s">
        <v>494</v>
      </c>
      <c r="C779" s="80">
        <v>2</v>
      </c>
      <c r="D779" s="105">
        <v>0.004309343236493413</v>
      </c>
      <c r="E779" s="105">
        <v>1.8044801891059927</v>
      </c>
      <c r="F779" s="80" t="s">
        <v>3176</v>
      </c>
      <c r="G779" s="80" t="b">
        <v>0</v>
      </c>
      <c r="H779" s="80" t="b">
        <v>0</v>
      </c>
      <c r="I779" s="80" t="b">
        <v>0</v>
      </c>
      <c r="J779" s="80" t="b">
        <v>0</v>
      </c>
      <c r="K779" s="80" t="b">
        <v>0</v>
      </c>
      <c r="L779" s="80" t="b">
        <v>0</v>
      </c>
    </row>
    <row r="780" spans="1:12" ht="15">
      <c r="A780" s="81" t="s">
        <v>3260</v>
      </c>
      <c r="B780" s="80" t="s">
        <v>3263</v>
      </c>
      <c r="C780" s="80">
        <v>26</v>
      </c>
      <c r="D780" s="105">
        <v>0.013794813612823812</v>
      </c>
      <c r="E780" s="105">
        <v>0.9532855008524265</v>
      </c>
      <c r="F780" s="80" t="s">
        <v>3177</v>
      </c>
      <c r="G780" s="80" t="b">
        <v>0</v>
      </c>
      <c r="H780" s="80" t="b">
        <v>0</v>
      </c>
      <c r="I780" s="80" t="b">
        <v>0</v>
      </c>
      <c r="J780" s="80" t="b">
        <v>0</v>
      </c>
      <c r="K780" s="80" t="b">
        <v>0</v>
      </c>
      <c r="L780" s="80" t="b">
        <v>0</v>
      </c>
    </row>
    <row r="781" spans="1:12" ht="15">
      <c r="A781" s="81" t="s">
        <v>3270</v>
      </c>
      <c r="B781" s="80" t="s">
        <v>3271</v>
      </c>
      <c r="C781" s="80">
        <v>25</v>
      </c>
      <c r="D781" s="105">
        <v>0.01374924782485062</v>
      </c>
      <c r="E781" s="105">
        <v>1.506234359612126</v>
      </c>
      <c r="F781" s="80" t="s">
        <v>3177</v>
      </c>
      <c r="G781" s="80" t="b">
        <v>0</v>
      </c>
      <c r="H781" s="80" t="b">
        <v>0</v>
      </c>
      <c r="I781" s="80" t="b">
        <v>0</v>
      </c>
      <c r="J781" s="80" t="b">
        <v>0</v>
      </c>
      <c r="K781" s="80" t="b">
        <v>0</v>
      </c>
      <c r="L781" s="80" t="b">
        <v>0</v>
      </c>
    </row>
    <row r="782" spans="1:12" ht="15">
      <c r="A782" s="81" t="s">
        <v>3271</v>
      </c>
      <c r="B782" s="80" t="s">
        <v>3272</v>
      </c>
      <c r="C782" s="80">
        <v>25</v>
      </c>
      <c r="D782" s="105">
        <v>0.01374924782485062</v>
      </c>
      <c r="E782" s="105">
        <v>1.506234359612126</v>
      </c>
      <c r="F782" s="80" t="s">
        <v>3177</v>
      </c>
      <c r="G782" s="80" t="b">
        <v>0</v>
      </c>
      <c r="H782" s="80" t="b">
        <v>0</v>
      </c>
      <c r="I782" s="80" t="b">
        <v>0</v>
      </c>
      <c r="J782" s="80" t="b">
        <v>0</v>
      </c>
      <c r="K782" s="80" t="b">
        <v>0</v>
      </c>
      <c r="L782" s="80" t="b">
        <v>0</v>
      </c>
    </row>
    <row r="783" spans="1:12" ht="15">
      <c r="A783" s="81" t="s">
        <v>3272</v>
      </c>
      <c r="B783" s="80" t="s">
        <v>3273</v>
      </c>
      <c r="C783" s="80">
        <v>25</v>
      </c>
      <c r="D783" s="105">
        <v>0.01374924782485062</v>
      </c>
      <c r="E783" s="105">
        <v>1.506234359612126</v>
      </c>
      <c r="F783" s="80" t="s">
        <v>3177</v>
      </c>
      <c r="G783" s="80" t="b">
        <v>0</v>
      </c>
      <c r="H783" s="80" t="b">
        <v>0</v>
      </c>
      <c r="I783" s="80" t="b">
        <v>0</v>
      </c>
      <c r="J783" s="80" t="b">
        <v>0</v>
      </c>
      <c r="K783" s="80" t="b">
        <v>0</v>
      </c>
      <c r="L783" s="80" t="b">
        <v>0</v>
      </c>
    </row>
    <row r="784" spans="1:12" ht="15">
      <c r="A784" s="81" t="s">
        <v>3273</v>
      </c>
      <c r="B784" s="80" t="s">
        <v>3274</v>
      </c>
      <c r="C784" s="80">
        <v>25</v>
      </c>
      <c r="D784" s="105">
        <v>0.01374924782485062</v>
      </c>
      <c r="E784" s="105">
        <v>1.506234359612126</v>
      </c>
      <c r="F784" s="80" t="s">
        <v>3177</v>
      </c>
      <c r="G784" s="80" t="b">
        <v>0</v>
      </c>
      <c r="H784" s="80" t="b">
        <v>0</v>
      </c>
      <c r="I784" s="80" t="b">
        <v>0</v>
      </c>
      <c r="J784" s="80" t="b">
        <v>0</v>
      </c>
      <c r="K784" s="80" t="b">
        <v>0</v>
      </c>
      <c r="L784" s="80" t="b">
        <v>0</v>
      </c>
    </row>
    <row r="785" spans="1:12" ht="15">
      <c r="A785" s="81" t="s">
        <v>3274</v>
      </c>
      <c r="B785" s="80" t="s">
        <v>3261</v>
      </c>
      <c r="C785" s="80">
        <v>25</v>
      </c>
      <c r="D785" s="105">
        <v>0.01374924782485062</v>
      </c>
      <c r="E785" s="105">
        <v>1.4128126744498908</v>
      </c>
      <c r="F785" s="80" t="s">
        <v>3177</v>
      </c>
      <c r="G785" s="80" t="b">
        <v>0</v>
      </c>
      <c r="H785" s="80" t="b">
        <v>0</v>
      </c>
      <c r="I785" s="80" t="b">
        <v>0</v>
      </c>
      <c r="J785" s="80" t="b">
        <v>0</v>
      </c>
      <c r="K785" s="80" t="b">
        <v>0</v>
      </c>
      <c r="L785" s="80" t="b">
        <v>0</v>
      </c>
    </row>
    <row r="786" spans="1:12" ht="15">
      <c r="A786" s="81" t="s">
        <v>3275</v>
      </c>
      <c r="B786" s="80" t="s">
        <v>3260</v>
      </c>
      <c r="C786" s="80">
        <v>25</v>
      </c>
      <c r="D786" s="105">
        <v>0.01374924782485062</v>
      </c>
      <c r="E786" s="105">
        <v>1.0780995655833372</v>
      </c>
      <c r="F786" s="80" t="s">
        <v>3177</v>
      </c>
      <c r="G786" s="80" t="b">
        <v>0</v>
      </c>
      <c r="H786" s="80" t="b">
        <v>0</v>
      </c>
      <c r="I786" s="80" t="b">
        <v>0</v>
      </c>
      <c r="J786" s="80" t="b">
        <v>0</v>
      </c>
      <c r="K786" s="80" t="b">
        <v>0</v>
      </c>
      <c r="L786" s="80" t="b">
        <v>0</v>
      </c>
    </row>
    <row r="787" spans="1:12" ht="15">
      <c r="A787" s="81" t="s">
        <v>3276</v>
      </c>
      <c r="B787" s="80" t="s">
        <v>3277</v>
      </c>
      <c r="C787" s="80">
        <v>25</v>
      </c>
      <c r="D787" s="105">
        <v>0.01374924782485062</v>
      </c>
      <c r="E787" s="105">
        <v>1.506234359612126</v>
      </c>
      <c r="F787" s="80" t="s">
        <v>3177</v>
      </c>
      <c r="G787" s="80" t="b">
        <v>0</v>
      </c>
      <c r="H787" s="80" t="b">
        <v>0</v>
      </c>
      <c r="I787" s="80" t="b">
        <v>0</v>
      </c>
      <c r="J787" s="80" t="b">
        <v>0</v>
      </c>
      <c r="K787" s="80" t="b">
        <v>0</v>
      </c>
      <c r="L787" s="80" t="b">
        <v>0</v>
      </c>
    </row>
    <row r="788" spans="1:12" ht="15">
      <c r="A788" s="81" t="s">
        <v>3263</v>
      </c>
      <c r="B788" s="80" t="s">
        <v>3264</v>
      </c>
      <c r="C788" s="80">
        <v>25</v>
      </c>
      <c r="D788" s="105">
        <v>0.01374924782485062</v>
      </c>
      <c r="E788" s="105">
        <v>1.035177465797028</v>
      </c>
      <c r="F788" s="80" t="s">
        <v>3177</v>
      </c>
      <c r="G788" s="80" t="b">
        <v>0</v>
      </c>
      <c r="H788" s="80" t="b">
        <v>0</v>
      </c>
      <c r="I788" s="80" t="b">
        <v>0</v>
      </c>
      <c r="J788" s="80" t="b">
        <v>0</v>
      </c>
      <c r="K788" s="80" t="b">
        <v>0</v>
      </c>
      <c r="L788" s="80" t="b">
        <v>0</v>
      </c>
    </row>
    <row r="789" spans="1:12" ht="15">
      <c r="A789" s="81" t="s">
        <v>3282</v>
      </c>
      <c r="B789" s="80" t="s">
        <v>3283</v>
      </c>
      <c r="C789" s="80">
        <v>18</v>
      </c>
      <c r="D789" s="105">
        <v>0.012824304748513366</v>
      </c>
      <c r="E789" s="105">
        <v>1.6489018631808574</v>
      </c>
      <c r="F789" s="80" t="s">
        <v>3177</v>
      </c>
      <c r="G789" s="80" t="b">
        <v>0</v>
      </c>
      <c r="H789" s="80" t="b">
        <v>0</v>
      </c>
      <c r="I789" s="80" t="b">
        <v>0</v>
      </c>
      <c r="J789" s="80" t="b">
        <v>0</v>
      </c>
      <c r="K789" s="80" t="b">
        <v>0</v>
      </c>
      <c r="L789" s="80" t="b">
        <v>0</v>
      </c>
    </row>
    <row r="790" spans="1:12" ht="15">
      <c r="A790" s="81" t="s">
        <v>3283</v>
      </c>
      <c r="B790" s="80" t="s">
        <v>3284</v>
      </c>
      <c r="C790" s="80">
        <v>18</v>
      </c>
      <c r="D790" s="105">
        <v>0.012824304748513366</v>
      </c>
      <c r="E790" s="105">
        <v>1.6489018631808574</v>
      </c>
      <c r="F790" s="80" t="s">
        <v>3177</v>
      </c>
      <c r="G790" s="80" t="b">
        <v>0</v>
      </c>
      <c r="H790" s="80" t="b">
        <v>0</v>
      </c>
      <c r="I790" s="80" t="b">
        <v>0</v>
      </c>
      <c r="J790" s="80" t="b">
        <v>0</v>
      </c>
      <c r="K790" s="80" t="b">
        <v>0</v>
      </c>
      <c r="L790" s="80" t="b">
        <v>0</v>
      </c>
    </row>
    <row r="791" spans="1:12" ht="15">
      <c r="A791" s="81" t="s">
        <v>3284</v>
      </c>
      <c r="B791" s="80" t="s">
        <v>3260</v>
      </c>
      <c r="C791" s="80">
        <v>18</v>
      </c>
      <c r="D791" s="105">
        <v>0.012824304748513366</v>
      </c>
      <c r="E791" s="105">
        <v>1.078099565583337</v>
      </c>
      <c r="F791" s="80" t="s">
        <v>3177</v>
      </c>
      <c r="G791" s="80" t="b">
        <v>0</v>
      </c>
      <c r="H791" s="80" t="b">
        <v>0</v>
      </c>
      <c r="I791" s="80" t="b">
        <v>0</v>
      </c>
      <c r="J791" s="80" t="b">
        <v>0</v>
      </c>
      <c r="K791" s="80" t="b">
        <v>0</v>
      </c>
      <c r="L791" s="80" t="b">
        <v>0</v>
      </c>
    </row>
    <row r="792" spans="1:12" ht="15">
      <c r="A792" s="81" t="s">
        <v>3263</v>
      </c>
      <c r="B792" s="80" t="s">
        <v>3265</v>
      </c>
      <c r="C792" s="80">
        <v>18</v>
      </c>
      <c r="D792" s="105">
        <v>0.012824304748513366</v>
      </c>
      <c r="E792" s="105">
        <v>0.8925099622282965</v>
      </c>
      <c r="F792" s="80" t="s">
        <v>3177</v>
      </c>
      <c r="G792" s="80" t="b">
        <v>0</v>
      </c>
      <c r="H792" s="80" t="b">
        <v>0</v>
      </c>
      <c r="I792" s="80" t="b">
        <v>0</v>
      </c>
      <c r="J792" s="80" t="b">
        <v>0</v>
      </c>
      <c r="K792" s="80" t="b">
        <v>0</v>
      </c>
      <c r="L792" s="80" t="b">
        <v>0</v>
      </c>
    </row>
    <row r="793" spans="1:12" ht="15">
      <c r="A793" s="81" t="s">
        <v>3265</v>
      </c>
      <c r="B793" s="80" t="s">
        <v>3264</v>
      </c>
      <c r="C793" s="80">
        <v>18</v>
      </c>
      <c r="D793" s="105">
        <v>0.012824304748513366</v>
      </c>
      <c r="E793" s="105">
        <v>0.9944995007656279</v>
      </c>
      <c r="F793" s="80" t="s">
        <v>3177</v>
      </c>
      <c r="G793" s="80" t="b">
        <v>0</v>
      </c>
      <c r="H793" s="80" t="b">
        <v>0</v>
      </c>
      <c r="I793" s="80" t="b">
        <v>0</v>
      </c>
      <c r="J793" s="80" t="b">
        <v>0</v>
      </c>
      <c r="K793" s="80" t="b">
        <v>0</v>
      </c>
      <c r="L793" s="80" t="b">
        <v>0</v>
      </c>
    </row>
    <row r="794" spans="1:12" ht="15">
      <c r="A794" s="81" t="s">
        <v>3261</v>
      </c>
      <c r="B794" s="80" t="s">
        <v>3275</v>
      </c>
      <c r="C794" s="80">
        <v>17</v>
      </c>
      <c r="D794" s="105">
        <v>0.012592482238431433</v>
      </c>
      <c r="E794" s="105">
        <v>1.2453215871561272</v>
      </c>
      <c r="F794" s="80" t="s">
        <v>3177</v>
      </c>
      <c r="G794" s="80" t="b">
        <v>0</v>
      </c>
      <c r="H794" s="80" t="b">
        <v>0</v>
      </c>
      <c r="I794" s="80" t="b">
        <v>0</v>
      </c>
      <c r="J794" s="80" t="b">
        <v>0</v>
      </c>
      <c r="K794" s="80" t="b">
        <v>0</v>
      </c>
      <c r="L794" s="80" t="b">
        <v>0</v>
      </c>
    </row>
    <row r="795" spans="1:12" ht="15">
      <c r="A795" s="81" t="s">
        <v>3260</v>
      </c>
      <c r="B795" s="80" t="s">
        <v>3276</v>
      </c>
      <c r="C795" s="80">
        <v>17</v>
      </c>
      <c r="D795" s="105">
        <v>0.012592482238431433</v>
      </c>
      <c r="E795" s="105">
        <v>1.0042895211674314</v>
      </c>
      <c r="F795" s="80" t="s">
        <v>3177</v>
      </c>
      <c r="G795" s="80" t="b">
        <v>0</v>
      </c>
      <c r="H795" s="80" t="b">
        <v>0</v>
      </c>
      <c r="I795" s="80" t="b">
        <v>0</v>
      </c>
      <c r="J795" s="80" t="b">
        <v>0</v>
      </c>
      <c r="K795" s="80" t="b">
        <v>0</v>
      </c>
      <c r="L795" s="80" t="b">
        <v>0</v>
      </c>
    </row>
    <row r="796" spans="1:12" ht="15">
      <c r="A796" s="81" t="s">
        <v>3277</v>
      </c>
      <c r="B796" s="80" t="s">
        <v>3265</v>
      </c>
      <c r="C796" s="80">
        <v>16</v>
      </c>
      <c r="D796" s="105">
        <v>0.01233154641685406</v>
      </c>
      <c r="E796" s="105">
        <v>1.076885886688464</v>
      </c>
      <c r="F796" s="80" t="s">
        <v>3177</v>
      </c>
      <c r="G796" s="80" t="b">
        <v>0</v>
      </c>
      <c r="H796" s="80" t="b">
        <v>0</v>
      </c>
      <c r="I796" s="80" t="b">
        <v>0</v>
      </c>
      <c r="J796" s="80" t="b">
        <v>0</v>
      </c>
      <c r="K796" s="80" t="b">
        <v>0</v>
      </c>
      <c r="L796" s="80" t="b">
        <v>0</v>
      </c>
    </row>
    <row r="797" spans="1:12" ht="15">
      <c r="A797" s="81" t="s">
        <v>3345</v>
      </c>
      <c r="B797" s="80" t="s">
        <v>3346</v>
      </c>
      <c r="C797" s="80">
        <v>9</v>
      </c>
      <c r="D797" s="105">
        <v>0.009497881259194986</v>
      </c>
      <c r="E797" s="105">
        <v>1.9499318588448387</v>
      </c>
      <c r="F797" s="80" t="s">
        <v>3177</v>
      </c>
      <c r="G797" s="80" t="b">
        <v>0</v>
      </c>
      <c r="H797" s="80" t="b">
        <v>0</v>
      </c>
      <c r="I797" s="80" t="b">
        <v>0</v>
      </c>
      <c r="J797" s="80" t="b">
        <v>0</v>
      </c>
      <c r="K797" s="80" t="b">
        <v>0</v>
      </c>
      <c r="L797" s="80" t="b">
        <v>0</v>
      </c>
    </row>
    <row r="798" spans="1:12" ht="15">
      <c r="A798" s="81" t="s">
        <v>3346</v>
      </c>
      <c r="B798" s="80" t="s">
        <v>3347</v>
      </c>
      <c r="C798" s="80">
        <v>9</v>
      </c>
      <c r="D798" s="105">
        <v>0.009497881259194986</v>
      </c>
      <c r="E798" s="105">
        <v>1.9499318588448387</v>
      </c>
      <c r="F798" s="80" t="s">
        <v>3177</v>
      </c>
      <c r="G798" s="80" t="b">
        <v>0</v>
      </c>
      <c r="H798" s="80" t="b">
        <v>0</v>
      </c>
      <c r="I798" s="80" t="b">
        <v>0</v>
      </c>
      <c r="J798" s="80" t="b">
        <v>0</v>
      </c>
      <c r="K798" s="80" t="b">
        <v>0</v>
      </c>
      <c r="L798" s="80" t="b">
        <v>0</v>
      </c>
    </row>
    <row r="799" spans="1:12" ht="15">
      <c r="A799" s="81" t="s">
        <v>3347</v>
      </c>
      <c r="B799" s="80" t="s">
        <v>3260</v>
      </c>
      <c r="C799" s="80">
        <v>9</v>
      </c>
      <c r="D799" s="105">
        <v>0.009497881259194986</v>
      </c>
      <c r="E799" s="105">
        <v>1.078099565583337</v>
      </c>
      <c r="F799" s="80" t="s">
        <v>3177</v>
      </c>
      <c r="G799" s="80" t="b">
        <v>0</v>
      </c>
      <c r="H799" s="80" t="b">
        <v>0</v>
      </c>
      <c r="I799" s="80" t="b">
        <v>0</v>
      </c>
      <c r="J799" s="80" t="b">
        <v>0</v>
      </c>
      <c r="K799" s="80" t="b">
        <v>0</v>
      </c>
      <c r="L799" s="80" t="b">
        <v>0</v>
      </c>
    </row>
    <row r="800" spans="1:12" ht="15">
      <c r="A800" s="81" t="s">
        <v>3277</v>
      </c>
      <c r="B800" s="80" t="s">
        <v>3263</v>
      </c>
      <c r="C800" s="80">
        <v>9</v>
      </c>
      <c r="D800" s="105">
        <v>0.009497881259194986</v>
      </c>
      <c r="E800" s="105">
        <v>0.8270084134718643</v>
      </c>
      <c r="F800" s="80" t="s">
        <v>3177</v>
      </c>
      <c r="G800" s="80" t="b">
        <v>0</v>
      </c>
      <c r="H800" s="80" t="b">
        <v>0</v>
      </c>
      <c r="I800" s="80" t="b">
        <v>0</v>
      </c>
      <c r="J800" s="80" t="b">
        <v>0</v>
      </c>
      <c r="K800" s="80" t="b">
        <v>0</v>
      </c>
      <c r="L800" s="80" t="b">
        <v>0</v>
      </c>
    </row>
    <row r="801" spans="1:12" ht="15">
      <c r="A801" s="81" t="s">
        <v>3264</v>
      </c>
      <c r="B801" s="80" t="s">
        <v>3265</v>
      </c>
      <c r="C801" s="80">
        <v>9</v>
      </c>
      <c r="D801" s="105">
        <v>0.009497881259194986</v>
      </c>
      <c r="E801" s="105">
        <v>1.270705912704577</v>
      </c>
      <c r="F801" s="80" t="s">
        <v>3177</v>
      </c>
      <c r="G801" s="80" t="b">
        <v>0</v>
      </c>
      <c r="H801" s="80" t="b">
        <v>0</v>
      </c>
      <c r="I801" s="80" t="b">
        <v>0</v>
      </c>
      <c r="J801" s="80" t="b">
        <v>0</v>
      </c>
      <c r="K801" s="80" t="b">
        <v>0</v>
      </c>
      <c r="L801" s="80" t="b">
        <v>0</v>
      </c>
    </row>
    <row r="802" spans="1:12" ht="15">
      <c r="A802" s="81" t="s">
        <v>3337</v>
      </c>
      <c r="B802" s="80" t="s">
        <v>3342</v>
      </c>
      <c r="C802" s="80">
        <v>9</v>
      </c>
      <c r="D802" s="105">
        <v>0.009497881259194986</v>
      </c>
      <c r="E802" s="105">
        <v>1.9499318588448387</v>
      </c>
      <c r="F802" s="80" t="s">
        <v>3177</v>
      </c>
      <c r="G802" s="80" t="b">
        <v>0</v>
      </c>
      <c r="H802" s="80" t="b">
        <v>0</v>
      </c>
      <c r="I802" s="80" t="b">
        <v>0</v>
      </c>
      <c r="J802" s="80" t="b">
        <v>0</v>
      </c>
      <c r="K802" s="80" t="b">
        <v>0</v>
      </c>
      <c r="L802" s="80" t="b">
        <v>0</v>
      </c>
    </row>
    <row r="803" spans="1:12" ht="15">
      <c r="A803" s="81" t="s">
        <v>3342</v>
      </c>
      <c r="B803" s="80" t="s">
        <v>3312</v>
      </c>
      <c r="C803" s="80">
        <v>9</v>
      </c>
      <c r="D803" s="105">
        <v>0.009497881259194986</v>
      </c>
      <c r="E803" s="105">
        <v>1.9499318588448387</v>
      </c>
      <c r="F803" s="80" t="s">
        <v>3177</v>
      </c>
      <c r="G803" s="80" t="b">
        <v>0</v>
      </c>
      <c r="H803" s="80" t="b">
        <v>0</v>
      </c>
      <c r="I803" s="80" t="b">
        <v>0</v>
      </c>
      <c r="J803" s="80" t="b">
        <v>0</v>
      </c>
      <c r="K803" s="80" t="b">
        <v>0</v>
      </c>
      <c r="L803" s="80" t="b">
        <v>0</v>
      </c>
    </row>
    <row r="804" spans="1:12" ht="15">
      <c r="A804" s="81" t="s">
        <v>3312</v>
      </c>
      <c r="B804" s="80" t="s">
        <v>500</v>
      </c>
      <c r="C804" s="80">
        <v>9</v>
      </c>
      <c r="D804" s="105">
        <v>0.009497881259194986</v>
      </c>
      <c r="E804" s="105">
        <v>1.8249931222365385</v>
      </c>
      <c r="F804" s="80" t="s">
        <v>3177</v>
      </c>
      <c r="G804" s="80" t="b">
        <v>0</v>
      </c>
      <c r="H804" s="80" t="b">
        <v>0</v>
      </c>
      <c r="I804" s="80" t="b">
        <v>0</v>
      </c>
      <c r="J804" s="80" t="b">
        <v>0</v>
      </c>
      <c r="K804" s="80" t="b">
        <v>0</v>
      </c>
      <c r="L804" s="80" t="b">
        <v>0</v>
      </c>
    </row>
    <row r="805" spans="1:12" ht="15">
      <c r="A805" s="81" t="s">
        <v>500</v>
      </c>
      <c r="B805" s="80" t="s">
        <v>3282</v>
      </c>
      <c r="C805" s="80">
        <v>9</v>
      </c>
      <c r="D805" s="105">
        <v>0.009497881259194986</v>
      </c>
      <c r="E805" s="105">
        <v>1.6031443726201824</v>
      </c>
      <c r="F805" s="80" t="s">
        <v>3177</v>
      </c>
      <c r="G805" s="80" t="b">
        <v>0</v>
      </c>
      <c r="H805" s="80" t="b">
        <v>0</v>
      </c>
      <c r="I805" s="80" t="b">
        <v>0</v>
      </c>
      <c r="J805" s="80" t="b">
        <v>0</v>
      </c>
      <c r="K805" s="80" t="b">
        <v>0</v>
      </c>
      <c r="L805" s="80" t="b">
        <v>0</v>
      </c>
    </row>
    <row r="806" spans="1:12" ht="15">
      <c r="A806" s="81" t="s">
        <v>3338</v>
      </c>
      <c r="B806" s="80" t="s">
        <v>3306</v>
      </c>
      <c r="C806" s="80">
        <v>9</v>
      </c>
      <c r="D806" s="105">
        <v>0.009497881259194986</v>
      </c>
      <c r="E806" s="105">
        <v>1.9499318588448387</v>
      </c>
      <c r="F806" s="80" t="s">
        <v>3177</v>
      </c>
      <c r="G806" s="80" t="b">
        <v>0</v>
      </c>
      <c r="H806" s="80" t="b">
        <v>0</v>
      </c>
      <c r="I806" s="80" t="b">
        <v>0</v>
      </c>
      <c r="J806" s="80" t="b">
        <v>1</v>
      </c>
      <c r="K806" s="80" t="b">
        <v>0</v>
      </c>
      <c r="L806" s="80" t="b">
        <v>0</v>
      </c>
    </row>
    <row r="807" spans="1:12" ht="15">
      <c r="A807" s="81" t="s">
        <v>3306</v>
      </c>
      <c r="B807" s="80" t="s">
        <v>3282</v>
      </c>
      <c r="C807" s="80">
        <v>9</v>
      </c>
      <c r="D807" s="105">
        <v>0.009497881259194986</v>
      </c>
      <c r="E807" s="105">
        <v>1.6489018631808574</v>
      </c>
      <c r="F807" s="80" t="s">
        <v>3177</v>
      </c>
      <c r="G807" s="80" t="b">
        <v>1</v>
      </c>
      <c r="H807" s="80" t="b">
        <v>0</v>
      </c>
      <c r="I807" s="80" t="b">
        <v>0</v>
      </c>
      <c r="J807" s="80" t="b">
        <v>0</v>
      </c>
      <c r="K807" s="80" t="b">
        <v>0</v>
      </c>
      <c r="L807" s="80" t="b">
        <v>0</v>
      </c>
    </row>
    <row r="808" spans="1:12" ht="15">
      <c r="A808" s="81" t="s">
        <v>3261</v>
      </c>
      <c r="B808" s="80" t="s">
        <v>3276</v>
      </c>
      <c r="C808" s="80">
        <v>8</v>
      </c>
      <c r="D808" s="105">
        <v>0.008908643328372188</v>
      </c>
      <c r="E808" s="105">
        <v>0.9179626527697968</v>
      </c>
      <c r="F808" s="80" t="s">
        <v>3177</v>
      </c>
      <c r="G808" s="80" t="b">
        <v>0</v>
      </c>
      <c r="H808" s="80" t="b">
        <v>0</v>
      </c>
      <c r="I808" s="80" t="b">
        <v>0</v>
      </c>
      <c r="J808" s="80" t="b">
        <v>0</v>
      </c>
      <c r="K808" s="80" t="b">
        <v>0</v>
      </c>
      <c r="L808" s="80" t="b">
        <v>0</v>
      </c>
    </row>
    <row r="809" spans="1:12" ht="15">
      <c r="A809" s="81" t="s">
        <v>3265</v>
      </c>
      <c r="B809" s="80" t="s">
        <v>3275</v>
      </c>
      <c r="C809" s="80">
        <v>8</v>
      </c>
      <c r="D809" s="105">
        <v>0.008908643328372188</v>
      </c>
      <c r="E809" s="105">
        <v>0.8778454295618143</v>
      </c>
      <c r="F809" s="80" t="s">
        <v>3177</v>
      </c>
      <c r="G809" s="80" t="b">
        <v>0</v>
      </c>
      <c r="H809" s="80" t="b">
        <v>0</v>
      </c>
      <c r="I809" s="80" t="b">
        <v>0</v>
      </c>
      <c r="J809" s="80" t="b">
        <v>0</v>
      </c>
      <c r="K809" s="80" t="b">
        <v>0</v>
      </c>
      <c r="L809" s="80" t="b">
        <v>0</v>
      </c>
    </row>
    <row r="810" spans="1:12" ht="15">
      <c r="A810" s="81" t="s">
        <v>3343</v>
      </c>
      <c r="B810" s="80" t="s">
        <v>3350</v>
      </c>
      <c r="C810" s="80">
        <v>8</v>
      </c>
      <c r="D810" s="105">
        <v>0.008908643328372188</v>
      </c>
      <c r="E810" s="105">
        <v>2.00108438129222</v>
      </c>
      <c r="F810" s="80" t="s">
        <v>3177</v>
      </c>
      <c r="G810" s="80" t="b">
        <v>0</v>
      </c>
      <c r="H810" s="80" t="b">
        <v>0</v>
      </c>
      <c r="I810" s="80" t="b">
        <v>0</v>
      </c>
      <c r="J810" s="80" t="b">
        <v>0</v>
      </c>
      <c r="K810" s="80" t="b">
        <v>0</v>
      </c>
      <c r="L810" s="80" t="b">
        <v>0</v>
      </c>
    </row>
    <row r="811" spans="1:12" ht="15">
      <c r="A811" s="81" t="s">
        <v>3350</v>
      </c>
      <c r="B811" s="80" t="s">
        <v>3344</v>
      </c>
      <c r="C811" s="80">
        <v>8</v>
      </c>
      <c r="D811" s="105">
        <v>0.008908643328372188</v>
      </c>
      <c r="E811" s="105">
        <v>2.00108438129222</v>
      </c>
      <c r="F811" s="80" t="s">
        <v>3177</v>
      </c>
      <c r="G811" s="80" t="b">
        <v>0</v>
      </c>
      <c r="H811" s="80" t="b">
        <v>0</v>
      </c>
      <c r="I811" s="80" t="b">
        <v>0</v>
      </c>
      <c r="J811" s="80" t="b">
        <v>0</v>
      </c>
      <c r="K811" s="80" t="b">
        <v>0</v>
      </c>
      <c r="L811" s="80" t="b">
        <v>0</v>
      </c>
    </row>
    <row r="812" spans="1:12" ht="15">
      <c r="A812" s="81" t="s">
        <v>3344</v>
      </c>
      <c r="B812" s="80" t="s">
        <v>3270</v>
      </c>
      <c r="C812" s="80">
        <v>8</v>
      </c>
      <c r="D812" s="105">
        <v>0.008908643328372188</v>
      </c>
      <c r="E812" s="105">
        <v>2.00108438129222</v>
      </c>
      <c r="F812" s="80" t="s">
        <v>3177</v>
      </c>
      <c r="G812" s="80" t="b">
        <v>0</v>
      </c>
      <c r="H812" s="80" t="b">
        <v>0</v>
      </c>
      <c r="I812" s="80" t="b">
        <v>0</v>
      </c>
      <c r="J812" s="80" t="b">
        <v>0</v>
      </c>
      <c r="K812" s="80" t="b">
        <v>0</v>
      </c>
      <c r="L812" s="80" t="b">
        <v>0</v>
      </c>
    </row>
    <row r="813" spans="1:12" ht="15">
      <c r="A813" s="81" t="s">
        <v>3265</v>
      </c>
      <c r="B813" s="80" t="s">
        <v>3263</v>
      </c>
      <c r="C813" s="80">
        <v>8</v>
      </c>
      <c r="D813" s="105">
        <v>0.008908643328372188</v>
      </c>
      <c r="E813" s="105">
        <v>0.6423169826542654</v>
      </c>
      <c r="F813" s="80" t="s">
        <v>3177</v>
      </c>
      <c r="G813" s="80" t="b">
        <v>0</v>
      </c>
      <c r="H813" s="80" t="b">
        <v>0</v>
      </c>
      <c r="I813" s="80" t="b">
        <v>0</v>
      </c>
      <c r="J813" s="80" t="b">
        <v>0</v>
      </c>
      <c r="K813" s="80" t="b">
        <v>0</v>
      </c>
      <c r="L813" s="80" t="b">
        <v>0</v>
      </c>
    </row>
    <row r="814" spans="1:12" ht="15">
      <c r="A814" s="81" t="s">
        <v>3261</v>
      </c>
      <c r="B814" s="80" t="s">
        <v>3260</v>
      </c>
      <c r="C814" s="80">
        <v>3</v>
      </c>
      <c r="D814" s="105">
        <v>0.004796215276404769</v>
      </c>
      <c r="E814" s="105">
        <v>0.0638591264687268</v>
      </c>
      <c r="F814" s="80" t="s">
        <v>3177</v>
      </c>
      <c r="G814" s="80" t="b">
        <v>0</v>
      </c>
      <c r="H814" s="80" t="b">
        <v>0</v>
      </c>
      <c r="I814" s="80" t="b">
        <v>0</v>
      </c>
      <c r="J814" s="80" t="b">
        <v>0</v>
      </c>
      <c r="K814" s="80" t="b">
        <v>0</v>
      </c>
      <c r="L814" s="80" t="b">
        <v>0</v>
      </c>
    </row>
    <row r="815" spans="1:12" ht="15">
      <c r="A815" s="81" t="s">
        <v>3837</v>
      </c>
      <c r="B815" s="80" t="s">
        <v>3260</v>
      </c>
      <c r="C815" s="80">
        <v>2</v>
      </c>
      <c r="D815" s="105">
        <v>0.0035985958920656267</v>
      </c>
      <c r="E815" s="105">
        <v>1.0780995655833372</v>
      </c>
      <c r="F815" s="80" t="s">
        <v>3177</v>
      </c>
      <c r="G815" s="80" t="b">
        <v>0</v>
      </c>
      <c r="H815" s="80" t="b">
        <v>0</v>
      </c>
      <c r="I815" s="80" t="b">
        <v>0</v>
      </c>
      <c r="J815" s="80" t="b">
        <v>0</v>
      </c>
      <c r="K815" s="80" t="b">
        <v>0</v>
      </c>
      <c r="L815" s="80" t="b">
        <v>0</v>
      </c>
    </row>
    <row r="816" spans="1:12" ht="15">
      <c r="A816" s="81" t="s">
        <v>3308</v>
      </c>
      <c r="B816" s="80" t="s">
        <v>3261</v>
      </c>
      <c r="C816" s="80">
        <v>2</v>
      </c>
      <c r="D816" s="105">
        <v>0.0035985958920656267</v>
      </c>
      <c r="E816" s="105">
        <v>1.2367214153942097</v>
      </c>
      <c r="F816" s="80" t="s">
        <v>3177</v>
      </c>
      <c r="G816" s="80" t="b">
        <v>0</v>
      </c>
      <c r="H816" s="80" t="b">
        <v>0</v>
      </c>
      <c r="I816" s="80" t="b">
        <v>0</v>
      </c>
      <c r="J816" s="80" t="b">
        <v>0</v>
      </c>
      <c r="K816" s="80" t="b">
        <v>0</v>
      </c>
      <c r="L816" s="80" t="b">
        <v>0</v>
      </c>
    </row>
    <row r="817" spans="1:12" ht="15">
      <c r="A817" s="81" t="s">
        <v>3260</v>
      </c>
      <c r="B817" s="80" t="s">
        <v>3840</v>
      </c>
      <c r="C817" s="80">
        <v>2</v>
      </c>
      <c r="D817" s="105">
        <v>0.0035985958920656267</v>
      </c>
      <c r="E817" s="105">
        <v>1.171780608461195</v>
      </c>
      <c r="F817" s="80" t="s">
        <v>3177</v>
      </c>
      <c r="G817" s="80" t="b">
        <v>0</v>
      </c>
      <c r="H817" s="80" t="b">
        <v>0</v>
      </c>
      <c r="I817" s="80" t="b">
        <v>0</v>
      </c>
      <c r="J817" s="80" t="b">
        <v>0</v>
      </c>
      <c r="K817" s="80" t="b">
        <v>0</v>
      </c>
      <c r="L817" s="80" t="b">
        <v>0</v>
      </c>
    </row>
    <row r="818" spans="1:12" ht="15">
      <c r="A818" s="81" t="s">
        <v>3840</v>
      </c>
      <c r="B818" s="80" t="s">
        <v>500</v>
      </c>
      <c r="C818" s="80">
        <v>2</v>
      </c>
      <c r="D818" s="105">
        <v>0.0035985958920656267</v>
      </c>
      <c r="E818" s="105">
        <v>1.8249931222365385</v>
      </c>
      <c r="F818" s="80" t="s">
        <v>3177</v>
      </c>
      <c r="G818" s="80" t="b">
        <v>0</v>
      </c>
      <c r="H818" s="80" t="b">
        <v>0</v>
      </c>
      <c r="I818" s="80" t="b">
        <v>0</v>
      </c>
      <c r="J818" s="80" t="b">
        <v>0</v>
      </c>
      <c r="K818" s="80" t="b">
        <v>0</v>
      </c>
      <c r="L818" s="80" t="b">
        <v>0</v>
      </c>
    </row>
    <row r="819" spans="1:12" ht="15">
      <c r="A819" s="81" t="s">
        <v>3634</v>
      </c>
      <c r="B819" s="80" t="s">
        <v>3634</v>
      </c>
      <c r="C819" s="80">
        <v>2</v>
      </c>
      <c r="D819" s="105">
        <v>0.0042843134220519165</v>
      </c>
      <c r="E819" s="105">
        <v>2.427053113564501</v>
      </c>
      <c r="F819" s="80" t="s">
        <v>3177</v>
      </c>
      <c r="G819" s="80" t="b">
        <v>0</v>
      </c>
      <c r="H819" s="80" t="b">
        <v>0</v>
      </c>
      <c r="I819" s="80" t="b">
        <v>0</v>
      </c>
      <c r="J819" s="80" t="b">
        <v>0</v>
      </c>
      <c r="K819" s="80" t="b">
        <v>0</v>
      </c>
      <c r="L819" s="80" t="b">
        <v>0</v>
      </c>
    </row>
    <row r="820" spans="1:12" ht="15">
      <c r="A820" s="81" t="s">
        <v>3775</v>
      </c>
      <c r="B820" s="80" t="s">
        <v>3776</v>
      </c>
      <c r="C820" s="80">
        <v>2</v>
      </c>
      <c r="D820" s="105">
        <v>0.0035985958920656267</v>
      </c>
      <c r="E820" s="105">
        <v>2.603144372620182</v>
      </c>
      <c r="F820" s="80" t="s">
        <v>3177</v>
      </c>
      <c r="G820" s="80" t="b">
        <v>0</v>
      </c>
      <c r="H820" s="80" t="b">
        <v>0</v>
      </c>
      <c r="I820" s="80" t="b">
        <v>0</v>
      </c>
      <c r="J820" s="80" t="b">
        <v>0</v>
      </c>
      <c r="K820" s="80" t="b">
        <v>0</v>
      </c>
      <c r="L820" s="80" t="b">
        <v>0</v>
      </c>
    </row>
    <row r="821" spans="1:12" ht="15">
      <c r="A821" s="81" t="s">
        <v>3776</v>
      </c>
      <c r="B821" s="80" t="s">
        <v>3777</v>
      </c>
      <c r="C821" s="80">
        <v>2</v>
      </c>
      <c r="D821" s="105">
        <v>0.0035985958920656267</v>
      </c>
      <c r="E821" s="105">
        <v>2.603144372620182</v>
      </c>
      <c r="F821" s="80" t="s">
        <v>3177</v>
      </c>
      <c r="G821" s="80" t="b">
        <v>0</v>
      </c>
      <c r="H821" s="80" t="b">
        <v>0</v>
      </c>
      <c r="I821" s="80" t="b">
        <v>0</v>
      </c>
      <c r="J821" s="80" t="b">
        <v>0</v>
      </c>
      <c r="K821" s="80" t="b">
        <v>0</v>
      </c>
      <c r="L821" s="80" t="b">
        <v>0</v>
      </c>
    </row>
    <row r="822" spans="1:12" ht="15">
      <c r="A822" s="81" t="s">
        <v>3777</v>
      </c>
      <c r="B822" s="80" t="s">
        <v>3260</v>
      </c>
      <c r="C822" s="80">
        <v>2</v>
      </c>
      <c r="D822" s="105">
        <v>0.0035985958920656267</v>
      </c>
      <c r="E822" s="105">
        <v>1.0780995655833372</v>
      </c>
      <c r="F822" s="80" t="s">
        <v>3177</v>
      </c>
      <c r="G822" s="80" t="b">
        <v>0</v>
      </c>
      <c r="H822" s="80" t="b">
        <v>0</v>
      </c>
      <c r="I822" s="80" t="b">
        <v>0</v>
      </c>
      <c r="J822" s="80" t="b">
        <v>0</v>
      </c>
      <c r="K822" s="80" t="b">
        <v>0</v>
      </c>
      <c r="L822" s="80" t="b">
        <v>0</v>
      </c>
    </row>
    <row r="823" spans="1:12" ht="15">
      <c r="A823" s="81" t="s">
        <v>3260</v>
      </c>
      <c r="B823" s="80" t="s">
        <v>3401</v>
      </c>
      <c r="C823" s="80">
        <v>2</v>
      </c>
      <c r="D823" s="105">
        <v>0.0035985958920656267</v>
      </c>
      <c r="E823" s="105">
        <v>0.9956893494055138</v>
      </c>
      <c r="F823" s="80" t="s">
        <v>3177</v>
      </c>
      <c r="G823" s="80" t="b">
        <v>0</v>
      </c>
      <c r="H823" s="80" t="b">
        <v>0</v>
      </c>
      <c r="I823" s="80" t="b">
        <v>0</v>
      </c>
      <c r="J823" s="80" t="b">
        <v>1</v>
      </c>
      <c r="K823" s="80" t="b">
        <v>0</v>
      </c>
      <c r="L823" s="80" t="b">
        <v>0</v>
      </c>
    </row>
    <row r="824" spans="1:12" ht="15">
      <c r="A824" s="81" t="s">
        <v>3401</v>
      </c>
      <c r="B824" s="80" t="s">
        <v>3631</v>
      </c>
      <c r="C824" s="80">
        <v>2</v>
      </c>
      <c r="D824" s="105">
        <v>0.0035985958920656267</v>
      </c>
      <c r="E824" s="105">
        <v>2.427053113564501</v>
      </c>
      <c r="F824" s="80" t="s">
        <v>3177</v>
      </c>
      <c r="G824" s="80" t="b">
        <v>1</v>
      </c>
      <c r="H824" s="80" t="b">
        <v>0</v>
      </c>
      <c r="I824" s="80" t="b">
        <v>0</v>
      </c>
      <c r="J824" s="80" t="b">
        <v>0</v>
      </c>
      <c r="K824" s="80" t="b">
        <v>0</v>
      </c>
      <c r="L824" s="80" t="b">
        <v>0</v>
      </c>
    </row>
    <row r="825" spans="1:12" ht="15">
      <c r="A825" s="81" t="s">
        <v>3631</v>
      </c>
      <c r="B825" s="80" t="s">
        <v>3778</v>
      </c>
      <c r="C825" s="80">
        <v>2</v>
      </c>
      <c r="D825" s="105">
        <v>0.0035985958920656267</v>
      </c>
      <c r="E825" s="105">
        <v>2.603144372620182</v>
      </c>
      <c r="F825" s="80" t="s">
        <v>3177</v>
      </c>
      <c r="G825" s="80" t="b">
        <v>0</v>
      </c>
      <c r="H825" s="80" t="b">
        <v>0</v>
      </c>
      <c r="I825" s="80" t="b">
        <v>0</v>
      </c>
      <c r="J825" s="80" t="b">
        <v>0</v>
      </c>
      <c r="K825" s="80" t="b">
        <v>0</v>
      </c>
      <c r="L825" s="80" t="b">
        <v>0</v>
      </c>
    </row>
    <row r="826" spans="1:12" ht="15">
      <c r="A826" s="81" t="s">
        <v>3778</v>
      </c>
      <c r="B826" s="80" t="s">
        <v>3779</v>
      </c>
      <c r="C826" s="80">
        <v>2</v>
      </c>
      <c r="D826" s="105">
        <v>0.0035985958920656267</v>
      </c>
      <c r="E826" s="105">
        <v>2.603144372620182</v>
      </c>
      <c r="F826" s="80" t="s">
        <v>3177</v>
      </c>
      <c r="G826" s="80" t="b">
        <v>0</v>
      </c>
      <c r="H826" s="80" t="b">
        <v>0</v>
      </c>
      <c r="I826" s="80" t="b">
        <v>0</v>
      </c>
      <c r="J826" s="80" t="b">
        <v>0</v>
      </c>
      <c r="K826" s="80" t="b">
        <v>0</v>
      </c>
      <c r="L826" s="80" t="b">
        <v>0</v>
      </c>
    </row>
    <row r="827" spans="1:12" ht="15">
      <c r="A827" s="81" t="s">
        <v>3779</v>
      </c>
      <c r="B827" s="80" t="s">
        <v>3780</v>
      </c>
      <c r="C827" s="80">
        <v>2</v>
      </c>
      <c r="D827" s="105">
        <v>0.0035985958920656267</v>
      </c>
      <c r="E827" s="105">
        <v>2.603144372620182</v>
      </c>
      <c r="F827" s="80" t="s">
        <v>3177</v>
      </c>
      <c r="G827" s="80" t="b">
        <v>0</v>
      </c>
      <c r="H827" s="80" t="b">
        <v>0</v>
      </c>
      <c r="I827" s="80" t="b">
        <v>0</v>
      </c>
      <c r="J827" s="80" t="b">
        <v>0</v>
      </c>
      <c r="K827" s="80" t="b">
        <v>0</v>
      </c>
      <c r="L827" s="80" t="b">
        <v>0</v>
      </c>
    </row>
    <row r="828" spans="1:12" ht="15">
      <c r="A828" s="81" t="s">
        <v>3780</v>
      </c>
      <c r="B828" s="80" t="s">
        <v>3632</v>
      </c>
      <c r="C828" s="80">
        <v>2</v>
      </c>
      <c r="D828" s="105">
        <v>0.0035985958920656267</v>
      </c>
      <c r="E828" s="105">
        <v>2.427053113564501</v>
      </c>
      <c r="F828" s="80" t="s">
        <v>3177</v>
      </c>
      <c r="G828" s="80" t="b">
        <v>0</v>
      </c>
      <c r="H828" s="80" t="b">
        <v>0</v>
      </c>
      <c r="I828" s="80" t="b">
        <v>0</v>
      </c>
      <c r="J828" s="80" t="b">
        <v>0</v>
      </c>
      <c r="K828" s="80" t="b">
        <v>0</v>
      </c>
      <c r="L828" s="80" t="b">
        <v>0</v>
      </c>
    </row>
    <row r="829" spans="1:12" ht="15">
      <c r="A829" s="81" t="s">
        <v>3632</v>
      </c>
      <c r="B829" s="80" t="s">
        <v>3781</v>
      </c>
      <c r="C829" s="80">
        <v>2</v>
      </c>
      <c r="D829" s="105">
        <v>0.0035985958920656267</v>
      </c>
      <c r="E829" s="105">
        <v>2.427053113564501</v>
      </c>
      <c r="F829" s="80" t="s">
        <v>3177</v>
      </c>
      <c r="G829" s="80" t="b">
        <v>0</v>
      </c>
      <c r="H829" s="80" t="b">
        <v>0</v>
      </c>
      <c r="I829" s="80" t="b">
        <v>0</v>
      </c>
      <c r="J829" s="80" t="b">
        <v>0</v>
      </c>
      <c r="K829" s="80" t="b">
        <v>1</v>
      </c>
      <c r="L829" s="80" t="b">
        <v>0</v>
      </c>
    </row>
    <row r="830" spans="1:12" ht="15">
      <c r="A830" s="81" t="s">
        <v>3781</v>
      </c>
      <c r="B830" s="80" t="s">
        <v>3782</v>
      </c>
      <c r="C830" s="80">
        <v>2</v>
      </c>
      <c r="D830" s="105">
        <v>0.0035985958920656267</v>
      </c>
      <c r="E830" s="105">
        <v>2.603144372620182</v>
      </c>
      <c r="F830" s="80" t="s">
        <v>3177</v>
      </c>
      <c r="G830" s="80" t="b">
        <v>0</v>
      </c>
      <c r="H830" s="80" t="b">
        <v>1</v>
      </c>
      <c r="I830" s="80" t="b">
        <v>0</v>
      </c>
      <c r="J830" s="80" t="b">
        <v>0</v>
      </c>
      <c r="K830" s="80" t="b">
        <v>0</v>
      </c>
      <c r="L830" s="80" t="b">
        <v>0</v>
      </c>
    </row>
    <row r="831" spans="1:12" ht="15">
      <c r="A831" s="81" t="s">
        <v>3782</v>
      </c>
      <c r="B831" s="80" t="s">
        <v>3783</v>
      </c>
      <c r="C831" s="80">
        <v>2</v>
      </c>
      <c r="D831" s="105">
        <v>0.0035985958920656267</v>
      </c>
      <c r="E831" s="105">
        <v>2.603144372620182</v>
      </c>
      <c r="F831" s="80" t="s">
        <v>3177</v>
      </c>
      <c r="G831" s="80" t="b">
        <v>0</v>
      </c>
      <c r="H831" s="80" t="b">
        <v>0</v>
      </c>
      <c r="I831" s="80" t="b">
        <v>0</v>
      </c>
      <c r="J831" s="80" t="b">
        <v>0</v>
      </c>
      <c r="K831" s="80" t="b">
        <v>1</v>
      </c>
      <c r="L831" s="80" t="b">
        <v>0</v>
      </c>
    </row>
    <row r="832" spans="1:12" ht="15">
      <c r="A832" s="81" t="s">
        <v>3783</v>
      </c>
      <c r="B832" s="80" t="s">
        <v>3784</v>
      </c>
      <c r="C832" s="80">
        <v>2</v>
      </c>
      <c r="D832" s="105">
        <v>0.0035985958920656267</v>
      </c>
      <c r="E832" s="105">
        <v>2.603144372620182</v>
      </c>
      <c r="F832" s="80" t="s">
        <v>3177</v>
      </c>
      <c r="G832" s="80" t="b">
        <v>0</v>
      </c>
      <c r="H832" s="80" t="b">
        <v>1</v>
      </c>
      <c r="I832" s="80" t="b">
        <v>0</v>
      </c>
      <c r="J832" s="80" t="b">
        <v>0</v>
      </c>
      <c r="K832" s="80" t="b">
        <v>1</v>
      </c>
      <c r="L832" s="80" t="b">
        <v>0</v>
      </c>
    </row>
    <row r="833" spans="1:12" ht="15">
      <c r="A833" s="81" t="s">
        <v>3784</v>
      </c>
      <c r="B833" s="80" t="s">
        <v>3360</v>
      </c>
      <c r="C833" s="80">
        <v>2</v>
      </c>
      <c r="D833" s="105">
        <v>0.0035985958920656267</v>
      </c>
      <c r="E833" s="105">
        <v>2.603144372620182</v>
      </c>
      <c r="F833" s="80" t="s">
        <v>3177</v>
      </c>
      <c r="G833" s="80" t="b">
        <v>0</v>
      </c>
      <c r="H833" s="80" t="b">
        <v>1</v>
      </c>
      <c r="I833" s="80" t="b">
        <v>0</v>
      </c>
      <c r="J833" s="80" t="b">
        <v>0</v>
      </c>
      <c r="K833" s="80" t="b">
        <v>0</v>
      </c>
      <c r="L833" s="80" t="b">
        <v>0</v>
      </c>
    </row>
    <row r="834" spans="1:12" ht="15">
      <c r="A834" s="81" t="s">
        <v>3360</v>
      </c>
      <c r="B834" s="80" t="s">
        <v>3785</v>
      </c>
      <c r="C834" s="80">
        <v>2</v>
      </c>
      <c r="D834" s="105">
        <v>0.0035985958920656267</v>
      </c>
      <c r="E834" s="105">
        <v>2.603144372620182</v>
      </c>
      <c r="F834" s="80" t="s">
        <v>3177</v>
      </c>
      <c r="G834" s="80" t="b">
        <v>0</v>
      </c>
      <c r="H834" s="80" t="b">
        <v>0</v>
      </c>
      <c r="I834" s="80" t="b">
        <v>0</v>
      </c>
      <c r="J834" s="80" t="b">
        <v>0</v>
      </c>
      <c r="K834" s="80" t="b">
        <v>0</v>
      </c>
      <c r="L834" s="80" t="b">
        <v>0</v>
      </c>
    </row>
    <row r="835" spans="1:12" ht="15">
      <c r="A835" s="81" t="s">
        <v>3785</v>
      </c>
      <c r="B835" s="80" t="s">
        <v>3261</v>
      </c>
      <c r="C835" s="80">
        <v>2</v>
      </c>
      <c r="D835" s="105">
        <v>0.0035985958920656267</v>
      </c>
      <c r="E835" s="105">
        <v>1.4128126744498908</v>
      </c>
      <c r="F835" s="80" t="s">
        <v>3177</v>
      </c>
      <c r="G835" s="80" t="b">
        <v>0</v>
      </c>
      <c r="H835" s="80" t="b">
        <v>0</v>
      </c>
      <c r="I835" s="80" t="b">
        <v>0</v>
      </c>
      <c r="J835" s="80" t="b">
        <v>0</v>
      </c>
      <c r="K835" s="80" t="b">
        <v>0</v>
      </c>
      <c r="L835" s="80" t="b">
        <v>0</v>
      </c>
    </row>
    <row r="836" spans="1:12" ht="15">
      <c r="A836" s="81" t="s">
        <v>3261</v>
      </c>
      <c r="B836" s="80" t="s">
        <v>3402</v>
      </c>
      <c r="C836" s="80">
        <v>2</v>
      </c>
      <c r="D836" s="105">
        <v>0.0035985958920656267</v>
      </c>
      <c r="E836" s="105">
        <v>1.4128126744498908</v>
      </c>
      <c r="F836" s="80" t="s">
        <v>3177</v>
      </c>
      <c r="G836" s="80" t="b">
        <v>0</v>
      </c>
      <c r="H836" s="80" t="b">
        <v>0</v>
      </c>
      <c r="I836" s="80" t="b">
        <v>0</v>
      </c>
      <c r="J836" s="80" t="b">
        <v>0</v>
      </c>
      <c r="K836" s="80" t="b">
        <v>0</v>
      </c>
      <c r="L836" s="80" t="b">
        <v>0</v>
      </c>
    </row>
    <row r="837" spans="1:12" ht="15">
      <c r="A837" s="81" t="s">
        <v>3402</v>
      </c>
      <c r="B837" s="80" t="s">
        <v>3786</v>
      </c>
      <c r="C837" s="80">
        <v>2</v>
      </c>
      <c r="D837" s="105">
        <v>0.0035985958920656267</v>
      </c>
      <c r="E837" s="105">
        <v>2.603144372620182</v>
      </c>
      <c r="F837" s="80" t="s">
        <v>3177</v>
      </c>
      <c r="G837" s="80" t="b">
        <v>0</v>
      </c>
      <c r="H837" s="80" t="b">
        <v>0</v>
      </c>
      <c r="I837" s="80" t="b">
        <v>0</v>
      </c>
      <c r="J837" s="80" t="b">
        <v>0</v>
      </c>
      <c r="K837" s="80" t="b">
        <v>0</v>
      </c>
      <c r="L837" s="80" t="b">
        <v>0</v>
      </c>
    </row>
    <row r="838" spans="1:12" ht="15">
      <c r="A838" s="81" t="s">
        <v>3786</v>
      </c>
      <c r="B838" s="80" t="s">
        <v>3787</v>
      </c>
      <c r="C838" s="80">
        <v>2</v>
      </c>
      <c r="D838" s="105">
        <v>0.0035985958920656267</v>
      </c>
      <c r="E838" s="105">
        <v>2.603144372620182</v>
      </c>
      <c r="F838" s="80" t="s">
        <v>3177</v>
      </c>
      <c r="G838" s="80" t="b">
        <v>0</v>
      </c>
      <c r="H838" s="80" t="b">
        <v>0</v>
      </c>
      <c r="I838" s="80" t="b">
        <v>0</v>
      </c>
      <c r="J838" s="80" t="b">
        <v>0</v>
      </c>
      <c r="K838" s="80" t="b">
        <v>0</v>
      </c>
      <c r="L838" s="80" t="b">
        <v>0</v>
      </c>
    </row>
    <row r="839" spans="1:12" ht="15">
      <c r="A839" s="81" t="s">
        <v>3787</v>
      </c>
      <c r="B839" s="80" t="s">
        <v>3788</v>
      </c>
      <c r="C839" s="80">
        <v>2</v>
      </c>
      <c r="D839" s="105">
        <v>0.0035985958920656267</v>
      </c>
      <c r="E839" s="105">
        <v>2.603144372620182</v>
      </c>
      <c r="F839" s="80" t="s">
        <v>3177</v>
      </c>
      <c r="G839" s="80" t="b">
        <v>0</v>
      </c>
      <c r="H839" s="80" t="b">
        <v>0</v>
      </c>
      <c r="I839" s="80" t="b">
        <v>0</v>
      </c>
      <c r="J839" s="80" t="b">
        <v>0</v>
      </c>
      <c r="K839" s="80" t="b">
        <v>0</v>
      </c>
      <c r="L839" s="80" t="b">
        <v>0</v>
      </c>
    </row>
    <row r="840" spans="1:12" ht="15">
      <c r="A840" s="81" t="s">
        <v>3788</v>
      </c>
      <c r="B840" s="80" t="s">
        <v>3789</v>
      </c>
      <c r="C840" s="80">
        <v>2</v>
      </c>
      <c r="D840" s="105">
        <v>0.0035985958920656267</v>
      </c>
      <c r="E840" s="105">
        <v>2.603144372620182</v>
      </c>
      <c r="F840" s="80" t="s">
        <v>3177</v>
      </c>
      <c r="G840" s="80" t="b">
        <v>0</v>
      </c>
      <c r="H840" s="80" t="b">
        <v>0</v>
      </c>
      <c r="I840" s="80" t="b">
        <v>0</v>
      </c>
      <c r="J840" s="80" t="b">
        <v>0</v>
      </c>
      <c r="K840" s="80" t="b">
        <v>0</v>
      </c>
      <c r="L840" s="80" t="b">
        <v>0</v>
      </c>
    </row>
    <row r="841" spans="1:12" ht="15">
      <c r="A841" s="81" t="s">
        <v>3789</v>
      </c>
      <c r="B841" s="80" t="s">
        <v>3790</v>
      </c>
      <c r="C841" s="80">
        <v>2</v>
      </c>
      <c r="D841" s="105">
        <v>0.0035985958920656267</v>
      </c>
      <c r="E841" s="105">
        <v>2.603144372620182</v>
      </c>
      <c r="F841" s="80" t="s">
        <v>3177</v>
      </c>
      <c r="G841" s="80" t="b">
        <v>0</v>
      </c>
      <c r="H841" s="80" t="b">
        <v>0</v>
      </c>
      <c r="I841" s="80" t="b">
        <v>0</v>
      </c>
      <c r="J841" s="80" t="b">
        <v>0</v>
      </c>
      <c r="K841" s="80" t="b">
        <v>0</v>
      </c>
      <c r="L841" s="80" t="b">
        <v>0</v>
      </c>
    </row>
    <row r="842" spans="1:12" ht="15">
      <c r="A842" s="81" t="s">
        <v>3790</v>
      </c>
      <c r="B842" s="80" t="s">
        <v>3791</v>
      </c>
      <c r="C842" s="80">
        <v>2</v>
      </c>
      <c r="D842" s="105">
        <v>0.0035985958920656267</v>
      </c>
      <c r="E842" s="105">
        <v>2.603144372620182</v>
      </c>
      <c r="F842" s="80" t="s">
        <v>3177</v>
      </c>
      <c r="G842" s="80" t="b">
        <v>0</v>
      </c>
      <c r="H842" s="80" t="b">
        <v>0</v>
      </c>
      <c r="I842" s="80" t="b">
        <v>0</v>
      </c>
      <c r="J842" s="80" t="b">
        <v>0</v>
      </c>
      <c r="K842" s="80" t="b">
        <v>0</v>
      </c>
      <c r="L842" s="80" t="b">
        <v>0</v>
      </c>
    </row>
    <row r="843" spans="1:12" ht="15">
      <c r="A843" s="81" t="s">
        <v>3791</v>
      </c>
      <c r="B843" s="80" t="s">
        <v>3792</v>
      </c>
      <c r="C843" s="80">
        <v>2</v>
      </c>
      <c r="D843" s="105">
        <v>0.0035985958920656267</v>
      </c>
      <c r="E843" s="105">
        <v>2.603144372620182</v>
      </c>
      <c r="F843" s="80" t="s">
        <v>3177</v>
      </c>
      <c r="G843" s="80" t="b">
        <v>0</v>
      </c>
      <c r="H843" s="80" t="b">
        <v>0</v>
      </c>
      <c r="I843" s="80" t="b">
        <v>0</v>
      </c>
      <c r="J843" s="80" t="b">
        <v>0</v>
      </c>
      <c r="K843" s="80" t="b">
        <v>0</v>
      </c>
      <c r="L843" s="80" t="b">
        <v>0</v>
      </c>
    </row>
    <row r="844" spans="1:12" ht="15">
      <c r="A844" s="81" t="s">
        <v>3792</v>
      </c>
      <c r="B844" s="80" t="s">
        <v>3629</v>
      </c>
      <c r="C844" s="80">
        <v>2</v>
      </c>
      <c r="D844" s="105">
        <v>0.0035985958920656267</v>
      </c>
      <c r="E844" s="105">
        <v>2.603144372620182</v>
      </c>
      <c r="F844" s="80" t="s">
        <v>3177</v>
      </c>
      <c r="G844" s="80" t="b">
        <v>0</v>
      </c>
      <c r="H844" s="80" t="b">
        <v>0</v>
      </c>
      <c r="I844" s="80" t="b">
        <v>0</v>
      </c>
      <c r="J844" s="80" t="b">
        <v>0</v>
      </c>
      <c r="K844" s="80" t="b">
        <v>0</v>
      </c>
      <c r="L844" s="80" t="b">
        <v>0</v>
      </c>
    </row>
    <row r="845" spans="1:12" ht="15">
      <c r="A845" s="81" t="s">
        <v>3260</v>
      </c>
      <c r="B845" s="80" t="s">
        <v>3261</v>
      </c>
      <c r="C845" s="80">
        <v>37</v>
      </c>
      <c r="D845" s="105">
        <v>0.006685490353291705</v>
      </c>
      <c r="E845" s="105">
        <v>1.0345991133948842</v>
      </c>
      <c r="F845" s="80" t="s">
        <v>3178</v>
      </c>
      <c r="G845" s="80" t="b">
        <v>0</v>
      </c>
      <c r="H845" s="80" t="b">
        <v>0</v>
      </c>
      <c r="I845" s="80" t="b">
        <v>0</v>
      </c>
      <c r="J845" s="80" t="b">
        <v>0</v>
      </c>
      <c r="K845" s="80" t="b">
        <v>0</v>
      </c>
      <c r="L845" s="80" t="b">
        <v>0</v>
      </c>
    </row>
    <row r="846" spans="1:12" ht="15">
      <c r="A846" s="81" t="s">
        <v>3261</v>
      </c>
      <c r="B846" s="80" t="s">
        <v>3269</v>
      </c>
      <c r="C846" s="80">
        <v>19</v>
      </c>
      <c r="D846" s="105">
        <v>0.01299746240465197</v>
      </c>
      <c r="E846" s="105">
        <v>1.1884741668437857</v>
      </c>
      <c r="F846" s="80" t="s">
        <v>3178</v>
      </c>
      <c r="G846" s="80" t="b">
        <v>0</v>
      </c>
      <c r="H846" s="80" t="b">
        <v>0</v>
      </c>
      <c r="I846" s="80" t="b">
        <v>0</v>
      </c>
      <c r="J846" s="80" t="b">
        <v>0</v>
      </c>
      <c r="K846" s="80" t="b">
        <v>0</v>
      </c>
      <c r="L846" s="80" t="b">
        <v>0</v>
      </c>
    </row>
    <row r="847" spans="1:12" ht="15">
      <c r="A847" s="81" t="s">
        <v>3352</v>
      </c>
      <c r="B847" s="80" t="s">
        <v>3307</v>
      </c>
      <c r="C847" s="80">
        <v>8</v>
      </c>
      <c r="D847" s="105">
        <v>0.01069923994356555</v>
      </c>
      <c r="E847" s="105">
        <v>1.5765058868555741</v>
      </c>
      <c r="F847" s="80" t="s">
        <v>3178</v>
      </c>
      <c r="G847" s="80" t="b">
        <v>0</v>
      </c>
      <c r="H847" s="80" t="b">
        <v>0</v>
      </c>
      <c r="I847" s="80" t="b">
        <v>0</v>
      </c>
      <c r="J847" s="80" t="b">
        <v>0</v>
      </c>
      <c r="K847" s="80" t="b">
        <v>0</v>
      </c>
      <c r="L847" s="80" t="b">
        <v>0</v>
      </c>
    </row>
    <row r="848" spans="1:12" ht="15">
      <c r="A848" s="81" t="s">
        <v>3307</v>
      </c>
      <c r="B848" s="80" t="s">
        <v>3353</v>
      </c>
      <c r="C848" s="80">
        <v>8</v>
      </c>
      <c r="D848" s="105">
        <v>0.01069923994356555</v>
      </c>
      <c r="E848" s="105">
        <v>1.5765058868555741</v>
      </c>
      <c r="F848" s="80" t="s">
        <v>3178</v>
      </c>
      <c r="G848" s="80" t="b">
        <v>0</v>
      </c>
      <c r="H848" s="80" t="b">
        <v>0</v>
      </c>
      <c r="I848" s="80" t="b">
        <v>0</v>
      </c>
      <c r="J848" s="80" t="b">
        <v>0</v>
      </c>
      <c r="K848" s="80" t="b">
        <v>0</v>
      </c>
      <c r="L848" s="80" t="b">
        <v>0</v>
      </c>
    </row>
    <row r="849" spans="1:12" ht="15">
      <c r="A849" s="81" t="s">
        <v>3353</v>
      </c>
      <c r="B849" s="80" t="s">
        <v>3354</v>
      </c>
      <c r="C849" s="80">
        <v>8</v>
      </c>
      <c r="D849" s="105">
        <v>0.01069923994356555</v>
      </c>
      <c r="E849" s="105">
        <v>1.8195439355418688</v>
      </c>
      <c r="F849" s="80" t="s">
        <v>3178</v>
      </c>
      <c r="G849" s="80" t="b">
        <v>0</v>
      </c>
      <c r="H849" s="80" t="b">
        <v>0</v>
      </c>
      <c r="I849" s="80" t="b">
        <v>0</v>
      </c>
      <c r="J849" s="80" t="b">
        <v>0</v>
      </c>
      <c r="K849" s="80" t="b">
        <v>0</v>
      </c>
      <c r="L849" s="80" t="b">
        <v>0</v>
      </c>
    </row>
    <row r="850" spans="1:12" ht="15">
      <c r="A850" s="81" t="s">
        <v>3354</v>
      </c>
      <c r="B850" s="80" t="s">
        <v>3355</v>
      </c>
      <c r="C850" s="80">
        <v>8</v>
      </c>
      <c r="D850" s="105">
        <v>0.01069923994356555</v>
      </c>
      <c r="E850" s="105">
        <v>1.8195439355418688</v>
      </c>
      <c r="F850" s="80" t="s">
        <v>3178</v>
      </c>
      <c r="G850" s="80" t="b">
        <v>0</v>
      </c>
      <c r="H850" s="80" t="b">
        <v>0</v>
      </c>
      <c r="I850" s="80" t="b">
        <v>0</v>
      </c>
      <c r="J850" s="80" t="b">
        <v>0</v>
      </c>
      <c r="K850" s="80" t="b">
        <v>0</v>
      </c>
      <c r="L850" s="80" t="b">
        <v>0</v>
      </c>
    </row>
    <row r="851" spans="1:12" ht="15">
      <c r="A851" s="81" t="s">
        <v>3355</v>
      </c>
      <c r="B851" s="80" t="s">
        <v>3260</v>
      </c>
      <c r="C851" s="80">
        <v>8</v>
      </c>
      <c r="D851" s="105">
        <v>0.01069923994356555</v>
      </c>
      <c r="E851" s="105">
        <v>1.0505360645980948</v>
      </c>
      <c r="F851" s="80" t="s">
        <v>3178</v>
      </c>
      <c r="G851" s="80" t="b">
        <v>0</v>
      </c>
      <c r="H851" s="80" t="b">
        <v>0</v>
      </c>
      <c r="I851" s="80" t="b">
        <v>0</v>
      </c>
      <c r="J851" s="80" t="b">
        <v>0</v>
      </c>
      <c r="K851" s="80" t="b">
        <v>0</v>
      </c>
      <c r="L851" s="80" t="b">
        <v>0</v>
      </c>
    </row>
    <row r="852" spans="1:12" ht="15">
      <c r="A852" s="81" t="s">
        <v>3261</v>
      </c>
      <c r="B852" s="80" t="s">
        <v>3308</v>
      </c>
      <c r="C852" s="80">
        <v>5</v>
      </c>
      <c r="D852" s="105">
        <v>0.008461981335649554</v>
      </c>
      <c r="E852" s="105">
        <v>1.24551266781415</v>
      </c>
      <c r="F852" s="80" t="s">
        <v>3178</v>
      </c>
      <c r="G852" s="80" t="b">
        <v>0</v>
      </c>
      <c r="H852" s="80" t="b">
        <v>0</v>
      </c>
      <c r="I852" s="80" t="b">
        <v>0</v>
      </c>
      <c r="J852" s="80" t="b">
        <v>0</v>
      </c>
      <c r="K852" s="80" t="b">
        <v>0</v>
      </c>
      <c r="L852" s="80" t="b">
        <v>0</v>
      </c>
    </row>
    <row r="853" spans="1:12" ht="15">
      <c r="A853" s="81" t="s">
        <v>3398</v>
      </c>
      <c r="B853" s="80" t="s">
        <v>3399</v>
      </c>
      <c r="C853" s="80">
        <v>5</v>
      </c>
      <c r="D853" s="105">
        <v>0.008461981335649554</v>
      </c>
      <c r="E853" s="105">
        <v>2.0236639181977933</v>
      </c>
      <c r="F853" s="80" t="s">
        <v>3178</v>
      </c>
      <c r="G853" s="80" t="b">
        <v>0</v>
      </c>
      <c r="H853" s="80" t="b">
        <v>0</v>
      </c>
      <c r="I853" s="80" t="b">
        <v>0</v>
      </c>
      <c r="J853" s="80" t="b">
        <v>0</v>
      </c>
      <c r="K853" s="80" t="b">
        <v>0</v>
      </c>
      <c r="L853" s="80" t="b">
        <v>0</v>
      </c>
    </row>
    <row r="854" spans="1:12" ht="15">
      <c r="A854" s="81" t="s">
        <v>3399</v>
      </c>
      <c r="B854" s="80" t="s">
        <v>3260</v>
      </c>
      <c r="C854" s="80">
        <v>5</v>
      </c>
      <c r="D854" s="105">
        <v>0.008461981335649554</v>
      </c>
      <c r="E854" s="105">
        <v>1.0505360645980948</v>
      </c>
      <c r="F854" s="80" t="s">
        <v>3178</v>
      </c>
      <c r="G854" s="80" t="b">
        <v>0</v>
      </c>
      <c r="H854" s="80" t="b">
        <v>0</v>
      </c>
      <c r="I854" s="80" t="b">
        <v>0</v>
      </c>
      <c r="J854" s="80" t="b">
        <v>0</v>
      </c>
      <c r="K854" s="80" t="b">
        <v>0</v>
      </c>
      <c r="L854" s="80" t="b">
        <v>0</v>
      </c>
    </row>
    <row r="855" spans="1:12" ht="15">
      <c r="A855" s="81" t="s">
        <v>3464</v>
      </c>
      <c r="B855" s="80" t="s">
        <v>3465</v>
      </c>
      <c r="C855" s="80">
        <v>4</v>
      </c>
      <c r="D855" s="105">
        <v>0.0074437416807496</v>
      </c>
      <c r="E855" s="105">
        <v>2.12057393120585</v>
      </c>
      <c r="F855" s="80" t="s">
        <v>3178</v>
      </c>
      <c r="G855" s="80" t="b">
        <v>0</v>
      </c>
      <c r="H855" s="80" t="b">
        <v>0</v>
      </c>
      <c r="I855" s="80" t="b">
        <v>0</v>
      </c>
      <c r="J855" s="80" t="b">
        <v>0</v>
      </c>
      <c r="K855" s="80" t="b">
        <v>0</v>
      </c>
      <c r="L855" s="80" t="b">
        <v>0</v>
      </c>
    </row>
    <row r="856" spans="1:12" ht="15">
      <c r="A856" s="81" t="s">
        <v>3465</v>
      </c>
      <c r="B856" s="80" t="s">
        <v>3466</v>
      </c>
      <c r="C856" s="80">
        <v>4</v>
      </c>
      <c r="D856" s="105">
        <v>0.0074437416807496</v>
      </c>
      <c r="E856" s="105">
        <v>2.12057393120585</v>
      </c>
      <c r="F856" s="80" t="s">
        <v>3178</v>
      </c>
      <c r="G856" s="80" t="b">
        <v>0</v>
      </c>
      <c r="H856" s="80" t="b">
        <v>0</v>
      </c>
      <c r="I856" s="80" t="b">
        <v>0</v>
      </c>
      <c r="J856" s="80" t="b">
        <v>0</v>
      </c>
      <c r="K856" s="80" t="b">
        <v>0</v>
      </c>
      <c r="L856" s="80" t="b">
        <v>0</v>
      </c>
    </row>
    <row r="857" spans="1:12" ht="15">
      <c r="A857" s="81" t="s">
        <v>3466</v>
      </c>
      <c r="B857" s="80" t="s">
        <v>3467</v>
      </c>
      <c r="C857" s="80">
        <v>4</v>
      </c>
      <c r="D857" s="105">
        <v>0.0074437416807496</v>
      </c>
      <c r="E857" s="105">
        <v>2.12057393120585</v>
      </c>
      <c r="F857" s="80" t="s">
        <v>3178</v>
      </c>
      <c r="G857" s="80" t="b">
        <v>0</v>
      </c>
      <c r="H857" s="80" t="b">
        <v>0</v>
      </c>
      <c r="I857" s="80" t="b">
        <v>0</v>
      </c>
      <c r="J857" s="80" t="b">
        <v>0</v>
      </c>
      <c r="K857" s="80" t="b">
        <v>0</v>
      </c>
      <c r="L857" s="80" t="b">
        <v>0</v>
      </c>
    </row>
    <row r="858" spans="1:12" ht="15">
      <c r="A858" s="81" t="s">
        <v>3467</v>
      </c>
      <c r="B858" s="80" t="s">
        <v>3468</v>
      </c>
      <c r="C858" s="80">
        <v>4</v>
      </c>
      <c r="D858" s="105">
        <v>0.0074437416807496</v>
      </c>
      <c r="E858" s="105">
        <v>2.12057393120585</v>
      </c>
      <c r="F858" s="80" t="s">
        <v>3178</v>
      </c>
      <c r="G858" s="80" t="b">
        <v>0</v>
      </c>
      <c r="H858" s="80" t="b">
        <v>0</v>
      </c>
      <c r="I858" s="80" t="b">
        <v>0</v>
      </c>
      <c r="J858" s="80" t="b">
        <v>0</v>
      </c>
      <c r="K858" s="80" t="b">
        <v>0</v>
      </c>
      <c r="L858" s="80" t="b">
        <v>0</v>
      </c>
    </row>
    <row r="859" spans="1:12" ht="15">
      <c r="A859" s="81" t="s">
        <v>3468</v>
      </c>
      <c r="B859" s="80" t="s">
        <v>3469</v>
      </c>
      <c r="C859" s="80">
        <v>4</v>
      </c>
      <c r="D859" s="105">
        <v>0.0074437416807496</v>
      </c>
      <c r="E859" s="105">
        <v>2.12057393120585</v>
      </c>
      <c r="F859" s="80" t="s">
        <v>3178</v>
      </c>
      <c r="G859" s="80" t="b">
        <v>0</v>
      </c>
      <c r="H859" s="80" t="b">
        <v>0</v>
      </c>
      <c r="I859" s="80" t="b">
        <v>0</v>
      </c>
      <c r="J859" s="80" t="b">
        <v>0</v>
      </c>
      <c r="K859" s="80" t="b">
        <v>0</v>
      </c>
      <c r="L859" s="80" t="b">
        <v>0</v>
      </c>
    </row>
    <row r="860" spans="1:12" ht="15">
      <c r="A860" s="81" t="s">
        <v>3469</v>
      </c>
      <c r="B860" s="80" t="s">
        <v>3470</v>
      </c>
      <c r="C860" s="80">
        <v>4</v>
      </c>
      <c r="D860" s="105">
        <v>0.0074437416807496</v>
      </c>
      <c r="E860" s="105">
        <v>2.12057393120585</v>
      </c>
      <c r="F860" s="80" t="s">
        <v>3178</v>
      </c>
      <c r="G860" s="80" t="b">
        <v>0</v>
      </c>
      <c r="H860" s="80" t="b">
        <v>0</v>
      </c>
      <c r="I860" s="80" t="b">
        <v>0</v>
      </c>
      <c r="J860" s="80" t="b">
        <v>0</v>
      </c>
      <c r="K860" s="80" t="b">
        <v>0</v>
      </c>
      <c r="L860" s="80" t="b">
        <v>0</v>
      </c>
    </row>
    <row r="861" spans="1:12" ht="15">
      <c r="A861" s="81" t="s">
        <v>3470</v>
      </c>
      <c r="B861" s="80" t="s">
        <v>3260</v>
      </c>
      <c r="C861" s="80">
        <v>4</v>
      </c>
      <c r="D861" s="105">
        <v>0.0074437416807496</v>
      </c>
      <c r="E861" s="105">
        <v>1.0505360645980948</v>
      </c>
      <c r="F861" s="80" t="s">
        <v>3178</v>
      </c>
      <c r="G861" s="80" t="b">
        <v>0</v>
      </c>
      <c r="H861" s="80" t="b">
        <v>0</v>
      </c>
      <c r="I861" s="80" t="b">
        <v>0</v>
      </c>
      <c r="J861" s="80" t="b">
        <v>0</v>
      </c>
      <c r="K861" s="80" t="b">
        <v>0</v>
      </c>
      <c r="L861" s="80" t="b">
        <v>0</v>
      </c>
    </row>
    <row r="862" spans="1:12" ht="15">
      <c r="A862" s="81" t="s">
        <v>3269</v>
      </c>
      <c r="B862" s="80" t="s">
        <v>3471</v>
      </c>
      <c r="C862" s="80">
        <v>4</v>
      </c>
      <c r="D862" s="105">
        <v>0.0074437416807496</v>
      </c>
      <c r="E862" s="105">
        <v>1.8775358825195554</v>
      </c>
      <c r="F862" s="80" t="s">
        <v>3178</v>
      </c>
      <c r="G862" s="80" t="b">
        <v>0</v>
      </c>
      <c r="H862" s="80" t="b">
        <v>0</v>
      </c>
      <c r="I862" s="80" t="b">
        <v>0</v>
      </c>
      <c r="J862" s="80" t="b">
        <v>0</v>
      </c>
      <c r="K862" s="80" t="b">
        <v>0</v>
      </c>
      <c r="L862" s="80" t="b">
        <v>0</v>
      </c>
    </row>
    <row r="863" spans="1:12" ht="15">
      <c r="A863" s="81" t="s">
        <v>3463</v>
      </c>
      <c r="B863" s="80" t="s">
        <v>3348</v>
      </c>
      <c r="C863" s="80">
        <v>4</v>
      </c>
      <c r="D863" s="105">
        <v>0.009537863389716426</v>
      </c>
      <c r="E863" s="105">
        <v>1.7683914130944873</v>
      </c>
      <c r="F863" s="80" t="s">
        <v>3178</v>
      </c>
      <c r="G863" s="80" t="b">
        <v>0</v>
      </c>
      <c r="H863" s="80" t="b">
        <v>0</v>
      </c>
      <c r="I863" s="80" t="b">
        <v>0</v>
      </c>
      <c r="J863" s="80" t="b">
        <v>0</v>
      </c>
      <c r="K863" s="80" t="b">
        <v>0</v>
      </c>
      <c r="L863" s="80" t="b">
        <v>0</v>
      </c>
    </row>
    <row r="864" spans="1:12" ht="15">
      <c r="A864" s="81" t="s">
        <v>3348</v>
      </c>
      <c r="B864" s="80" t="s">
        <v>3356</v>
      </c>
      <c r="C864" s="80">
        <v>4</v>
      </c>
      <c r="D864" s="105">
        <v>0.009537863389716426</v>
      </c>
      <c r="E864" s="105">
        <v>1.467361417430506</v>
      </c>
      <c r="F864" s="80" t="s">
        <v>3178</v>
      </c>
      <c r="G864" s="80" t="b">
        <v>0</v>
      </c>
      <c r="H864" s="80" t="b">
        <v>0</v>
      </c>
      <c r="I864" s="80" t="b">
        <v>0</v>
      </c>
      <c r="J864" s="80" t="b">
        <v>0</v>
      </c>
      <c r="K864" s="80" t="b">
        <v>0</v>
      </c>
      <c r="L864" s="80" t="b">
        <v>0</v>
      </c>
    </row>
    <row r="865" spans="1:12" ht="15">
      <c r="A865" s="81" t="s">
        <v>3461</v>
      </c>
      <c r="B865" s="80" t="s">
        <v>3462</v>
      </c>
      <c r="C865" s="80">
        <v>4</v>
      </c>
      <c r="D865" s="105">
        <v>0.0074437416807496</v>
      </c>
      <c r="E865" s="105">
        <v>2.12057393120585</v>
      </c>
      <c r="F865" s="80" t="s">
        <v>3178</v>
      </c>
      <c r="G865" s="80" t="b">
        <v>0</v>
      </c>
      <c r="H865" s="80" t="b">
        <v>0</v>
      </c>
      <c r="I865" s="80" t="b">
        <v>0</v>
      </c>
      <c r="J865" s="80" t="b">
        <v>0</v>
      </c>
      <c r="K865" s="80" t="b">
        <v>0</v>
      </c>
      <c r="L865" s="80" t="b">
        <v>0</v>
      </c>
    </row>
    <row r="866" spans="1:12" ht="15">
      <c r="A866" s="81" t="s">
        <v>3462</v>
      </c>
      <c r="B866" s="80" t="s">
        <v>3260</v>
      </c>
      <c r="C866" s="80">
        <v>4</v>
      </c>
      <c r="D866" s="105">
        <v>0.0074437416807496</v>
      </c>
      <c r="E866" s="105">
        <v>1.0505360645980948</v>
      </c>
      <c r="F866" s="80" t="s">
        <v>3178</v>
      </c>
      <c r="G866" s="80" t="b">
        <v>0</v>
      </c>
      <c r="H866" s="80" t="b">
        <v>0</v>
      </c>
      <c r="I866" s="80" t="b">
        <v>0</v>
      </c>
      <c r="J866" s="80" t="b">
        <v>0</v>
      </c>
      <c r="K866" s="80" t="b">
        <v>0</v>
      </c>
      <c r="L866" s="80" t="b">
        <v>0</v>
      </c>
    </row>
    <row r="867" spans="1:12" ht="15">
      <c r="A867" s="81" t="s">
        <v>3315</v>
      </c>
      <c r="B867" s="80" t="s">
        <v>3379</v>
      </c>
      <c r="C867" s="80">
        <v>4</v>
      </c>
      <c r="D867" s="105">
        <v>0.0074437416807496</v>
      </c>
      <c r="E867" s="105">
        <v>1.4325993111712942</v>
      </c>
      <c r="F867" s="80" t="s">
        <v>3178</v>
      </c>
      <c r="G867" s="80" t="b">
        <v>0</v>
      </c>
      <c r="H867" s="80" t="b">
        <v>0</v>
      </c>
      <c r="I867" s="80" t="b">
        <v>0</v>
      </c>
      <c r="J867" s="80" t="b">
        <v>0</v>
      </c>
      <c r="K867" s="80" t="b">
        <v>0</v>
      </c>
      <c r="L867" s="80" t="b">
        <v>0</v>
      </c>
    </row>
    <row r="868" spans="1:12" ht="15">
      <c r="A868" s="81" t="s">
        <v>3379</v>
      </c>
      <c r="B868" s="80" t="s">
        <v>3356</v>
      </c>
      <c r="C868" s="80">
        <v>4</v>
      </c>
      <c r="D868" s="105">
        <v>0.0074437416807496</v>
      </c>
      <c r="E868" s="105">
        <v>1.6434526764861874</v>
      </c>
      <c r="F868" s="80" t="s">
        <v>3178</v>
      </c>
      <c r="G868" s="80" t="b">
        <v>0</v>
      </c>
      <c r="H868" s="80" t="b">
        <v>0</v>
      </c>
      <c r="I868" s="80" t="b">
        <v>0</v>
      </c>
      <c r="J868" s="80" t="b">
        <v>0</v>
      </c>
      <c r="K868" s="80" t="b">
        <v>0</v>
      </c>
      <c r="L868" s="80" t="b">
        <v>0</v>
      </c>
    </row>
    <row r="869" spans="1:12" ht="15">
      <c r="A869" s="81" t="s">
        <v>3356</v>
      </c>
      <c r="B869" s="80" t="s">
        <v>3455</v>
      </c>
      <c r="C869" s="80">
        <v>4</v>
      </c>
      <c r="D869" s="105">
        <v>0.0074437416807496</v>
      </c>
      <c r="E869" s="105">
        <v>1.8195439355418688</v>
      </c>
      <c r="F869" s="80" t="s">
        <v>3178</v>
      </c>
      <c r="G869" s="80" t="b">
        <v>0</v>
      </c>
      <c r="H869" s="80" t="b">
        <v>0</v>
      </c>
      <c r="I869" s="80" t="b">
        <v>0</v>
      </c>
      <c r="J869" s="80" t="b">
        <v>0</v>
      </c>
      <c r="K869" s="80" t="b">
        <v>0</v>
      </c>
      <c r="L869" s="80" t="b">
        <v>0</v>
      </c>
    </row>
    <row r="870" spans="1:12" ht="15">
      <c r="A870" s="81" t="s">
        <v>3455</v>
      </c>
      <c r="B870" s="80" t="s">
        <v>3456</v>
      </c>
      <c r="C870" s="80">
        <v>4</v>
      </c>
      <c r="D870" s="105">
        <v>0.0074437416807496</v>
      </c>
      <c r="E870" s="105">
        <v>2.12057393120585</v>
      </c>
      <c r="F870" s="80" t="s">
        <v>3178</v>
      </c>
      <c r="G870" s="80" t="b">
        <v>0</v>
      </c>
      <c r="H870" s="80" t="b">
        <v>0</v>
      </c>
      <c r="I870" s="80" t="b">
        <v>0</v>
      </c>
      <c r="J870" s="80" t="b">
        <v>0</v>
      </c>
      <c r="K870" s="80" t="b">
        <v>0</v>
      </c>
      <c r="L870" s="80" t="b">
        <v>0</v>
      </c>
    </row>
    <row r="871" spans="1:12" ht="15">
      <c r="A871" s="81" t="s">
        <v>3456</v>
      </c>
      <c r="B871" s="80" t="s">
        <v>3457</v>
      </c>
      <c r="C871" s="80">
        <v>4</v>
      </c>
      <c r="D871" s="105">
        <v>0.0074437416807496</v>
      </c>
      <c r="E871" s="105">
        <v>2.12057393120585</v>
      </c>
      <c r="F871" s="80" t="s">
        <v>3178</v>
      </c>
      <c r="G871" s="80" t="b">
        <v>0</v>
      </c>
      <c r="H871" s="80" t="b">
        <v>0</v>
      </c>
      <c r="I871" s="80" t="b">
        <v>0</v>
      </c>
      <c r="J871" s="80" t="b">
        <v>0</v>
      </c>
      <c r="K871" s="80" t="b">
        <v>0</v>
      </c>
      <c r="L871" s="80" t="b">
        <v>0</v>
      </c>
    </row>
    <row r="872" spans="1:12" ht="15">
      <c r="A872" s="81" t="s">
        <v>3457</v>
      </c>
      <c r="B872" s="80" t="s">
        <v>3458</v>
      </c>
      <c r="C872" s="80">
        <v>4</v>
      </c>
      <c r="D872" s="105">
        <v>0.0074437416807496</v>
      </c>
      <c r="E872" s="105">
        <v>2.12057393120585</v>
      </c>
      <c r="F872" s="80" t="s">
        <v>3178</v>
      </c>
      <c r="G872" s="80" t="b">
        <v>0</v>
      </c>
      <c r="H872" s="80" t="b">
        <v>0</v>
      </c>
      <c r="I872" s="80" t="b">
        <v>0</v>
      </c>
      <c r="J872" s="80" t="b">
        <v>0</v>
      </c>
      <c r="K872" s="80" t="b">
        <v>0</v>
      </c>
      <c r="L872" s="80" t="b">
        <v>0</v>
      </c>
    </row>
    <row r="873" spans="1:12" ht="15">
      <c r="A873" s="81" t="s">
        <v>3458</v>
      </c>
      <c r="B873" s="80" t="s">
        <v>3260</v>
      </c>
      <c r="C873" s="80">
        <v>4</v>
      </c>
      <c r="D873" s="105">
        <v>0.0074437416807496</v>
      </c>
      <c r="E873" s="105">
        <v>1.0505360645980948</v>
      </c>
      <c r="F873" s="80" t="s">
        <v>3178</v>
      </c>
      <c r="G873" s="80" t="b">
        <v>0</v>
      </c>
      <c r="H873" s="80" t="b">
        <v>0</v>
      </c>
      <c r="I873" s="80" t="b">
        <v>0</v>
      </c>
      <c r="J873" s="80" t="b">
        <v>0</v>
      </c>
      <c r="K873" s="80" t="b">
        <v>0</v>
      </c>
      <c r="L873" s="80" t="b">
        <v>0</v>
      </c>
    </row>
    <row r="874" spans="1:12" ht="15">
      <c r="A874" s="81" t="s">
        <v>3374</v>
      </c>
      <c r="B874" s="80" t="s">
        <v>3382</v>
      </c>
      <c r="C874" s="80">
        <v>3</v>
      </c>
      <c r="D874" s="105">
        <v>0.006234660538518548</v>
      </c>
      <c r="E874" s="105">
        <v>1.7226339225338123</v>
      </c>
      <c r="F874" s="80" t="s">
        <v>3178</v>
      </c>
      <c r="G874" s="80" t="b">
        <v>0</v>
      </c>
      <c r="H874" s="80" t="b">
        <v>0</v>
      </c>
      <c r="I874" s="80" t="b">
        <v>0</v>
      </c>
      <c r="J874" s="80" t="b">
        <v>0</v>
      </c>
      <c r="K874" s="80" t="b">
        <v>0</v>
      </c>
      <c r="L874" s="80" t="b">
        <v>0</v>
      </c>
    </row>
    <row r="875" spans="1:12" ht="15">
      <c r="A875" s="81" t="s">
        <v>3382</v>
      </c>
      <c r="B875" s="80" t="s">
        <v>3601</v>
      </c>
      <c r="C875" s="80">
        <v>3</v>
      </c>
      <c r="D875" s="105">
        <v>0.006234660538518548</v>
      </c>
      <c r="E875" s="105">
        <v>1.9444826721501687</v>
      </c>
      <c r="F875" s="80" t="s">
        <v>3178</v>
      </c>
      <c r="G875" s="80" t="b">
        <v>0</v>
      </c>
      <c r="H875" s="80" t="b">
        <v>0</v>
      </c>
      <c r="I875" s="80" t="b">
        <v>0</v>
      </c>
      <c r="J875" s="80" t="b">
        <v>0</v>
      </c>
      <c r="K875" s="80" t="b">
        <v>0</v>
      </c>
      <c r="L875" s="80" t="b">
        <v>0</v>
      </c>
    </row>
    <row r="876" spans="1:12" ht="15">
      <c r="A876" s="81" t="s">
        <v>3601</v>
      </c>
      <c r="B876" s="80" t="s">
        <v>3602</v>
      </c>
      <c r="C876" s="80">
        <v>3</v>
      </c>
      <c r="D876" s="105">
        <v>0.006234660538518548</v>
      </c>
      <c r="E876" s="105">
        <v>2.24551266781415</v>
      </c>
      <c r="F876" s="80" t="s">
        <v>3178</v>
      </c>
      <c r="G876" s="80" t="b">
        <v>0</v>
      </c>
      <c r="H876" s="80" t="b">
        <v>0</v>
      </c>
      <c r="I876" s="80" t="b">
        <v>0</v>
      </c>
      <c r="J876" s="80" t="b">
        <v>0</v>
      </c>
      <c r="K876" s="80" t="b">
        <v>0</v>
      </c>
      <c r="L876" s="80" t="b">
        <v>0</v>
      </c>
    </row>
    <row r="877" spans="1:12" ht="15">
      <c r="A877" s="81" t="s">
        <v>3602</v>
      </c>
      <c r="B877" s="80" t="s">
        <v>3603</v>
      </c>
      <c r="C877" s="80">
        <v>3</v>
      </c>
      <c r="D877" s="105">
        <v>0.006234660538518548</v>
      </c>
      <c r="E877" s="105">
        <v>2.24551266781415</v>
      </c>
      <c r="F877" s="80" t="s">
        <v>3178</v>
      </c>
      <c r="G877" s="80" t="b">
        <v>0</v>
      </c>
      <c r="H877" s="80" t="b">
        <v>0</v>
      </c>
      <c r="I877" s="80" t="b">
        <v>0</v>
      </c>
      <c r="J877" s="80" t="b">
        <v>0</v>
      </c>
      <c r="K877" s="80" t="b">
        <v>0</v>
      </c>
      <c r="L877" s="80" t="b">
        <v>0</v>
      </c>
    </row>
    <row r="878" spans="1:12" ht="15">
      <c r="A878" s="81" t="s">
        <v>3603</v>
      </c>
      <c r="B878" s="80" t="s">
        <v>497</v>
      </c>
      <c r="C878" s="80">
        <v>3</v>
      </c>
      <c r="D878" s="105">
        <v>0.006234660538518548</v>
      </c>
      <c r="E878" s="105">
        <v>2.24551266781415</v>
      </c>
      <c r="F878" s="80" t="s">
        <v>3178</v>
      </c>
      <c r="G878" s="80" t="b">
        <v>0</v>
      </c>
      <c r="H878" s="80" t="b">
        <v>0</v>
      </c>
      <c r="I878" s="80" t="b">
        <v>0</v>
      </c>
      <c r="J878" s="80" t="b">
        <v>0</v>
      </c>
      <c r="K878" s="80" t="b">
        <v>0</v>
      </c>
      <c r="L878" s="80" t="b">
        <v>0</v>
      </c>
    </row>
    <row r="879" spans="1:12" ht="15">
      <c r="A879" s="81" t="s">
        <v>497</v>
      </c>
      <c r="B879" s="80" t="s">
        <v>3260</v>
      </c>
      <c r="C879" s="80">
        <v>3</v>
      </c>
      <c r="D879" s="105">
        <v>0.006234660538518548</v>
      </c>
      <c r="E879" s="105">
        <v>1.0505360645980948</v>
      </c>
      <c r="F879" s="80" t="s">
        <v>3178</v>
      </c>
      <c r="G879" s="80" t="b">
        <v>0</v>
      </c>
      <c r="H879" s="80" t="b">
        <v>0</v>
      </c>
      <c r="I879" s="80" t="b">
        <v>0</v>
      </c>
      <c r="J879" s="80" t="b">
        <v>0</v>
      </c>
      <c r="K879" s="80" t="b">
        <v>0</v>
      </c>
      <c r="L879" s="80" t="b">
        <v>0</v>
      </c>
    </row>
    <row r="880" spans="1:12" ht="15">
      <c r="A880" s="81" t="s">
        <v>3315</v>
      </c>
      <c r="B880" s="80" t="s">
        <v>3610</v>
      </c>
      <c r="C880" s="80">
        <v>3</v>
      </c>
      <c r="D880" s="105">
        <v>0.006234660538518548</v>
      </c>
      <c r="E880" s="105">
        <v>1.6086905702269754</v>
      </c>
      <c r="F880" s="80" t="s">
        <v>3178</v>
      </c>
      <c r="G880" s="80" t="b">
        <v>0</v>
      </c>
      <c r="H880" s="80" t="b">
        <v>0</v>
      </c>
      <c r="I880" s="80" t="b">
        <v>0</v>
      </c>
      <c r="J880" s="80" t="b">
        <v>0</v>
      </c>
      <c r="K880" s="80" t="b">
        <v>0</v>
      </c>
      <c r="L880" s="80" t="b">
        <v>0</v>
      </c>
    </row>
    <row r="881" spans="1:12" ht="15">
      <c r="A881" s="81" t="s">
        <v>3610</v>
      </c>
      <c r="B881" s="80" t="s">
        <v>3382</v>
      </c>
      <c r="C881" s="80">
        <v>3</v>
      </c>
      <c r="D881" s="105">
        <v>0.006234660538518548</v>
      </c>
      <c r="E881" s="105">
        <v>1.9444826721501687</v>
      </c>
      <c r="F881" s="80" t="s">
        <v>3178</v>
      </c>
      <c r="G881" s="80" t="b">
        <v>0</v>
      </c>
      <c r="H881" s="80" t="b">
        <v>0</v>
      </c>
      <c r="I881" s="80" t="b">
        <v>0</v>
      </c>
      <c r="J881" s="80" t="b">
        <v>0</v>
      </c>
      <c r="K881" s="80" t="b">
        <v>0</v>
      </c>
      <c r="L881" s="80" t="b">
        <v>0</v>
      </c>
    </row>
    <row r="882" spans="1:12" ht="15">
      <c r="A882" s="81" t="s">
        <v>3382</v>
      </c>
      <c r="B882" s="80" t="s">
        <v>3285</v>
      </c>
      <c r="C882" s="80">
        <v>3</v>
      </c>
      <c r="D882" s="105">
        <v>0.006234660538518548</v>
      </c>
      <c r="E882" s="105">
        <v>1.1911550054915572</v>
      </c>
      <c r="F882" s="80" t="s">
        <v>3178</v>
      </c>
      <c r="G882" s="80" t="b">
        <v>0</v>
      </c>
      <c r="H882" s="80" t="b">
        <v>0</v>
      </c>
      <c r="I882" s="80" t="b">
        <v>0</v>
      </c>
      <c r="J882" s="80" t="b">
        <v>0</v>
      </c>
      <c r="K882" s="80" t="b">
        <v>0</v>
      </c>
      <c r="L882" s="80" t="b">
        <v>0</v>
      </c>
    </row>
    <row r="883" spans="1:12" ht="15">
      <c r="A883" s="81" t="s">
        <v>3285</v>
      </c>
      <c r="B883" s="80" t="s">
        <v>3611</v>
      </c>
      <c r="C883" s="80">
        <v>3</v>
      </c>
      <c r="D883" s="105">
        <v>0.006234660538518548</v>
      </c>
      <c r="E883" s="105">
        <v>1.4921850011555384</v>
      </c>
      <c r="F883" s="80" t="s">
        <v>3178</v>
      </c>
      <c r="G883" s="80" t="b">
        <v>0</v>
      </c>
      <c r="H883" s="80" t="b">
        <v>0</v>
      </c>
      <c r="I883" s="80" t="b">
        <v>0</v>
      </c>
      <c r="J883" s="80" t="b">
        <v>0</v>
      </c>
      <c r="K883" s="80" t="b">
        <v>0</v>
      </c>
      <c r="L883" s="80" t="b">
        <v>0</v>
      </c>
    </row>
    <row r="884" spans="1:12" ht="15">
      <c r="A884" s="81" t="s">
        <v>3611</v>
      </c>
      <c r="B884" s="80" t="s">
        <v>3612</v>
      </c>
      <c r="C884" s="80">
        <v>3</v>
      </c>
      <c r="D884" s="105">
        <v>0.006234660538518548</v>
      </c>
      <c r="E884" s="105">
        <v>2.24551266781415</v>
      </c>
      <c r="F884" s="80" t="s">
        <v>3178</v>
      </c>
      <c r="G884" s="80" t="b">
        <v>0</v>
      </c>
      <c r="H884" s="80" t="b">
        <v>0</v>
      </c>
      <c r="I884" s="80" t="b">
        <v>0</v>
      </c>
      <c r="J884" s="80" t="b">
        <v>0</v>
      </c>
      <c r="K884" s="80" t="b">
        <v>0</v>
      </c>
      <c r="L884" s="80" t="b">
        <v>0</v>
      </c>
    </row>
    <row r="885" spans="1:12" ht="15">
      <c r="A885" s="81" t="s">
        <v>3612</v>
      </c>
      <c r="B885" s="80" t="s">
        <v>3613</v>
      </c>
      <c r="C885" s="80">
        <v>3</v>
      </c>
      <c r="D885" s="105">
        <v>0.006234660538518548</v>
      </c>
      <c r="E885" s="105">
        <v>2.24551266781415</v>
      </c>
      <c r="F885" s="80" t="s">
        <v>3178</v>
      </c>
      <c r="G885" s="80" t="b">
        <v>0</v>
      </c>
      <c r="H885" s="80" t="b">
        <v>0</v>
      </c>
      <c r="I885" s="80" t="b">
        <v>0</v>
      </c>
      <c r="J885" s="80" t="b">
        <v>0</v>
      </c>
      <c r="K885" s="80" t="b">
        <v>0</v>
      </c>
      <c r="L885" s="80" t="b">
        <v>0</v>
      </c>
    </row>
    <row r="886" spans="1:12" ht="15">
      <c r="A886" s="81" t="s">
        <v>3613</v>
      </c>
      <c r="B886" s="80" t="s">
        <v>3381</v>
      </c>
      <c r="C886" s="80">
        <v>3</v>
      </c>
      <c r="D886" s="105">
        <v>0.006234660538518548</v>
      </c>
      <c r="E886" s="105">
        <v>1.9444826721501687</v>
      </c>
      <c r="F886" s="80" t="s">
        <v>3178</v>
      </c>
      <c r="G886" s="80" t="b">
        <v>0</v>
      </c>
      <c r="H886" s="80" t="b">
        <v>0</v>
      </c>
      <c r="I886" s="80" t="b">
        <v>0</v>
      </c>
      <c r="J886" s="80" t="b">
        <v>0</v>
      </c>
      <c r="K886" s="80" t="b">
        <v>0</v>
      </c>
      <c r="L886" s="80" t="b">
        <v>0</v>
      </c>
    </row>
    <row r="887" spans="1:12" ht="15">
      <c r="A887" s="81" t="s">
        <v>3381</v>
      </c>
      <c r="B887" s="80" t="s">
        <v>3614</v>
      </c>
      <c r="C887" s="80">
        <v>3</v>
      </c>
      <c r="D887" s="105">
        <v>0.006234660538518548</v>
      </c>
      <c r="E887" s="105">
        <v>1.9444826721501687</v>
      </c>
      <c r="F887" s="80" t="s">
        <v>3178</v>
      </c>
      <c r="G887" s="80" t="b">
        <v>0</v>
      </c>
      <c r="H887" s="80" t="b">
        <v>0</v>
      </c>
      <c r="I887" s="80" t="b">
        <v>0</v>
      </c>
      <c r="J887" s="80" t="b">
        <v>0</v>
      </c>
      <c r="K887" s="80" t="b">
        <v>0</v>
      </c>
      <c r="L887" s="80" t="b">
        <v>0</v>
      </c>
    </row>
    <row r="888" spans="1:12" ht="15">
      <c r="A888" s="81" t="s">
        <v>3614</v>
      </c>
      <c r="B888" s="80" t="s">
        <v>3615</v>
      </c>
      <c r="C888" s="80">
        <v>3</v>
      </c>
      <c r="D888" s="105">
        <v>0.006234660538518548</v>
      </c>
      <c r="E888" s="105">
        <v>2.24551266781415</v>
      </c>
      <c r="F888" s="80" t="s">
        <v>3178</v>
      </c>
      <c r="G888" s="80" t="b">
        <v>0</v>
      </c>
      <c r="H888" s="80" t="b">
        <v>0</v>
      </c>
      <c r="I888" s="80" t="b">
        <v>0</v>
      </c>
      <c r="J888" s="80" t="b">
        <v>0</v>
      </c>
      <c r="K888" s="80" t="b">
        <v>0</v>
      </c>
      <c r="L888" s="80" t="b">
        <v>0</v>
      </c>
    </row>
    <row r="889" spans="1:12" ht="15">
      <c r="A889" s="81" t="s">
        <v>3615</v>
      </c>
      <c r="B889" s="80" t="s">
        <v>3616</v>
      </c>
      <c r="C889" s="80">
        <v>3</v>
      </c>
      <c r="D889" s="105">
        <v>0.006234660538518548</v>
      </c>
      <c r="E889" s="105">
        <v>2.24551266781415</v>
      </c>
      <c r="F889" s="80" t="s">
        <v>3178</v>
      </c>
      <c r="G889" s="80" t="b">
        <v>0</v>
      </c>
      <c r="H889" s="80" t="b">
        <v>0</v>
      </c>
      <c r="I889" s="80" t="b">
        <v>0</v>
      </c>
      <c r="J889" s="80" t="b">
        <v>0</v>
      </c>
      <c r="K889" s="80" t="b">
        <v>0</v>
      </c>
      <c r="L889" s="80" t="b">
        <v>0</v>
      </c>
    </row>
    <row r="890" spans="1:12" ht="15">
      <c r="A890" s="81" t="s">
        <v>3616</v>
      </c>
      <c r="B890" s="80" t="s">
        <v>3617</v>
      </c>
      <c r="C890" s="80">
        <v>3</v>
      </c>
      <c r="D890" s="105">
        <v>0.006234660538518548</v>
      </c>
      <c r="E890" s="105">
        <v>2.24551266781415</v>
      </c>
      <c r="F890" s="80" t="s">
        <v>3178</v>
      </c>
      <c r="G890" s="80" t="b">
        <v>0</v>
      </c>
      <c r="H890" s="80" t="b">
        <v>0</v>
      </c>
      <c r="I890" s="80" t="b">
        <v>0</v>
      </c>
      <c r="J890" s="80" t="b">
        <v>0</v>
      </c>
      <c r="K890" s="80" t="b">
        <v>0</v>
      </c>
      <c r="L890" s="80" t="b">
        <v>0</v>
      </c>
    </row>
    <row r="891" spans="1:12" ht="15">
      <c r="A891" s="81" t="s">
        <v>3617</v>
      </c>
      <c r="B891" s="80" t="s">
        <v>3285</v>
      </c>
      <c r="C891" s="80">
        <v>3</v>
      </c>
      <c r="D891" s="105">
        <v>0.006234660538518548</v>
      </c>
      <c r="E891" s="105">
        <v>1.4921850011555384</v>
      </c>
      <c r="F891" s="80" t="s">
        <v>3178</v>
      </c>
      <c r="G891" s="80" t="b">
        <v>0</v>
      </c>
      <c r="H891" s="80" t="b">
        <v>0</v>
      </c>
      <c r="I891" s="80" t="b">
        <v>0</v>
      </c>
      <c r="J891" s="80" t="b">
        <v>0</v>
      </c>
      <c r="K891" s="80" t="b">
        <v>0</v>
      </c>
      <c r="L891" s="80" t="b">
        <v>0</v>
      </c>
    </row>
    <row r="892" spans="1:12" ht="15">
      <c r="A892" s="81" t="s">
        <v>3285</v>
      </c>
      <c r="B892" s="80" t="s">
        <v>3618</v>
      </c>
      <c r="C892" s="80">
        <v>3</v>
      </c>
      <c r="D892" s="105">
        <v>0.006234660538518548</v>
      </c>
      <c r="E892" s="105">
        <v>1.4921850011555384</v>
      </c>
      <c r="F892" s="80" t="s">
        <v>3178</v>
      </c>
      <c r="G892" s="80" t="b">
        <v>0</v>
      </c>
      <c r="H892" s="80" t="b">
        <v>0</v>
      </c>
      <c r="I892" s="80" t="b">
        <v>0</v>
      </c>
      <c r="J892" s="80" t="b">
        <v>0</v>
      </c>
      <c r="K892" s="80" t="b">
        <v>0</v>
      </c>
      <c r="L892" s="80" t="b">
        <v>0</v>
      </c>
    </row>
    <row r="893" spans="1:12" ht="15">
      <c r="A893" s="81" t="s">
        <v>3618</v>
      </c>
      <c r="B893" s="80" t="s">
        <v>3619</v>
      </c>
      <c r="C893" s="80">
        <v>3</v>
      </c>
      <c r="D893" s="105">
        <v>0.006234660538518548</v>
      </c>
      <c r="E893" s="105">
        <v>2.24551266781415</v>
      </c>
      <c r="F893" s="80" t="s">
        <v>3178</v>
      </c>
      <c r="G893" s="80" t="b">
        <v>0</v>
      </c>
      <c r="H893" s="80" t="b">
        <v>0</v>
      </c>
      <c r="I893" s="80" t="b">
        <v>0</v>
      </c>
      <c r="J893" s="80" t="b">
        <v>0</v>
      </c>
      <c r="K893" s="80" t="b">
        <v>0</v>
      </c>
      <c r="L893" s="80" t="b">
        <v>0</v>
      </c>
    </row>
    <row r="894" spans="1:12" ht="15">
      <c r="A894" s="81" t="s">
        <v>3619</v>
      </c>
      <c r="B894" s="80" t="s">
        <v>3620</v>
      </c>
      <c r="C894" s="80">
        <v>3</v>
      </c>
      <c r="D894" s="105">
        <v>0.006234660538518548</v>
      </c>
      <c r="E894" s="105">
        <v>2.24551266781415</v>
      </c>
      <c r="F894" s="80" t="s">
        <v>3178</v>
      </c>
      <c r="G894" s="80" t="b">
        <v>0</v>
      </c>
      <c r="H894" s="80" t="b">
        <v>0</v>
      </c>
      <c r="I894" s="80" t="b">
        <v>0</v>
      </c>
      <c r="J894" s="80" t="b">
        <v>0</v>
      </c>
      <c r="K894" s="80" t="b">
        <v>0</v>
      </c>
      <c r="L894" s="80" t="b">
        <v>0</v>
      </c>
    </row>
    <row r="895" spans="1:12" ht="15">
      <c r="A895" s="81" t="s">
        <v>3620</v>
      </c>
      <c r="B895" s="80" t="s">
        <v>3621</v>
      </c>
      <c r="C895" s="80">
        <v>3</v>
      </c>
      <c r="D895" s="105">
        <v>0.006234660538518548</v>
      </c>
      <c r="E895" s="105">
        <v>2.24551266781415</v>
      </c>
      <c r="F895" s="80" t="s">
        <v>3178</v>
      </c>
      <c r="G895" s="80" t="b">
        <v>0</v>
      </c>
      <c r="H895" s="80" t="b">
        <v>0</v>
      </c>
      <c r="I895" s="80" t="b">
        <v>0</v>
      </c>
      <c r="J895" s="80" t="b">
        <v>0</v>
      </c>
      <c r="K895" s="80" t="b">
        <v>0</v>
      </c>
      <c r="L895" s="80" t="b">
        <v>0</v>
      </c>
    </row>
    <row r="896" spans="1:12" ht="15">
      <c r="A896" s="81" t="s">
        <v>3621</v>
      </c>
      <c r="B896" s="80" t="s">
        <v>3260</v>
      </c>
      <c r="C896" s="80">
        <v>3</v>
      </c>
      <c r="D896" s="105">
        <v>0.006234660538518548</v>
      </c>
      <c r="E896" s="105">
        <v>1.0505360645980948</v>
      </c>
      <c r="F896" s="80" t="s">
        <v>3178</v>
      </c>
      <c r="G896" s="80" t="b">
        <v>0</v>
      </c>
      <c r="H896" s="80" t="b">
        <v>0</v>
      </c>
      <c r="I896" s="80" t="b">
        <v>0</v>
      </c>
      <c r="J896" s="80" t="b">
        <v>0</v>
      </c>
      <c r="K896" s="80" t="b">
        <v>0</v>
      </c>
      <c r="L896" s="80" t="b">
        <v>0</v>
      </c>
    </row>
    <row r="897" spans="1:12" ht="15">
      <c r="A897" s="81" t="s">
        <v>3604</v>
      </c>
      <c r="B897" s="80" t="s">
        <v>3285</v>
      </c>
      <c r="C897" s="80">
        <v>3</v>
      </c>
      <c r="D897" s="105">
        <v>0.006234660538518548</v>
      </c>
      <c r="E897" s="105">
        <v>1.4921850011555384</v>
      </c>
      <c r="F897" s="80" t="s">
        <v>3178</v>
      </c>
      <c r="G897" s="80" t="b">
        <v>0</v>
      </c>
      <c r="H897" s="80" t="b">
        <v>0</v>
      </c>
      <c r="I897" s="80" t="b">
        <v>0</v>
      </c>
      <c r="J897" s="80" t="b">
        <v>0</v>
      </c>
      <c r="K897" s="80" t="b">
        <v>0</v>
      </c>
      <c r="L897" s="80" t="b">
        <v>0</v>
      </c>
    </row>
    <row r="898" spans="1:12" ht="15">
      <c r="A898" s="81" t="s">
        <v>3285</v>
      </c>
      <c r="B898" s="80" t="s">
        <v>3605</v>
      </c>
      <c r="C898" s="80">
        <v>3</v>
      </c>
      <c r="D898" s="105">
        <v>0.006234660538518548</v>
      </c>
      <c r="E898" s="105">
        <v>1.4921850011555384</v>
      </c>
      <c r="F898" s="80" t="s">
        <v>3178</v>
      </c>
      <c r="G898" s="80" t="b">
        <v>0</v>
      </c>
      <c r="H898" s="80" t="b">
        <v>0</v>
      </c>
      <c r="I898" s="80" t="b">
        <v>0</v>
      </c>
      <c r="J898" s="80" t="b">
        <v>0</v>
      </c>
      <c r="K898" s="80" t="b">
        <v>0</v>
      </c>
      <c r="L898" s="80" t="b">
        <v>0</v>
      </c>
    </row>
    <row r="899" spans="1:12" ht="15">
      <c r="A899" s="81" t="s">
        <v>3605</v>
      </c>
      <c r="B899" s="80" t="s">
        <v>3606</v>
      </c>
      <c r="C899" s="80">
        <v>3</v>
      </c>
      <c r="D899" s="105">
        <v>0.006234660538518548</v>
      </c>
      <c r="E899" s="105">
        <v>2.24551266781415</v>
      </c>
      <c r="F899" s="80" t="s">
        <v>3178</v>
      </c>
      <c r="G899" s="80" t="b">
        <v>0</v>
      </c>
      <c r="H899" s="80" t="b">
        <v>0</v>
      </c>
      <c r="I899" s="80" t="b">
        <v>0</v>
      </c>
      <c r="J899" s="80" t="b">
        <v>0</v>
      </c>
      <c r="K899" s="80" t="b">
        <v>0</v>
      </c>
      <c r="L899" s="80" t="b">
        <v>0</v>
      </c>
    </row>
    <row r="900" spans="1:12" ht="15">
      <c r="A900" s="81" t="s">
        <v>3606</v>
      </c>
      <c r="B900" s="80" t="s">
        <v>3607</v>
      </c>
      <c r="C900" s="80">
        <v>3</v>
      </c>
      <c r="D900" s="105">
        <v>0.006234660538518548</v>
      </c>
      <c r="E900" s="105">
        <v>2.24551266781415</v>
      </c>
      <c r="F900" s="80" t="s">
        <v>3178</v>
      </c>
      <c r="G900" s="80" t="b">
        <v>0</v>
      </c>
      <c r="H900" s="80" t="b">
        <v>0</v>
      </c>
      <c r="I900" s="80" t="b">
        <v>0</v>
      </c>
      <c r="J900" s="80" t="b">
        <v>0</v>
      </c>
      <c r="K900" s="80" t="b">
        <v>0</v>
      </c>
      <c r="L900" s="80" t="b">
        <v>0</v>
      </c>
    </row>
    <row r="901" spans="1:12" ht="15">
      <c r="A901" s="81" t="s">
        <v>3607</v>
      </c>
      <c r="B901" s="80" t="s">
        <v>3307</v>
      </c>
      <c r="C901" s="80">
        <v>3</v>
      </c>
      <c r="D901" s="105">
        <v>0.006234660538518548</v>
      </c>
      <c r="E901" s="105">
        <v>1.5765058868555741</v>
      </c>
      <c r="F901" s="80" t="s">
        <v>3178</v>
      </c>
      <c r="G901" s="80" t="b">
        <v>0</v>
      </c>
      <c r="H901" s="80" t="b">
        <v>0</v>
      </c>
      <c r="I901" s="80" t="b">
        <v>0</v>
      </c>
      <c r="J901" s="80" t="b">
        <v>0</v>
      </c>
      <c r="K901" s="80" t="b">
        <v>0</v>
      </c>
      <c r="L901" s="80" t="b">
        <v>0</v>
      </c>
    </row>
    <row r="902" spans="1:12" ht="15">
      <c r="A902" s="81" t="s">
        <v>3307</v>
      </c>
      <c r="B902" s="80" t="s">
        <v>3357</v>
      </c>
      <c r="C902" s="80">
        <v>3</v>
      </c>
      <c r="D902" s="105">
        <v>0.006234660538518548</v>
      </c>
      <c r="E902" s="105">
        <v>1.5765058868555741</v>
      </c>
      <c r="F902" s="80" t="s">
        <v>3178</v>
      </c>
      <c r="G902" s="80" t="b">
        <v>0</v>
      </c>
      <c r="H902" s="80" t="b">
        <v>0</v>
      </c>
      <c r="I902" s="80" t="b">
        <v>0</v>
      </c>
      <c r="J902" s="80" t="b">
        <v>0</v>
      </c>
      <c r="K902" s="80" t="b">
        <v>0</v>
      </c>
      <c r="L902" s="80" t="b">
        <v>0</v>
      </c>
    </row>
    <row r="903" spans="1:12" ht="15">
      <c r="A903" s="81" t="s">
        <v>3357</v>
      </c>
      <c r="B903" s="80" t="s">
        <v>3608</v>
      </c>
      <c r="C903" s="80">
        <v>3</v>
      </c>
      <c r="D903" s="105">
        <v>0.006234660538518548</v>
      </c>
      <c r="E903" s="105">
        <v>1.9444826721501687</v>
      </c>
      <c r="F903" s="80" t="s">
        <v>3178</v>
      </c>
      <c r="G903" s="80" t="b">
        <v>0</v>
      </c>
      <c r="H903" s="80" t="b">
        <v>0</v>
      </c>
      <c r="I903" s="80" t="b">
        <v>0</v>
      </c>
      <c r="J903" s="80" t="b">
        <v>0</v>
      </c>
      <c r="K903" s="80" t="b">
        <v>0</v>
      </c>
      <c r="L903" s="80" t="b">
        <v>0</v>
      </c>
    </row>
    <row r="904" spans="1:12" ht="15">
      <c r="A904" s="81" t="s">
        <v>3608</v>
      </c>
      <c r="B904" s="80" t="s">
        <v>3609</v>
      </c>
      <c r="C904" s="80">
        <v>3</v>
      </c>
      <c r="D904" s="105">
        <v>0.006234660538518548</v>
      </c>
      <c r="E904" s="105">
        <v>2.24551266781415</v>
      </c>
      <c r="F904" s="80" t="s">
        <v>3178</v>
      </c>
      <c r="G904" s="80" t="b">
        <v>0</v>
      </c>
      <c r="H904" s="80" t="b">
        <v>0</v>
      </c>
      <c r="I904" s="80" t="b">
        <v>0</v>
      </c>
      <c r="J904" s="80" t="b">
        <v>0</v>
      </c>
      <c r="K904" s="80" t="b">
        <v>0</v>
      </c>
      <c r="L904" s="80" t="b">
        <v>0</v>
      </c>
    </row>
    <row r="905" spans="1:12" ht="15">
      <c r="A905" s="81" t="s">
        <v>3609</v>
      </c>
      <c r="B905" s="80" t="s">
        <v>3260</v>
      </c>
      <c r="C905" s="80">
        <v>3</v>
      </c>
      <c r="D905" s="105">
        <v>0.006234660538518548</v>
      </c>
      <c r="E905" s="105">
        <v>1.0505360645980948</v>
      </c>
      <c r="F905" s="80" t="s">
        <v>3178</v>
      </c>
      <c r="G905" s="80" t="b">
        <v>0</v>
      </c>
      <c r="H905" s="80" t="b">
        <v>0</v>
      </c>
      <c r="I905" s="80" t="b">
        <v>0</v>
      </c>
      <c r="J905" s="80" t="b">
        <v>0</v>
      </c>
      <c r="K905" s="80" t="b">
        <v>0</v>
      </c>
      <c r="L905" s="80" t="b">
        <v>0</v>
      </c>
    </row>
    <row r="906" spans="1:12" ht="15">
      <c r="A906" s="81" t="s">
        <v>3357</v>
      </c>
      <c r="B906" s="80" t="s">
        <v>3594</v>
      </c>
      <c r="C906" s="80">
        <v>3</v>
      </c>
      <c r="D906" s="105">
        <v>0.006234660538518548</v>
      </c>
      <c r="E906" s="105">
        <v>1.9444826721501687</v>
      </c>
      <c r="F906" s="80" t="s">
        <v>3178</v>
      </c>
      <c r="G906" s="80" t="b">
        <v>0</v>
      </c>
      <c r="H906" s="80" t="b">
        <v>0</v>
      </c>
      <c r="I906" s="80" t="b">
        <v>0</v>
      </c>
      <c r="J906" s="80" t="b">
        <v>0</v>
      </c>
      <c r="K906" s="80" t="b">
        <v>0</v>
      </c>
      <c r="L906" s="80" t="b">
        <v>0</v>
      </c>
    </row>
    <row r="907" spans="1:12" ht="15">
      <c r="A907" s="81" t="s">
        <v>3594</v>
      </c>
      <c r="B907" s="80" t="s">
        <v>3315</v>
      </c>
      <c r="C907" s="80">
        <v>3</v>
      </c>
      <c r="D907" s="105">
        <v>0.006234660538518548</v>
      </c>
      <c r="E907" s="105">
        <v>1.9444826721501687</v>
      </c>
      <c r="F907" s="80" t="s">
        <v>3178</v>
      </c>
      <c r="G907" s="80" t="b">
        <v>0</v>
      </c>
      <c r="H907" s="80" t="b">
        <v>0</v>
      </c>
      <c r="I907" s="80" t="b">
        <v>0</v>
      </c>
      <c r="J907" s="80" t="b">
        <v>0</v>
      </c>
      <c r="K907" s="80" t="b">
        <v>0</v>
      </c>
      <c r="L907" s="80" t="b">
        <v>0</v>
      </c>
    </row>
    <row r="908" spans="1:12" ht="15">
      <c r="A908" s="81" t="s">
        <v>3315</v>
      </c>
      <c r="B908" s="80" t="s">
        <v>3595</v>
      </c>
      <c r="C908" s="80">
        <v>3</v>
      </c>
      <c r="D908" s="105">
        <v>0.006234660538518548</v>
      </c>
      <c r="E908" s="105">
        <v>1.6086905702269754</v>
      </c>
      <c r="F908" s="80" t="s">
        <v>3178</v>
      </c>
      <c r="G908" s="80" t="b">
        <v>0</v>
      </c>
      <c r="H908" s="80" t="b">
        <v>0</v>
      </c>
      <c r="I908" s="80" t="b">
        <v>0</v>
      </c>
      <c r="J908" s="80" t="b">
        <v>0</v>
      </c>
      <c r="K908" s="80" t="b">
        <v>0</v>
      </c>
      <c r="L908" s="80" t="b">
        <v>0</v>
      </c>
    </row>
    <row r="909" spans="1:12" ht="15">
      <c r="A909" s="81" t="s">
        <v>3595</v>
      </c>
      <c r="B909" s="80" t="s">
        <v>3596</v>
      </c>
      <c r="C909" s="80">
        <v>3</v>
      </c>
      <c r="D909" s="105">
        <v>0.006234660538518548</v>
      </c>
      <c r="E909" s="105">
        <v>2.24551266781415</v>
      </c>
      <c r="F909" s="80" t="s">
        <v>3178</v>
      </c>
      <c r="G909" s="80" t="b">
        <v>0</v>
      </c>
      <c r="H909" s="80" t="b">
        <v>0</v>
      </c>
      <c r="I909" s="80" t="b">
        <v>0</v>
      </c>
      <c r="J909" s="80" t="b">
        <v>0</v>
      </c>
      <c r="K909" s="80" t="b">
        <v>0</v>
      </c>
      <c r="L909" s="80" t="b">
        <v>0</v>
      </c>
    </row>
    <row r="910" spans="1:12" ht="15">
      <c r="A910" s="81" t="s">
        <v>3596</v>
      </c>
      <c r="B910" s="80" t="s">
        <v>3597</v>
      </c>
      <c r="C910" s="80">
        <v>3</v>
      </c>
      <c r="D910" s="105">
        <v>0.006234660538518548</v>
      </c>
      <c r="E910" s="105">
        <v>2.24551266781415</v>
      </c>
      <c r="F910" s="80" t="s">
        <v>3178</v>
      </c>
      <c r="G910" s="80" t="b">
        <v>0</v>
      </c>
      <c r="H910" s="80" t="b">
        <v>0</v>
      </c>
      <c r="I910" s="80" t="b">
        <v>0</v>
      </c>
      <c r="J910" s="80" t="b">
        <v>0</v>
      </c>
      <c r="K910" s="80" t="b">
        <v>0</v>
      </c>
      <c r="L910" s="80" t="b">
        <v>0</v>
      </c>
    </row>
    <row r="911" spans="1:12" ht="15">
      <c r="A911" s="81" t="s">
        <v>3597</v>
      </c>
      <c r="B911" s="80" t="s">
        <v>3598</v>
      </c>
      <c r="C911" s="80">
        <v>3</v>
      </c>
      <c r="D911" s="105">
        <v>0.006234660538518548</v>
      </c>
      <c r="E911" s="105">
        <v>2.24551266781415</v>
      </c>
      <c r="F911" s="80" t="s">
        <v>3178</v>
      </c>
      <c r="G911" s="80" t="b">
        <v>0</v>
      </c>
      <c r="H911" s="80" t="b">
        <v>0</v>
      </c>
      <c r="I911" s="80" t="b">
        <v>0</v>
      </c>
      <c r="J911" s="80" t="b">
        <v>0</v>
      </c>
      <c r="K911" s="80" t="b">
        <v>0</v>
      </c>
      <c r="L911" s="80" t="b">
        <v>0</v>
      </c>
    </row>
    <row r="912" spans="1:12" ht="15">
      <c r="A912" s="81" t="s">
        <v>3598</v>
      </c>
      <c r="B912" s="80" t="s">
        <v>3397</v>
      </c>
      <c r="C912" s="80">
        <v>3</v>
      </c>
      <c r="D912" s="105">
        <v>0.006234660538518548</v>
      </c>
      <c r="E912" s="105">
        <v>2.0236639181977933</v>
      </c>
      <c r="F912" s="80" t="s">
        <v>3178</v>
      </c>
      <c r="G912" s="80" t="b">
        <v>0</v>
      </c>
      <c r="H912" s="80" t="b">
        <v>0</v>
      </c>
      <c r="I912" s="80" t="b">
        <v>0</v>
      </c>
      <c r="J912" s="80" t="b">
        <v>0</v>
      </c>
      <c r="K912" s="80" t="b">
        <v>0</v>
      </c>
      <c r="L912" s="80" t="b">
        <v>0</v>
      </c>
    </row>
    <row r="913" spans="1:12" ht="15">
      <c r="A913" s="81" t="s">
        <v>3397</v>
      </c>
      <c r="B913" s="80" t="s">
        <v>3599</v>
      </c>
      <c r="C913" s="80">
        <v>3</v>
      </c>
      <c r="D913" s="105">
        <v>0.006234660538518548</v>
      </c>
      <c r="E913" s="105">
        <v>2.0236639181977933</v>
      </c>
      <c r="F913" s="80" t="s">
        <v>3178</v>
      </c>
      <c r="G913" s="80" t="b">
        <v>0</v>
      </c>
      <c r="H913" s="80" t="b">
        <v>0</v>
      </c>
      <c r="I913" s="80" t="b">
        <v>0</v>
      </c>
      <c r="J913" s="80" t="b">
        <v>0</v>
      </c>
      <c r="K913" s="80" t="b">
        <v>0</v>
      </c>
      <c r="L913" s="80" t="b">
        <v>0</v>
      </c>
    </row>
    <row r="914" spans="1:12" ht="15">
      <c r="A914" s="81" t="s">
        <v>3599</v>
      </c>
      <c r="B914" s="80" t="s">
        <v>3600</v>
      </c>
      <c r="C914" s="80">
        <v>3</v>
      </c>
      <c r="D914" s="105">
        <v>0.006234660538518548</v>
      </c>
      <c r="E914" s="105">
        <v>2.24551266781415</v>
      </c>
      <c r="F914" s="80" t="s">
        <v>3178</v>
      </c>
      <c r="G914" s="80" t="b">
        <v>0</v>
      </c>
      <c r="H914" s="80" t="b">
        <v>0</v>
      </c>
      <c r="I914" s="80" t="b">
        <v>0</v>
      </c>
      <c r="J914" s="80" t="b">
        <v>0</v>
      </c>
      <c r="K914" s="80" t="b">
        <v>0</v>
      </c>
      <c r="L914" s="80" t="b">
        <v>0</v>
      </c>
    </row>
    <row r="915" spans="1:12" ht="15">
      <c r="A915" s="81" t="s">
        <v>3600</v>
      </c>
      <c r="B915" s="80" t="s">
        <v>3260</v>
      </c>
      <c r="C915" s="80">
        <v>3</v>
      </c>
      <c r="D915" s="105">
        <v>0.006234660538518548</v>
      </c>
      <c r="E915" s="105">
        <v>1.0505360645980948</v>
      </c>
      <c r="F915" s="80" t="s">
        <v>3178</v>
      </c>
      <c r="G915" s="80" t="b">
        <v>0</v>
      </c>
      <c r="H915" s="80" t="b">
        <v>0</v>
      </c>
      <c r="I915" s="80" t="b">
        <v>0</v>
      </c>
      <c r="J915" s="80" t="b">
        <v>0</v>
      </c>
      <c r="K915" s="80" t="b">
        <v>0</v>
      </c>
      <c r="L915" s="80" t="b">
        <v>0</v>
      </c>
    </row>
    <row r="916" spans="1:12" ht="15">
      <c r="A916" s="81" t="s">
        <v>3260</v>
      </c>
      <c r="B916" s="80" t="s">
        <v>3269</v>
      </c>
      <c r="C916" s="80">
        <v>3</v>
      </c>
      <c r="D916" s="105">
        <v>0.006234660538518548</v>
      </c>
      <c r="E916" s="105">
        <v>0.14132915279646935</v>
      </c>
      <c r="F916" s="80" t="s">
        <v>3178</v>
      </c>
      <c r="G916" s="80" t="b">
        <v>0</v>
      </c>
      <c r="H916" s="80" t="b">
        <v>0</v>
      </c>
      <c r="I916" s="80" t="b">
        <v>0</v>
      </c>
      <c r="J916" s="80" t="b">
        <v>0</v>
      </c>
      <c r="K916" s="80" t="b">
        <v>0</v>
      </c>
      <c r="L916" s="80" t="b">
        <v>0</v>
      </c>
    </row>
    <row r="917" spans="1:12" ht="15">
      <c r="A917" s="81" t="s">
        <v>3269</v>
      </c>
      <c r="B917" s="80" t="s">
        <v>3261</v>
      </c>
      <c r="C917" s="80">
        <v>3</v>
      </c>
      <c r="D917" s="105">
        <v>0.006234660538518548</v>
      </c>
      <c r="E917" s="105">
        <v>0.7418732805194823</v>
      </c>
      <c r="F917" s="80" t="s">
        <v>3178</v>
      </c>
      <c r="G917" s="80" t="b">
        <v>0</v>
      </c>
      <c r="H917" s="80" t="b">
        <v>0</v>
      </c>
      <c r="I917" s="80" t="b">
        <v>0</v>
      </c>
      <c r="J917" s="80" t="b">
        <v>0</v>
      </c>
      <c r="K917" s="80" t="b">
        <v>0</v>
      </c>
      <c r="L917" s="80" t="b">
        <v>0</v>
      </c>
    </row>
    <row r="918" spans="1:12" ht="15">
      <c r="A918" s="81" t="s">
        <v>3557</v>
      </c>
      <c r="B918" s="80" t="s">
        <v>3373</v>
      </c>
      <c r="C918" s="80">
        <v>3</v>
      </c>
      <c r="D918" s="105">
        <v>0.006234660538518548</v>
      </c>
      <c r="E918" s="105">
        <v>2.24551266781415</v>
      </c>
      <c r="F918" s="80" t="s">
        <v>3178</v>
      </c>
      <c r="G918" s="80" t="b">
        <v>0</v>
      </c>
      <c r="H918" s="80" t="b">
        <v>0</v>
      </c>
      <c r="I918" s="80" t="b">
        <v>0</v>
      </c>
      <c r="J918" s="80" t="b">
        <v>0</v>
      </c>
      <c r="K918" s="80" t="b">
        <v>0</v>
      </c>
      <c r="L918" s="80" t="b">
        <v>0</v>
      </c>
    </row>
    <row r="919" spans="1:12" ht="15">
      <c r="A919" s="81" t="s">
        <v>3373</v>
      </c>
      <c r="B919" s="80" t="s">
        <v>3558</v>
      </c>
      <c r="C919" s="80">
        <v>3</v>
      </c>
      <c r="D919" s="105">
        <v>0.006234660538518548</v>
      </c>
      <c r="E919" s="105">
        <v>2.24551266781415</v>
      </c>
      <c r="F919" s="80" t="s">
        <v>3178</v>
      </c>
      <c r="G919" s="80" t="b">
        <v>0</v>
      </c>
      <c r="H919" s="80" t="b">
        <v>0</v>
      </c>
      <c r="I919" s="80" t="b">
        <v>0</v>
      </c>
      <c r="J919" s="80" t="b">
        <v>0</v>
      </c>
      <c r="K919" s="80" t="b">
        <v>0</v>
      </c>
      <c r="L919" s="80" t="b">
        <v>0</v>
      </c>
    </row>
    <row r="920" spans="1:12" ht="15">
      <c r="A920" s="81" t="s">
        <v>3558</v>
      </c>
      <c r="B920" s="80" t="s">
        <v>3307</v>
      </c>
      <c r="C920" s="80">
        <v>3</v>
      </c>
      <c r="D920" s="105">
        <v>0.006234660538518548</v>
      </c>
      <c r="E920" s="105">
        <v>1.5765058868555741</v>
      </c>
      <c r="F920" s="80" t="s">
        <v>3178</v>
      </c>
      <c r="G920" s="80" t="b">
        <v>0</v>
      </c>
      <c r="H920" s="80" t="b">
        <v>0</v>
      </c>
      <c r="I920" s="80" t="b">
        <v>0</v>
      </c>
      <c r="J920" s="80" t="b">
        <v>0</v>
      </c>
      <c r="K920" s="80" t="b">
        <v>0</v>
      </c>
      <c r="L920" s="80" t="b">
        <v>0</v>
      </c>
    </row>
    <row r="921" spans="1:12" ht="15">
      <c r="A921" s="81" t="s">
        <v>3307</v>
      </c>
      <c r="B921" s="80" t="s">
        <v>3315</v>
      </c>
      <c r="C921" s="80">
        <v>3</v>
      </c>
      <c r="D921" s="105">
        <v>0.006234660538518548</v>
      </c>
      <c r="E921" s="105">
        <v>1.275475891191593</v>
      </c>
      <c r="F921" s="80" t="s">
        <v>3178</v>
      </c>
      <c r="G921" s="80" t="b">
        <v>0</v>
      </c>
      <c r="H921" s="80" t="b">
        <v>0</v>
      </c>
      <c r="I921" s="80" t="b">
        <v>0</v>
      </c>
      <c r="J921" s="80" t="b">
        <v>0</v>
      </c>
      <c r="K921" s="80" t="b">
        <v>0</v>
      </c>
      <c r="L921" s="80" t="b">
        <v>0</v>
      </c>
    </row>
    <row r="922" spans="1:12" ht="15">
      <c r="A922" s="81" t="s">
        <v>3315</v>
      </c>
      <c r="B922" s="80" t="s">
        <v>3348</v>
      </c>
      <c r="C922" s="80">
        <v>3</v>
      </c>
      <c r="D922" s="105">
        <v>0.006234660538518548</v>
      </c>
      <c r="E922" s="105">
        <v>1.1315693155073132</v>
      </c>
      <c r="F922" s="80" t="s">
        <v>3178</v>
      </c>
      <c r="G922" s="80" t="b">
        <v>0</v>
      </c>
      <c r="H922" s="80" t="b">
        <v>0</v>
      </c>
      <c r="I922" s="80" t="b">
        <v>0</v>
      </c>
      <c r="J922" s="80" t="b">
        <v>0</v>
      </c>
      <c r="K922" s="80" t="b">
        <v>0</v>
      </c>
      <c r="L922" s="80" t="b">
        <v>0</v>
      </c>
    </row>
    <row r="923" spans="1:12" ht="15">
      <c r="A923" s="81" t="s">
        <v>3348</v>
      </c>
      <c r="B923" s="80" t="s">
        <v>3559</v>
      </c>
      <c r="C923" s="80">
        <v>3</v>
      </c>
      <c r="D923" s="105">
        <v>0.006234660538518548</v>
      </c>
      <c r="E923" s="105">
        <v>1.7683914130944873</v>
      </c>
      <c r="F923" s="80" t="s">
        <v>3178</v>
      </c>
      <c r="G923" s="80" t="b">
        <v>0</v>
      </c>
      <c r="H923" s="80" t="b">
        <v>0</v>
      </c>
      <c r="I923" s="80" t="b">
        <v>0</v>
      </c>
      <c r="J923" s="80" t="b">
        <v>0</v>
      </c>
      <c r="K923" s="80" t="b">
        <v>0</v>
      </c>
      <c r="L923" s="80" t="b">
        <v>0</v>
      </c>
    </row>
    <row r="924" spans="1:12" ht="15">
      <c r="A924" s="81" t="s">
        <v>3559</v>
      </c>
      <c r="B924" s="80" t="s">
        <v>3560</v>
      </c>
      <c r="C924" s="80">
        <v>3</v>
      </c>
      <c r="D924" s="105">
        <v>0.006234660538518548</v>
      </c>
      <c r="E924" s="105">
        <v>2.24551266781415</v>
      </c>
      <c r="F924" s="80" t="s">
        <v>3178</v>
      </c>
      <c r="G924" s="80" t="b">
        <v>0</v>
      </c>
      <c r="H924" s="80" t="b">
        <v>0</v>
      </c>
      <c r="I924" s="80" t="b">
        <v>0</v>
      </c>
      <c r="J924" s="80" t="b">
        <v>0</v>
      </c>
      <c r="K924" s="80" t="b">
        <v>0</v>
      </c>
      <c r="L924" s="80" t="b">
        <v>0</v>
      </c>
    </row>
    <row r="925" spans="1:12" ht="15">
      <c r="A925" s="81" t="s">
        <v>3560</v>
      </c>
      <c r="B925" s="80" t="s">
        <v>3561</v>
      </c>
      <c r="C925" s="80">
        <v>3</v>
      </c>
      <c r="D925" s="105">
        <v>0.006234660538518548</v>
      </c>
      <c r="E925" s="105">
        <v>2.24551266781415</v>
      </c>
      <c r="F925" s="80" t="s">
        <v>3178</v>
      </c>
      <c r="G925" s="80" t="b">
        <v>0</v>
      </c>
      <c r="H925" s="80" t="b">
        <v>0</v>
      </c>
      <c r="I925" s="80" t="b">
        <v>0</v>
      </c>
      <c r="J925" s="80" t="b">
        <v>0</v>
      </c>
      <c r="K925" s="80" t="b">
        <v>0</v>
      </c>
      <c r="L925" s="80" t="b">
        <v>0</v>
      </c>
    </row>
    <row r="926" spans="1:12" ht="15">
      <c r="A926" s="81" t="s">
        <v>3561</v>
      </c>
      <c r="B926" s="80" t="s">
        <v>3562</v>
      </c>
      <c r="C926" s="80">
        <v>3</v>
      </c>
      <c r="D926" s="105">
        <v>0.006234660538518548</v>
      </c>
      <c r="E926" s="105">
        <v>2.24551266781415</v>
      </c>
      <c r="F926" s="80" t="s">
        <v>3178</v>
      </c>
      <c r="G926" s="80" t="b">
        <v>0</v>
      </c>
      <c r="H926" s="80" t="b">
        <v>0</v>
      </c>
      <c r="I926" s="80" t="b">
        <v>0</v>
      </c>
      <c r="J926" s="80" t="b">
        <v>0</v>
      </c>
      <c r="K926" s="80" t="b">
        <v>0</v>
      </c>
      <c r="L926" s="80" t="b">
        <v>0</v>
      </c>
    </row>
    <row r="927" spans="1:12" ht="15">
      <c r="A927" s="81" t="s">
        <v>3562</v>
      </c>
      <c r="B927" s="80" t="s">
        <v>3285</v>
      </c>
      <c r="C927" s="80">
        <v>3</v>
      </c>
      <c r="D927" s="105">
        <v>0.006234660538518548</v>
      </c>
      <c r="E927" s="105">
        <v>1.4921850011555384</v>
      </c>
      <c r="F927" s="80" t="s">
        <v>3178</v>
      </c>
      <c r="G927" s="80" t="b">
        <v>0</v>
      </c>
      <c r="H927" s="80" t="b">
        <v>0</v>
      </c>
      <c r="I927" s="80" t="b">
        <v>0</v>
      </c>
      <c r="J927" s="80" t="b">
        <v>0</v>
      </c>
      <c r="K927" s="80" t="b">
        <v>0</v>
      </c>
      <c r="L927" s="80" t="b">
        <v>0</v>
      </c>
    </row>
    <row r="928" spans="1:12" ht="15">
      <c r="A928" s="81" t="s">
        <v>3285</v>
      </c>
      <c r="B928" s="80" t="s">
        <v>3563</v>
      </c>
      <c r="C928" s="80">
        <v>3</v>
      </c>
      <c r="D928" s="105">
        <v>0.006234660538518548</v>
      </c>
      <c r="E928" s="105">
        <v>1.4921850011555384</v>
      </c>
      <c r="F928" s="80" t="s">
        <v>3178</v>
      </c>
      <c r="G928" s="80" t="b">
        <v>0</v>
      </c>
      <c r="H928" s="80" t="b">
        <v>0</v>
      </c>
      <c r="I928" s="80" t="b">
        <v>0</v>
      </c>
      <c r="J928" s="80" t="b">
        <v>0</v>
      </c>
      <c r="K928" s="80" t="b">
        <v>0</v>
      </c>
      <c r="L928" s="80" t="b">
        <v>0</v>
      </c>
    </row>
    <row r="929" spans="1:12" ht="15">
      <c r="A929" s="81" t="s">
        <v>3563</v>
      </c>
      <c r="B929" s="80" t="s">
        <v>3564</v>
      </c>
      <c r="C929" s="80">
        <v>3</v>
      </c>
      <c r="D929" s="105">
        <v>0.006234660538518548</v>
      </c>
      <c r="E929" s="105">
        <v>2.24551266781415</v>
      </c>
      <c r="F929" s="80" t="s">
        <v>3178</v>
      </c>
      <c r="G929" s="80" t="b">
        <v>0</v>
      </c>
      <c r="H929" s="80" t="b">
        <v>0</v>
      </c>
      <c r="I929" s="80" t="b">
        <v>0</v>
      </c>
      <c r="J929" s="80" t="b">
        <v>0</v>
      </c>
      <c r="K929" s="80" t="b">
        <v>0</v>
      </c>
      <c r="L929" s="80" t="b">
        <v>0</v>
      </c>
    </row>
    <row r="930" spans="1:12" ht="15">
      <c r="A930" s="81" t="s">
        <v>3564</v>
      </c>
      <c r="B930" s="80" t="s">
        <v>3565</v>
      </c>
      <c r="C930" s="80">
        <v>3</v>
      </c>
      <c r="D930" s="105">
        <v>0.006234660538518548</v>
      </c>
      <c r="E930" s="105">
        <v>2.24551266781415</v>
      </c>
      <c r="F930" s="80" t="s">
        <v>3178</v>
      </c>
      <c r="G930" s="80" t="b">
        <v>0</v>
      </c>
      <c r="H930" s="80" t="b">
        <v>0</v>
      </c>
      <c r="I930" s="80" t="b">
        <v>0</v>
      </c>
      <c r="J930" s="80" t="b">
        <v>0</v>
      </c>
      <c r="K930" s="80" t="b">
        <v>0</v>
      </c>
      <c r="L930" s="80" t="b">
        <v>0</v>
      </c>
    </row>
    <row r="931" spans="1:12" ht="15">
      <c r="A931" s="81" t="s">
        <v>3565</v>
      </c>
      <c r="B931" s="80" t="s">
        <v>3260</v>
      </c>
      <c r="C931" s="80">
        <v>3</v>
      </c>
      <c r="D931" s="105">
        <v>0.006234660538518548</v>
      </c>
      <c r="E931" s="105">
        <v>1.0505360645980948</v>
      </c>
      <c r="F931" s="80" t="s">
        <v>3178</v>
      </c>
      <c r="G931" s="80" t="b">
        <v>0</v>
      </c>
      <c r="H931" s="80" t="b">
        <v>0</v>
      </c>
      <c r="I931" s="80" t="b">
        <v>0</v>
      </c>
      <c r="J931" s="80" t="b">
        <v>0</v>
      </c>
      <c r="K931" s="80" t="b">
        <v>0</v>
      </c>
      <c r="L931" s="80" t="b">
        <v>0</v>
      </c>
    </row>
    <row r="932" spans="1:12" ht="15">
      <c r="A932" s="81" t="s">
        <v>3260</v>
      </c>
      <c r="B932" s="80" t="s">
        <v>3459</v>
      </c>
      <c r="C932" s="80">
        <v>3</v>
      </c>
      <c r="D932" s="105">
        <v>0.006234660538518548</v>
      </c>
      <c r="E932" s="105">
        <v>1.0791812460476249</v>
      </c>
      <c r="F932" s="80" t="s">
        <v>3178</v>
      </c>
      <c r="G932" s="80" t="b">
        <v>0</v>
      </c>
      <c r="H932" s="80" t="b">
        <v>0</v>
      </c>
      <c r="I932" s="80" t="b">
        <v>0</v>
      </c>
      <c r="J932" s="80" t="b">
        <v>0</v>
      </c>
      <c r="K932" s="80" t="b">
        <v>0</v>
      </c>
      <c r="L932" s="80" t="b">
        <v>0</v>
      </c>
    </row>
    <row r="933" spans="1:12" ht="15">
      <c r="A933" s="81" t="s">
        <v>3459</v>
      </c>
      <c r="B933" s="80" t="s">
        <v>3269</v>
      </c>
      <c r="C933" s="80">
        <v>3</v>
      </c>
      <c r="D933" s="105">
        <v>0.006234660538518548</v>
      </c>
      <c r="E933" s="105">
        <v>1.3076605745629943</v>
      </c>
      <c r="F933" s="80" t="s">
        <v>3178</v>
      </c>
      <c r="G933" s="80" t="b">
        <v>0</v>
      </c>
      <c r="H933" s="80" t="b">
        <v>0</v>
      </c>
      <c r="I933" s="80" t="b">
        <v>0</v>
      </c>
      <c r="J933" s="80" t="b">
        <v>0</v>
      </c>
      <c r="K933" s="80" t="b">
        <v>0</v>
      </c>
      <c r="L933" s="80" t="b">
        <v>0</v>
      </c>
    </row>
    <row r="934" spans="1:12" ht="15">
      <c r="A934" s="81" t="s">
        <v>3566</v>
      </c>
      <c r="B934" s="80" t="s">
        <v>3567</v>
      </c>
      <c r="C934" s="80">
        <v>3</v>
      </c>
      <c r="D934" s="105">
        <v>0.006234660538518548</v>
      </c>
      <c r="E934" s="105">
        <v>2.24551266781415</v>
      </c>
      <c r="F934" s="80" t="s">
        <v>3178</v>
      </c>
      <c r="G934" s="80" t="b">
        <v>0</v>
      </c>
      <c r="H934" s="80" t="b">
        <v>0</v>
      </c>
      <c r="I934" s="80" t="b">
        <v>0</v>
      </c>
      <c r="J934" s="80" t="b">
        <v>0</v>
      </c>
      <c r="K934" s="80" t="b">
        <v>0</v>
      </c>
      <c r="L934" s="80" t="b">
        <v>0</v>
      </c>
    </row>
    <row r="935" spans="1:12" ht="15">
      <c r="A935" s="81" t="s">
        <v>3567</v>
      </c>
      <c r="B935" s="80" t="s">
        <v>3568</v>
      </c>
      <c r="C935" s="80">
        <v>3</v>
      </c>
      <c r="D935" s="105">
        <v>0.006234660538518548</v>
      </c>
      <c r="E935" s="105">
        <v>2.24551266781415</v>
      </c>
      <c r="F935" s="80" t="s">
        <v>3178</v>
      </c>
      <c r="G935" s="80" t="b">
        <v>0</v>
      </c>
      <c r="H935" s="80" t="b">
        <v>0</v>
      </c>
      <c r="I935" s="80" t="b">
        <v>0</v>
      </c>
      <c r="J935" s="80" t="b">
        <v>0</v>
      </c>
      <c r="K935" s="80" t="b">
        <v>0</v>
      </c>
      <c r="L935" s="80" t="b">
        <v>0</v>
      </c>
    </row>
    <row r="936" spans="1:12" ht="15">
      <c r="A936" s="81" t="s">
        <v>3568</v>
      </c>
      <c r="B936" s="80" t="s">
        <v>3569</v>
      </c>
      <c r="C936" s="80">
        <v>3</v>
      </c>
      <c r="D936" s="105">
        <v>0.006234660538518548</v>
      </c>
      <c r="E936" s="105">
        <v>2.24551266781415</v>
      </c>
      <c r="F936" s="80" t="s">
        <v>3178</v>
      </c>
      <c r="G936" s="80" t="b">
        <v>0</v>
      </c>
      <c r="H936" s="80" t="b">
        <v>0</v>
      </c>
      <c r="I936" s="80" t="b">
        <v>0</v>
      </c>
      <c r="J936" s="80" t="b">
        <v>0</v>
      </c>
      <c r="K936" s="80" t="b">
        <v>0</v>
      </c>
      <c r="L936" s="80" t="b">
        <v>0</v>
      </c>
    </row>
    <row r="937" spans="1:12" ht="15">
      <c r="A937" s="81" t="s">
        <v>3569</v>
      </c>
      <c r="B937" s="80" t="s">
        <v>3570</v>
      </c>
      <c r="C937" s="80">
        <v>3</v>
      </c>
      <c r="D937" s="105">
        <v>0.006234660538518548</v>
      </c>
      <c r="E937" s="105">
        <v>2.24551266781415</v>
      </c>
      <c r="F937" s="80" t="s">
        <v>3178</v>
      </c>
      <c r="G937" s="80" t="b">
        <v>0</v>
      </c>
      <c r="H937" s="80" t="b">
        <v>0</v>
      </c>
      <c r="I937" s="80" t="b">
        <v>0</v>
      </c>
      <c r="J937" s="80" t="b">
        <v>0</v>
      </c>
      <c r="K937" s="80" t="b">
        <v>0</v>
      </c>
      <c r="L937" s="80" t="b">
        <v>0</v>
      </c>
    </row>
    <row r="938" spans="1:12" ht="15">
      <c r="A938" s="81" t="s">
        <v>3570</v>
      </c>
      <c r="B938" s="80" t="s">
        <v>3571</v>
      </c>
      <c r="C938" s="80">
        <v>3</v>
      </c>
      <c r="D938" s="105">
        <v>0.006234660538518548</v>
      </c>
      <c r="E938" s="105">
        <v>2.24551266781415</v>
      </c>
      <c r="F938" s="80" t="s">
        <v>3178</v>
      </c>
      <c r="G938" s="80" t="b">
        <v>0</v>
      </c>
      <c r="H938" s="80" t="b">
        <v>0</v>
      </c>
      <c r="I938" s="80" t="b">
        <v>0</v>
      </c>
      <c r="J938" s="80" t="b">
        <v>0</v>
      </c>
      <c r="K938" s="80" t="b">
        <v>0</v>
      </c>
      <c r="L938" s="80" t="b">
        <v>0</v>
      </c>
    </row>
    <row r="939" spans="1:12" ht="15">
      <c r="A939" s="81" t="s">
        <v>3571</v>
      </c>
      <c r="B939" s="80" t="s">
        <v>3572</v>
      </c>
      <c r="C939" s="80">
        <v>3</v>
      </c>
      <c r="D939" s="105">
        <v>0.006234660538518548</v>
      </c>
      <c r="E939" s="105">
        <v>2.24551266781415</v>
      </c>
      <c r="F939" s="80" t="s">
        <v>3178</v>
      </c>
      <c r="G939" s="80" t="b">
        <v>0</v>
      </c>
      <c r="H939" s="80" t="b">
        <v>0</v>
      </c>
      <c r="I939" s="80" t="b">
        <v>0</v>
      </c>
      <c r="J939" s="80" t="b">
        <v>0</v>
      </c>
      <c r="K939" s="80" t="b">
        <v>0</v>
      </c>
      <c r="L939" s="80" t="b">
        <v>0</v>
      </c>
    </row>
    <row r="940" spans="1:12" ht="15">
      <c r="A940" s="81" t="s">
        <v>3572</v>
      </c>
      <c r="B940" s="80" t="s">
        <v>3285</v>
      </c>
      <c r="C940" s="80">
        <v>3</v>
      </c>
      <c r="D940" s="105">
        <v>0.006234660538518548</v>
      </c>
      <c r="E940" s="105">
        <v>1.4921850011555384</v>
      </c>
      <c r="F940" s="80" t="s">
        <v>3178</v>
      </c>
      <c r="G940" s="80" t="b">
        <v>0</v>
      </c>
      <c r="H940" s="80" t="b">
        <v>0</v>
      </c>
      <c r="I940" s="80" t="b">
        <v>0</v>
      </c>
      <c r="J940" s="80" t="b">
        <v>0</v>
      </c>
      <c r="K940" s="80" t="b">
        <v>0</v>
      </c>
      <c r="L940" s="80" t="b">
        <v>0</v>
      </c>
    </row>
    <row r="941" spans="1:12" ht="15">
      <c r="A941" s="81" t="s">
        <v>3285</v>
      </c>
      <c r="B941" s="80" t="s">
        <v>3573</v>
      </c>
      <c r="C941" s="80">
        <v>3</v>
      </c>
      <c r="D941" s="105">
        <v>0.006234660538518548</v>
      </c>
      <c r="E941" s="105">
        <v>1.4921850011555384</v>
      </c>
      <c r="F941" s="80" t="s">
        <v>3178</v>
      </c>
      <c r="G941" s="80" t="b">
        <v>0</v>
      </c>
      <c r="H941" s="80" t="b">
        <v>0</v>
      </c>
      <c r="I941" s="80" t="b">
        <v>0</v>
      </c>
      <c r="J941" s="80" t="b">
        <v>0</v>
      </c>
      <c r="K941" s="80" t="b">
        <v>0</v>
      </c>
      <c r="L941" s="80" t="b">
        <v>0</v>
      </c>
    </row>
    <row r="942" spans="1:12" ht="15">
      <c r="A942" s="81" t="s">
        <v>3573</v>
      </c>
      <c r="B942" s="80" t="s">
        <v>3574</v>
      </c>
      <c r="C942" s="80">
        <v>3</v>
      </c>
      <c r="D942" s="105">
        <v>0.006234660538518548</v>
      </c>
      <c r="E942" s="105">
        <v>2.24551266781415</v>
      </c>
      <c r="F942" s="80" t="s">
        <v>3178</v>
      </c>
      <c r="G942" s="80" t="b">
        <v>0</v>
      </c>
      <c r="H942" s="80" t="b">
        <v>0</v>
      </c>
      <c r="I942" s="80" t="b">
        <v>0</v>
      </c>
      <c r="J942" s="80" t="b">
        <v>0</v>
      </c>
      <c r="K942" s="80" t="b">
        <v>0</v>
      </c>
      <c r="L942" s="80" t="b">
        <v>0</v>
      </c>
    </row>
    <row r="943" spans="1:12" ht="15">
      <c r="A943" s="81" t="s">
        <v>3574</v>
      </c>
      <c r="B943" s="80" t="s">
        <v>3575</v>
      </c>
      <c r="C943" s="80">
        <v>3</v>
      </c>
      <c r="D943" s="105">
        <v>0.006234660538518548</v>
      </c>
      <c r="E943" s="105">
        <v>2.24551266781415</v>
      </c>
      <c r="F943" s="80" t="s">
        <v>3178</v>
      </c>
      <c r="G943" s="80" t="b">
        <v>0</v>
      </c>
      <c r="H943" s="80" t="b">
        <v>0</v>
      </c>
      <c r="I943" s="80" t="b">
        <v>0</v>
      </c>
      <c r="J943" s="80" t="b">
        <v>0</v>
      </c>
      <c r="K943" s="80" t="b">
        <v>0</v>
      </c>
      <c r="L943" s="80" t="b">
        <v>0</v>
      </c>
    </row>
    <row r="944" spans="1:12" ht="15">
      <c r="A944" s="81" t="s">
        <v>3575</v>
      </c>
      <c r="B944" s="80" t="s">
        <v>3576</v>
      </c>
      <c r="C944" s="80">
        <v>3</v>
      </c>
      <c r="D944" s="105">
        <v>0.006234660538518548</v>
      </c>
      <c r="E944" s="105">
        <v>2.24551266781415</v>
      </c>
      <c r="F944" s="80" t="s">
        <v>3178</v>
      </c>
      <c r="G944" s="80" t="b">
        <v>0</v>
      </c>
      <c r="H944" s="80" t="b">
        <v>0</v>
      </c>
      <c r="I944" s="80" t="b">
        <v>0</v>
      </c>
      <c r="J944" s="80" t="b">
        <v>0</v>
      </c>
      <c r="K944" s="80" t="b">
        <v>0</v>
      </c>
      <c r="L944" s="80" t="b">
        <v>0</v>
      </c>
    </row>
    <row r="945" spans="1:12" ht="15">
      <c r="A945" s="81" t="s">
        <v>3576</v>
      </c>
      <c r="B945" s="80" t="s">
        <v>3577</v>
      </c>
      <c r="C945" s="80">
        <v>3</v>
      </c>
      <c r="D945" s="105">
        <v>0.006234660538518548</v>
      </c>
      <c r="E945" s="105">
        <v>2.24551266781415</v>
      </c>
      <c r="F945" s="80" t="s">
        <v>3178</v>
      </c>
      <c r="G945" s="80" t="b">
        <v>0</v>
      </c>
      <c r="H945" s="80" t="b">
        <v>0</v>
      </c>
      <c r="I945" s="80" t="b">
        <v>0</v>
      </c>
      <c r="J945" s="80" t="b">
        <v>0</v>
      </c>
      <c r="K945" s="80" t="b">
        <v>0</v>
      </c>
      <c r="L945" s="80" t="b">
        <v>0</v>
      </c>
    </row>
    <row r="946" spans="1:12" ht="15">
      <c r="A946" s="81" t="s">
        <v>3577</v>
      </c>
      <c r="B946" s="80" t="s">
        <v>3578</v>
      </c>
      <c r="C946" s="80">
        <v>3</v>
      </c>
      <c r="D946" s="105">
        <v>0.006234660538518548</v>
      </c>
      <c r="E946" s="105">
        <v>2.24551266781415</v>
      </c>
      <c r="F946" s="80" t="s">
        <v>3178</v>
      </c>
      <c r="G946" s="80" t="b">
        <v>0</v>
      </c>
      <c r="H946" s="80" t="b">
        <v>0</v>
      </c>
      <c r="I946" s="80" t="b">
        <v>0</v>
      </c>
      <c r="J946" s="80" t="b">
        <v>0</v>
      </c>
      <c r="K946" s="80" t="b">
        <v>0</v>
      </c>
      <c r="L946" s="80" t="b">
        <v>0</v>
      </c>
    </row>
    <row r="947" spans="1:12" ht="15">
      <c r="A947" s="81" t="s">
        <v>3578</v>
      </c>
      <c r="B947" s="80" t="s">
        <v>3579</v>
      </c>
      <c r="C947" s="80">
        <v>3</v>
      </c>
      <c r="D947" s="105">
        <v>0.006234660538518548</v>
      </c>
      <c r="E947" s="105">
        <v>2.24551266781415</v>
      </c>
      <c r="F947" s="80" t="s">
        <v>3178</v>
      </c>
      <c r="G947" s="80" t="b">
        <v>0</v>
      </c>
      <c r="H947" s="80" t="b">
        <v>0</v>
      </c>
      <c r="I947" s="80" t="b">
        <v>0</v>
      </c>
      <c r="J947" s="80" t="b">
        <v>0</v>
      </c>
      <c r="K947" s="80" t="b">
        <v>0</v>
      </c>
      <c r="L947" s="80" t="b">
        <v>0</v>
      </c>
    </row>
    <row r="948" spans="1:12" ht="15">
      <c r="A948" s="81" t="s">
        <v>3579</v>
      </c>
      <c r="B948" s="80" t="s">
        <v>3580</v>
      </c>
      <c r="C948" s="80">
        <v>3</v>
      </c>
      <c r="D948" s="105">
        <v>0.006234660538518548</v>
      </c>
      <c r="E948" s="105">
        <v>2.24551266781415</v>
      </c>
      <c r="F948" s="80" t="s">
        <v>3178</v>
      </c>
      <c r="G948" s="80" t="b">
        <v>0</v>
      </c>
      <c r="H948" s="80" t="b">
        <v>0</v>
      </c>
      <c r="I948" s="80" t="b">
        <v>0</v>
      </c>
      <c r="J948" s="80" t="b">
        <v>0</v>
      </c>
      <c r="K948" s="80" t="b">
        <v>0</v>
      </c>
      <c r="L948" s="80" t="b">
        <v>0</v>
      </c>
    </row>
    <row r="949" spans="1:12" ht="15">
      <c r="A949" s="81" t="s">
        <v>3580</v>
      </c>
      <c r="B949" s="80" t="s">
        <v>3380</v>
      </c>
      <c r="C949" s="80">
        <v>3</v>
      </c>
      <c r="D949" s="105">
        <v>0.006234660538518548</v>
      </c>
      <c r="E949" s="105">
        <v>1.9444826721501687</v>
      </c>
      <c r="F949" s="80" t="s">
        <v>3178</v>
      </c>
      <c r="G949" s="80" t="b">
        <v>0</v>
      </c>
      <c r="H949" s="80" t="b">
        <v>0</v>
      </c>
      <c r="I949" s="80" t="b">
        <v>0</v>
      </c>
      <c r="J949" s="80" t="b">
        <v>0</v>
      </c>
      <c r="K949" s="80" t="b">
        <v>0</v>
      </c>
      <c r="L949" s="80" t="b">
        <v>0</v>
      </c>
    </row>
    <row r="950" spans="1:12" ht="15">
      <c r="A950" s="81" t="s">
        <v>3380</v>
      </c>
      <c r="B950" s="80" t="s">
        <v>3581</v>
      </c>
      <c r="C950" s="80">
        <v>3</v>
      </c>
      <c r="D950" s="105">
        <v>0.006234660538518548</v>
      </c>
      <c r="E950" s="105">
        <v>1.9444826721501687</v>
      </c>
      <c r="F950" s="80" t="s">
        <v>3178</v>
      </c>
      <c r="G950" s="80" t="b">
        <v>0</v>
      </c>
      <c r="H950" s="80" t="b">
        <v>0</v>
      </c>
      <c r="I950" s="80" t="b">
        <v>0</v>
      </c>
      <c r="J950" s="80" t="b">
        <v>0</v>
      </c>
      <c r="K950" s="80" t="b">
        <v>0</v>
      </c>
      <c r="L950" s="80" t="b">
        <v>0</v>
      </c>
    </row>
    <row r="951" spans="1:12" ht="15">
      <c r="A951" s="81" t="s">
        <v>3581</v>
      </c>
      <c r="B951" s="80" t="s">
        <v>3582</v>
      </c>
      <c r="C951" s="80">
        <v>3</v>
      </c>
      <c r="D951" s="105">
        <v>0.006234660538518548</v>
      </c>
      <c r="E951" s="105">
        <v>2.24551266781415</v>
      </c>
      <c r="F951" s="80" t="s">
        <v>3178</v>
      </c>
      <c r="G951" s="80" t="b">
        <v>0</v>
      </c>
      <c r="H951" s="80" t="b">
        <v>0</v>
      </c>
      <c r="I951" s="80" t="b">
        <v>0</v>
      </c>
      <c r="J951" s="80" t="b">
        <v>0</v>
      </c>
      <c r="K951" s="80" t="b">
        <v>0</v>
      </c>
      <c r="L951" s="80" t="b">
        <v>0</v>
      </c>
    </row>
    <row r="952" spans="1:12" ht="15">
      <c r="A952" s="81" t="s">
        <v>3582</v>
      </c>
      <c r="B952" s="80" t="s">
        <v>3381</v>
      </c>
      <c r="C952" s="80">
        <v>3</v>
      </c>
      <c r="D952" s="105">
        <v>0.006234660538518548</v>
      </c>
      <c r="E952" s="105">
        <v>1.9444826721501687</v>
      </c>
      <c r="F952" s="80" t="s">
        <v>3178</v>
      </c>
      <c r="G952" s="80" t="b">
        <v>0</v>
      </c>
      <c r="H952" s="80" t="b">
        <v>0</v>
      </c>
      <c r="I952" s="80" t="b">
        <v>0</v>
      </c>
      <c r="J952" s="80" t="b">
        <v>0</v>
      </c>
      <c r="K952" s="80" t="b">
        <v>0</v>
      </c>
      <c r="L952" s="80" t="b">
        <v>0</v>
      </c>
    </row>
    <row r="953" spans="1:12" ht="15">
      <c r="A953" s="81" t="s">
        <v>3381</v>
      </c>
      <c r="B953" s="80" t="s">
        <v>3583</v>
      </c>
      <c r="C953" s="80">
        <v>3</v>
      </c>
      <c r="D953" s="105">
        <v>0.006234660538518548</v>
      </c>
      <c r="E953" s="105">
        <v>1.9444826721501687</v>
      </c>
      <c r="F953" s="80" t="s">
        <v>3178</v>
      </c>
      <c r="G953" s="80" t="b">
        <v>0</v>
      </c>
      <c r="H953" s="80" t="b">
        <v>0</v>
      </c>
      <c r="I953" s="80" t="b">
        <v>0</v>
      </c>
      <c r="J953" s="80" t="b">
        <v>0</v>
      </c>
      <c r="K953" s="80" t="b">
        <v>0</v>
      </c>
      <c r="L953" s="80" t="b">
        <v>0</v>
      </c>
    </row>
    <row r="954" spans="1:12" ht="15">
      <c r="A954" s="81" t="s">
        <v>3583</v>
      </c>
      <c r="B954" s="80" t="s">
        <v>3584</v>
      </c>
      <c r="C954" s="80">
        <v>3</v>
      </c>
      <c r="D954" s="105">
        <v>0.006234660538518548</v>
      </c>
      <c r="E954" s="105">
        <v>2.24551266781415</v>
      </c>
      <c r="F954" s="80" t="s">
        <v>3178</v>
      </c>
      <c r="G954" s="80" t="b">
        <v>0</v>
      </c>
      <c r="H954" s="80" t="b">
        <v>0</v>
      </c>
      <c r="I954" s="80" t="b">
        <v>0</v>
      </c>
      <c r="J954" s="80" t="b">
        <v>0</v>
      </c>
      <c r="K954" s="80" t="b">
        <v>0</v>
      </c>
      <c r="L954" s="80" t="b">
        <v>0</v>
      </c>
    </row>
    <row r="955" spans="1:12" ht="15">
      <c r="A955" s="81" t="s">
        <v>3584</v>
      </c>
      <c r="B955" s="80" t="s">
        <v>3585</v>
      </c>
      <c r="C955" s="80">
        <v>3</v>
      </c>
      <c r="D955" s="105">
        <v>0.006234660538518548</v>
      </c>
      <c r="E955" s="105">
        <v>2.24551266781415</v>
      </c>
      <c r="F955" s="80" t="s">
        <v>3178</v>
      </c>
      <c r="G955" s="80" t="b">
        <v>0</v>
      </c>
      <c r="H955" s="80" t="b">
        <v>0</v>
      </c>
      <c r="I955" s="80" t="b">
        <v>0</v>
      </c>
      <c r="J955" s="80" t="b">
        <v>0</v>
      </c>
      <c r="K955" s="80" t="b">
        <v>0</v>
      </c>
      <c r="L955" s="80" t="b">
        <v>0</v>
      </c>
    </row>
    <row r="956" spans="1:12" ht="15">
      <c r="A956" s="81" t="s">
        <v>3585</v>
      </c>
      <c r="B956" s="80" t="s">
        <v>3586</v>
      </c>
      <c r="C956" s="80">
        <v>3</v>
      </c>
      <c r="D956" s="105">
        <v>0.006234660538518548</v>
      </c>
      <c r="E956" s="105">
        <v>2.24551266781415</v>
      </c>
      <c r="F956" s="80" t="s">
        <v>3178</v>
      </c>
      <c r="G956" s="80" t="b">
        <v>0</v>
      </c>
      <c r="H956" s="80" t="b">
        <v>0</v>
      </c>
      <c r="I956" s="80" t="b">
        <v>0</v>
      </c>
      <c r="J956" s="80" t="b">
        <v>0</v>
      </c>
      <c r="K956" s="80" t="b">
        <v>0</v>
      </c>
      <c r="L956" s="80" t="b">
        <v>0</v>
      </c>
    </row>
    <row r="957" spans="1:12" ht="15">
      <c r="A957" s="81" t="s">
        <v>3586</v>
      </c>
      <c r="B957" s="80" t="s">
        <v>3587</v>
      </c>
      <c r="C957" s="80">
        <v>3</v>
      </c>
      <c r="D957" s="105">
        <v>0.006234660538518548</v>
      </c>
      <c r="E957" s="105">
        <v>2.24551266781415</v>
      </c>
      <c r="F957" s="80" t="s">
        <v>3178</v>
      </c>
      <c r="G957" s="80" t="b">
        <v>0</v>
      </c>
      <c r="H957" s="80" t="b">
        <v>0</v>
      </c>
      <c r="I957" s="80" t="b">
        <v>0</v>
      </c>
      <c r="J957" s="80" t="b">
        <v>0</v>
      </c>
      <c r="K957" s="80" t="b">
        <v>0</v>
      </c>
      <c r="L957" s="80" t="b">
        <v>0</v>
      </c>
    </row>
    <row r="958" spans="1:12" ht="15">
      <c r="A958" s="81" t="s">
        <v>3587</v>
      </c>
      <c r="B958" s="80" t="s">
        <v>3588</v>
      </c>
      <c r="C958" s="80">
        <v>3</v>
      </c>
      <c r="D958" s="105">
        <v>0.006234660538518548</v>
      </c>
      <c r="E958" s="105">
        <v>2.24551266781415</v>
      </c>
      <c r="F958" s="80" t="s">
        <v>3178</v>
      </c>
      <c r="G958" s="80" t="b">
        <v>0</v>
      </c>
      <c r="H958" s="80" t="b">
        <v>0</v>
      </c>
      <c r="I958" s="80" t="b">
        <v>0</v>
      </c>
      <c r="J958" s="80" t="b">
        <v>0</v>
      </c>
      <c r="K958" s="80" t="b">
        <v>0</v>
      </c>
      <c r="L958" s="80" t="b">
        <v>0</v>
      </c>
    </row>
    <row r="959" spans="1:12" ht="15">
      <c r="A959" s="81" t="s">
        <v>3588</v>
      </c>
      <c r="B959" s="80" t="s">
        <v>3589</v>
      </c>
      <c r="C959" s="80">
        <v>3</v>
      </c>
      <c r="D959" s="105">
        <v>0.006234660538518548</v>
      </c>
      <c r="E959" s="105">
        <v>2.24551266781415</v>
      </c>
      <c r="F959" s="80" t="s">
        <v>3178</v>
      </c>
      <c r="G959" s="80" t="b">
        <v>0</v>
      </c>
      <c r="H959" s="80" t="b">
        <v>0</v>
      </c>
      <c r="I959" s="80" t="b">
        <v>0</v>
      </c>
      <c r="J959" s="80" t="b">
        <v>0</v>
      </c>
      <c r="K959" s="80" t="b">
        <v>0</v>
      </c>
      <c r="L959" s="80" t="b">
        <v>0</v>
      </c>
    </row>
    <row r="960" spans="1:12" ht="15">
      <c r="A960" s="81" t="s">
        <v>3589</v>
      </c>
      <c r="B960" s="80" t="s">
        <v>3590</v>
      </c>
      <c r="C960" s="80">
        <v>3</v>
      </c>
      <c r="D960" s="105">
        <v>0.006234660538518548</v>
      </c>
      <c r="E960" s="105">
        <v>2.24551266781415</v>
      </c>
      <c r="F960" s="80" t="s">
        <v>3178</v>
      </c>
      <c r="G960" s="80" t="b">
        <v>0</v>
      </c>
      <c r="H960" s="80" t="b">
        <v>0</v>
      </c>
      <c r="I960" s="80" t="b">
        <v>0</v>
      </c>
      <c r="J960" s="80" t="b">
        <v>0</v>
      </c>
      <c r="K960" s="80" t="b">
        <v>0</v>
      </c>
      <c r="L960" s="80" t="b">
        <v>0</v>
      </c>
    </row>
    <row r="961" spans="1:12" ht="15">
      <c r="A961" s="81" t="s">
        <v>3590</v>
      </c>
      <c r="B961" s="80" t="s">
        <v>3460</v>
      </c>
      <c r="C961" s="80">
        <v>3</v>
      </c>
      <c r="D961" s="105">
        <v>0.006234660538518548</v>
      </c>
      <c r="E961" s="105">
        <v>2.24551266781415</v>
      </c>
      <c r="F961" s="80" t="s">
        <v>3178</v>
      </c>
      <c r="G961" s="80" t="b">
        <v>0</v>
      </c>
      <c r="H961" s="80" t="b">
        <v>0</v>
      </c>
      <c r="I961" s="80" t="b">
        <v>0</v>
      </c>
      <c r="J961" s="80" t="b">
        <v>0</v>
      </c>
      <c r="K961" s="80" t="b">
        <v>0</v>
      </c>
      <c r="L961" s="80" t="b">
        <v>0</v>
      </c>
    </row>
    <row r="962" spans="1:12" ht="15">
      <c r="A962" s="81" t="s">
        <v>3460</v>
      </c>
      <c r="B962" s="80" t="s">
        <v>3380</v>
      </c>
      <c r="C962" s="80">
        <v>3</v>
      </c>
      <c r="D962" s="105">
        <v>0.006234660538518548</v>
      </c>
      <c r="E962" s="105">
        <v>1.9444826721501687</v>
      </c>
      <c r="F962" s="80" t="s">
        <v>3178</v>
      </c>
      <c r="G962" s="80" t="b">
        <v>0</v>
      </c>
      <c r="H962" s="80" t="b">
        <v>0</v>
      </c>
      <c r="I962" s="80" t="b">
        <v>0</v>
      </c>
      <c r="J962" s="80" t="b">
        <v>0</v>
      </c>
      <c r="K962" s="80" t="b">
        <v>0</v>
      </c>
      <c r="L962" s="80" t="b">
        <v>0</v>
      </c>
    </row>
    <row r="963" spans="1:12" ht="15">
      <c r="A963" s="81" t="s">
        <v>3380</v>
      </c>
      <c r="B963" s="80" t="s">
        <v>3591</v>
      </c>
      <c r="C963" s="80">
        <v>3</v>
      </c>
      <c r="D963" s="105">
        <v>0.006234660538518548</v>
      </c>
      <c r="E963" s="105">
        <v>1.9444826721501687</v>
      </c>
      <c r="F963" s="80" t="s">
        <v>3178</v>
      </c>
      <c r="G963" s="80" t="b">
        <v>0</v>
      </c>
      <c r="H963" s="80" t="b">
        <v>0</v>
      </c>
      <c r="I963" s="80" t="b">
        <v>0</v>
      </c>
      <c r="J963" s="80" t="b">
        <v>0</v>
      </c>
      <c r="K963" s="80" t="b">
        <v>0</v>
      </c>
      <c r="L963" s="80" t="b">
        <v>0</v>
      </c>
    </row>
    <row r="964" spans="1:12" ht="15">
      <c r="A964" s="81" t="s">
        <v>3591</v>
      </c>
      <c r="B964" s="80" t="s">
        <v>3592</v>
      </c>
      <c r="C964" s="80">
        <v>3</v>
      </c>
      <c r="D964" s="105">
        <v>0.006234660538518548</v>
      </c>
      <c r="E964" s="105">
        <v>2.24551266781415</v>
      </c>
      <c r="F964" s="80" t="s">
        <v>3178</v>
      </c>
      <c r="G964" s="80" t="b">
        <v>0</v>
      </c>
      <c r="H964" s="80" t="b">
        <v>0</v>
      </c>
      <c r="I964" s="80" t="b">
        <v>0</v>
      </c>
      <c r="J964" s="80" t="b">
        <v>0</v>
      </c>
      <c r="K964" s="80" t="b">
        <v>0</v>
      </c>
      <c r="L964" s="80" t="b">
        <v>0</v>
      </c>
    </row>
    <row r="965" spans="1:12" ht="15">
      <c r="A965" s="81" t="s">
        <v>3592</v>
      </c>
      <c r="B965" s="80" t="s">
        <v>3593</v>
      </c>
      <c r="C965" s="80">
        <v>3</v>
      </c>
      <c r="D965" s="105">
        <v>0.006234660538518548</v>
      </c>
      <c r="E965" s="105">
        <v>2.24551266781415</v>
      </c>
      <c r="F965" s="80" t="s">
        <v>3178</v>
      </c>
      <c r="G965" s="80" t="b">
        <v>0</v>
      </c>
      <c r="H965" s="80" t="b">
        <v>0</v>
      </c>
      <c r="I965" s="80" t="b">
        <v>0</v>
      </c>
      <c r="J965" s="80" t="b">
        <v>0</v>
      </c>
      <c r="K965" s="80" t="b">
        <v>0</v>
      </c>
      <c r="L965" s="80" t="b">
        <v>0</v>
      </c>
    </row>
    <row r="966" spans="1:12" ht="15">
      <c r="A966" s="81" t="s">
        <v>3593</v>
      </c>
      <c r="B966" s="80" t="s">
        <v>3260</v>
      </c>
      <c r="C966" s="80">
        <v>3</v>
      </c>
      <c r="D966" s="105">
        <v>0.006234660538518548</v>
      </c>
      <c r="E966" s="105">
        <v>1.0505360645980948</v>
      </c>
      <c r="F966" s="80" t="s">
        <v>3178</v>
      </c>
      <c r="G966" s="80" t="b">
        <v>0</v>
      </c>
      <c r="H966" s="80" t="b">
        <v>0</v>
      </c>
      <c r="I966" s="80" t="b">
        <v>0</v>
      </c>
      <c r="J966" s="80" t="b">
        <v>0</v>
      </c>
      <c r="K966" s="80" t="b">
        <v>0</v>
      </c>
      <c r="L966" s="80" t="b">
        <v>0</v>
      </c>
    </row>
    <row r="967" spans="1:12" ht="15">
      <c r="A967" s="81" t="s">
        <v>3356</v>
      </c>
      <c r="B967" s="80" t="s">
        <v>3700</v>
      </c>
      <c r="C967" s="80">
        <v>2</v>
      </c>
      <c r="D967" s="105">
        <v>0.004768931694858213</v>
      </c>
      <c r="E967" s="105">
        <v>1.8195439355418688</v>
      </c>
      <c r="F967" s="80" t="s">
        <v>3178</v>
      </c>
      <c r="G967" s="80" t="b">
        <v>0</v>
      </c>
      <c r="H967" s="80" t="b">
        <v>0</v>
      </c>
      <c r="I967" s="80" t="b">
        <v>0</v>
      </c>
      <c r="J967" s="80" t="b">
        <v>0</v>
      </c>
      <c r="K967" s="80" t="b">
        <v>0</v>
      </c>
      <c r="L967" s="80" t="b">
        <v>0</v>
      </c>
    </row>
    <row r="968" spans="1:12" ht="15">
      <c r="A968" s="81" t="s">
        <v>3700</v>
      </c>
      <c r="B968" s="80" t="s">
        <v>3701</v>
      </c>
      <c r="C968" s="80">
        <v>2</v>
      </c>
      <c r="D968" s="105">
        <v>0.004768931694858213</v>
      </c>
      <c r="E968" s="105">
        <v>2.4216039268698313</v>
      </c>
      <c r="F968" s="80" t="s">
        <v>3178</v>
      </c>
      <c r="G968" s="80" t="b">
        <v>0</v>
      </c>
      <c r="H968" s="80" t="b">
        <v>0</v>
      </c>
      <c r="I968" s="80" t="b">
        <v>0</v>
      </c>
      <c r="J968" s="80" t="b">
        <v>0</v>
      </c>
      <c r="K968" s="80" t="b">
        <v>0</v>
      </c>
      <c r="L968" s="80" t="b">
        <v>0</v>
      </c>
    </row>
    <row r="969" spans="1:12" ht="15">
      <c r="A969" s="81" t="s">
        <v>3701</v>
      </c>
      <c r="B969" s="80" t="s">
        <v>3702</v>
      </c>
      <c r="C969" s="80">
        <v>2</v>
      </c>
      <c r="D969" s="105">
        <v>0.004768931694858213</v>
      </c>
      <c r="E969" s="105">
        <v>2.4216039268698313</v>
      </c>
      <c r="F969" s="80" t="s">
        <v>3178</v>
      </c>
      <c r="G969" s="80" t="b">
        <v>0</v>
      </c>
      <c r="H969" s="80" t="b">
        <v>0</v>
      </c>
      <c r="I969" s="80" t="b">
        <v>0</v>
      </c>
      <c r="J969" s="80" t="b">
        <v>0</v>
      </c>
      <c r="K969" s="80" t="b">
        <v>0</v>
      </c>
      <c r="L969" s="80" t="b">
        <v>0</v>
      </c>
    </row>
    <row r="970" spans="1:12" ht="15">
      <c r="A970" s="81" t="s">
        <v>3702</v>
      </c>
      <c r="B970" s="80" t="s">
        <v>3397</v>
      </c>
      <c r="C970" s="80">
        <v>2</v>
      </c>
      <c r="D970" s="105">
        <v>0.004768931694858213</v>
      </c>
      <c r="E970" s="105">
        <v>2.0236639181977933</v>
      </c>
      <c r="F970" s="80" t="s">
        <v>3178</v>
      </c>
      <c r="G970" s="80" t="b">
        <v>0</v>
      </c>
      <c r="H970" s="80" t="b">
        <v>0</v>
      </c>
      <c r="I970" s="80" t="b">
        <v>0</v>
      </c>
      <c r="J970" s="80" t="b">
        <v>0</v>
      </c>
      <c r="K970" s="80" t="b">
        <v>0</v>
      </c>
      <c r="L970" s="80" t="b">
        <v>0</v>
      </c>
    </row>
    <row r="971" spans="1:12" ht="15">
      <c r="A971" s="81" t="s">
        <v>3397</v>
      </c>
      <c r="B971" s="80" t="s">
        <v>3703</v>
      </c>
      <c r="C971" s="80">
        <v>2</v>
      </c>
      <c r="D971" s="105">
        <v>0.004768931694858213</v>
      </c>
      <c r="E971" s="105">
        <v>2.0236639181977933</v>
      </c>
      <c r="F971" s="80" t="s">
        <v>3178</v>
      </c>
      <c r="G971" s="80" t="b">
        <v>0</v>
      </c>
      <c r="H971" s="80" t="b">
        <v>0</v>
      </c>
      <c r="I971" s="80" t="b">
        <v>0</v>
      </c>
      <c r="J971" s="80" t="b">
        <v>0</v>
      </c>
      <c r="K971" s="80" t="b">
        <v>0</v>
      </c>
      <c r="L971" s="80" t="b">
        <v>0</v>
      </c>
    </row>
    <row r="972" spans="1:12" ht="15">
      <c r="A972" s="81" t="s">
        <v>3703</v>
      </c>
      <c r="B972" s="80" t="s">
        <v>3704</v>
      </c>
      <c r="C972" s="80">
        <v>2</v>
      </c>
      <c r="D972" s="105">
        <v>0.004768931694858213</v>
      </c>
      <c r="E972" s="105">
        <v>2.4216039268698313</v>
      </c>
      <c r="F972" s="80" t="s">
        <v>3178</v>
      </c>
      <c r="G972" s="80" t="b">
        <v>0</v>
      </c>
      <c r="H972" s="80" t="b">
        <v>0</v>
      </c>
      <c r="I972" s="80" t="b">
        <v>0</v>
      </c>
      <c r="J972" s="80" t="b">
        <v>0</v>
      </c>
      <c r="K972" s="80" t="b">
        <v>0</v>
      </c>
      <c r="L972" s="80" t="b">
        <v>0</v>
      </c>
    </row>
    <row r="973" spans="1:12" ht="15">
      <c r="A973" s="81" t="s">
        <v>3704</v>
      </c>
      <c r="B973" s="80" t="s">
        <v>3705</v>
      </c>
      <c r="C973" s="80">
        <v>2</v>
      </c>
      <c r="D973" s="105">
        <v>0.004768931694858213</v>
      </c>
      <c r="E973" s="105">
        <v>2.4216039268698313</v>
      </c>
      <c r="F973" s="80" t="s">
        <v>3178</v>
      </c>
      <c r="G973" s="80" t="b">
        <v>0</v>
      </c>
      <c r="H973" s="80" t="b">
        <v>0</v>
      </c>
      <c r="I973" s="80" t="b">
        <v>0</v>
      </c>
      <c r="J973" s="80" t="b">
        <v>0</v>
      </c>
      <c r="K973" s="80" t="b">
        <v>0</v>
      </c>
      <c r="L973" s="80" t="b">
        <v>0</v>
      </c>
    </row>
    <row r="974" spans="1:12" ht="15">
      <c r="A974" s="81" t="s">
        <v>3705</v>
      </c>
      <c r="B974" s="80" t="s">
        <v>3285</v>
      </c>
      <c r="C974" s="80">
        <v>2</v>
      </c>
      <c r="D974" s="105">
        <v>0.004768931694858213</v>
      </c>
      <c r="E974" s="105">
        <v>1.4921850011555384</v>
      </c>
      <c r="F974" s="80" t="s">
        <v>3178</v>
      </c>
      <c r="G974" s="80" t="b">
        <v>0</v>
      </c>
      <c r="H974" s="80" t="b">
        <v>0</v>
      </c>
      <c r="I974" s="80" t="b">
        <v>0</v>
      </c>
      <c r="J974" s="80" t="b">
        <v>0</v>
      </c>
      <c r="K974" s="80" t="b">
        <v>0</v>
      </c>
      <c r="L974" s="80" t="b">
        <v>0</v>
      </c>
    </row>
    <row r="975" spans="1:12" ht="15">
      <c r="A975" s="81" t="s">
        <v>3285</v>
      </c>
      <c r="B975" s="80" t="s">
        <v>3706</v>
      </c>
      <c r="C975" s="80">
        <v>2</v>
      </c>
      <c r="D975" s="105">
        <v>0.004768931694858213</v>
      </c>
      <c r="E975" s="105">
        <v>1.4921850011555384</v>
      </c>
      <c r="F975" s="80" t="s">
        <v>3178</v>
      </c>
      <c r="G975" s="80" t="b">
        <v>0</v>
      </c>
      <c r="H975" s="80" t="b">
        <v>0</v>
      </c>
      <c r="I975" s="80" t="b">
        <v>0</v>
      </c>
      <c r="J975" s="80" t="b">
        <v>0</v>
      </c>
      <c r="K975" s="80" t="b">
        <v>0</v>
      </c>
      <c r="L975" s="80" t="b">
        <v>0</v>
      </c>
    </row>
    <row r="976" spans="1:12" ht="15">
      <c r="A976" s="81" t="s">
        <v>3706</v>
      </c>
      <c r="B976" s="80" t="s">
        <v>3707</v>
      </c>
      <c r="C976" s="80">
        <v>2</v>
      </c>
      <c r="D976" s="105">
        <v>0.004768931694858213</v>
      </c>
      <c r="E976" s="105">
        <v>2.4216039268698313</v>
      </c>
      <c r="F976" s="80" t="s">
        <v>3178</v>
      </c>
      <c r="G976" s="80" t="b">
        <v>0</v>
      </c>
      <c r="H976" s="80" t="b">
        <v>0</v>
      </c>
      <c r="I976" s="80" t="b">
        <v>0</v>
      </c>
      <c r="J976" s="80" t="b">
        <v>0</v>
      </c>
      <c r="K976" s="80" t="b">
        <v>0</v>
      </c>
      <c r="L976" s="80" t="b">
        <v>0</v>
      </c>
    </row>
    <row r="977" spans="1:12" ht="15">
      <c r="A977" s="81" t="s">
        <v>3707</v>
      </c>
      <c r="B977" s="80" t="s">
        <v>3379</v>
      </c>
      <c r="C977" s="80">
        <v>2</v>
      </c>
      <c r="D977" s="105">
        <v>0.004768931694858213</v>
      </c>
      <c r="E977" s="105">
        <v>1.9444826721501687</v>
      </c>
      <c r="F977" s="80" t="s">
        <v>3178</v>
      </c>
      <c r="G977" s="80" t="b">
        <v>0</v>
      </c>
      <c r="H977" s="80" t="b">
        <v>0</v>
      </c>
      <c r="I977" s="80" t="b">
        <v>0</v>
      </c>
      <c r="J977" s="80" t="b">
        <v>0</v>
      </c>
      <c r="K977" s="80" t="b">
        <v>0</v>
      </c>
      <c r="L977" s="80" t="b">
        <v>0</v>
      </c>
    </row>
    <row r="978" spans="1:12" ht="15">
      <c r="A978" s="81" t="s">
        <v>3379</v>
      </c>
      <c r="B978" s="80" t="s">
        <v>3708</v>
      </c>
      <c r="C978" s="80">
        <v>2</v>
      </c>
      <c r="D978" s="105">
        <v>0.004768931694858213</v>
      </c>
      <c r="E978" s="105">
        <v>1.9444826721501687</v>
      </c>
      <c r="F978" s="80" t="s">
        <v>3178</v>
      </c>
      <c r="G978" s="80" t="b">
        <v>0</v>
      </c>
      <c r="H978" s="80" t="b">
        <v>0</v>
      </c>
      <c r="I978" s="80" t="b">
        <v>0</v>
      </c>
      <c r="J978" s="80" t="b">
        <v>0</v>
      </c>
      <c r="K978" s="80" t="b">
        <v>0</v>
      </c>
      <c r="L978" s="80" t="b">
        <v>0</v>
      </c>
    </row>
    <row r="979" spans="1:12" ht="15">
      <c r="A979" s="81" t="s">
        <v>3708</v>
      </c>
      <c r="B979" s="80" t="s">
        <v>3709</v>
      </c>
      <c r="C979" s="80">
        <v>2</v>
      </c>
      <c r="D979" s="105">
        <v>0.004768931694858213</v>
      </c>
      <c r="E979" s="105">
        <v>2.4216039268698313</v>
      </c>
      <c r="F979" s="80" t="s">
        <v>3178</v>
      </c>
      <c r="G979" s="80" t="b">
        <v>0</v>
      </c>
      <c r="H979" s="80" t="b">
        <v>0</v>
      </c>
      <c r="I979" s="80" t="b">
        <v>0</v>
      </c>
      <c r="J979" s="80" t="b">
        <v>0</v>
      </c>
      <c r="K979" s="80" t="b">
        <v>0</v>
      </c>
      <c r="L979" s="80" t="b">
        <v>0</v>
      </c>
    </row>
    <row r="980" spans="1:12" ht="15">
      <c r="A980" s="81" t="s">
        <v>3709</v>
      </c>
      <c r="B980" s="80" t="s">
        <v>3463</v>
      </c>
      <c r="C980" s="80">
        <v>2</v>
      </c>
      <c r="D980" s="105">
        <v>0.004768931694858213</v>
      </c>
      <c r="E980" s="105">
        <v>2.4216039268698313</v>
      </c>
      <c r="F980" s="80" t="s">
        <v>3178</v>
      </c>
      <c r="G980" s="80" t="b">
        <v>0</v>
      </c>
      <c r="H980" s="80" t="b">
        <v>0</v>
      </c>
      <c r="I980" s="80" t="b">
        <v>0</v>
      </c>
      <c r="J980" s="80" t="b">
        <v>0</v>
      </c>
      <c r="K980" s="80" t="b">
        <v>0</v>
      </c>
      <c r="L980" s="80" t="b">
        <v>0</v>
      </c>
    </row>
    <row r="981" spans="1:12" ht="15">
      <c r="A981" s="81" t="s">
        <v>3356</v>
      </c>
      <c r="B981" s="80" t="s">
        <v>3374</v>
      </c>
      <c r="C981" s="80">
        <v>2</v>
      </c>
      <c r="D981" s="105">
        <v>0.004768931694858213</v>
      </c>
      <c r="E981" s="105">
        <v>1.8195439355418688</v>
      </c>
      <c r="F981" s="80" t="s">
        <v>3178</v>
      </c>
      <c r="G981" s="80" t="b">
        <v>0</v>
      </c>
      <c r="H981" s="80" t="b">
        <v>0</v>
      </c>
      <c r="I981" s="80" t="b">
        <v>0</v>
      </c>
      <c r="J981" s="80" t="b">
        <v>0</v>
      </c>
      <c r="K981" s="80" t="b">
        <v>0</v>
      </c>
      <c r="L981" s="80" t="b">
        <v>0</v>
      </c>
    </row>
    <row r="982" spans="1:12" ht="15">
      <c r="A982" s="81" t="s">
        <v>3374</v>
      </c>
      <c r="B982" s="80" t="s">
        <v>3348</v>
      </c>
      <c r="C982" s="80">
        <v>2</v>
      </c>
      <c r="D982" s="105">
        <v>0.004768931694858213</v>
      </c>
      <c r="E982" s="105">
        <v>1.3704514044224498</v>
      </c>
      <c r="F982" s="80" t="s">
        <v>3178</v>
      </c>
      <c r="G982" s="80" t="b">
        <v>0</v>
      </c>
      <c r="H982" s="80" t="b">
        <v>0</v>
      </c>
      <c r="I982" s="80" t="b">
        <v>0</v>
      </c>
      <c r="J982" s="80" t="b">
        <v>0</v>
      </c>
      <c r="K982" s="80" t="b">
        <v>0</v>
      </c>
      <c r="L982" s="80" t="b">
        <v>0</v>
      </c>
    </row>
    <row r="983" spans="1:12" ht="15">
      <c r="A983" s="81" t="s">
        <v>3348</v>
      </c>
      <c r="B983" s="80" t="s">
        <v>3710</v>
      </c>
      <c r="C983" s="80">
        <v>2</v>
      </c>
      <c r="D983" s="105">
        <v>0.004768931694858213</v>
      </c>
      <c r="E983" s="105">
        <v>1.7683914130944873</v>
      </c>
      <c r="F983" s="80" t="s">
        <v>3178</v>
      </c>
      <c r="G983" s="80" t="b">
        <v>0</v>
      </c>
      <c r="H983" s="80" t="b">
        <v>0</v>
      </c>
      <c r="I983" s="80" t="b">
        <v>0</v>
      </c>
      <c r="J983" s="80" t="b">
        <v>0</v>
      </c>
      <c r="K983" s="80" t="b">
        <v>0</v>
      </c>
      <c r="L983" s="80" t="b">
        <v>0</v>
      </c>
    </row>
    <row r="984" spans="1:12" ht="15">
      <c r="A984" s="81" t="s">
        <v>3710</v>
      </c>
      <c r="B984" s="80" t="s">
        <v>3711</v>
      </c>
      <c r="C984" s="80">
        <v>2</v>
      </c>
      <c r="D984" s="105">
        <v>0.004768931694858213</v>
      </c>
      <c r="E984" s="105">
        <v>2.4216039268698313</v>
      </c>
      <c r="F984" s="80" t="s">
        <v>3178</v>
      </c>
      <c r="G984" s="80" t="b">
        <v>0</v>
      </c>
      <c r="H984" s="80" t="b">
        <v>0</v>
      </c>
      <c r="I984" s="80" t="b">
        <v>0</v>
      </c>
      <c r="J984" s="80" t="b">
        <v>0</v>
      </c>
      <c r="K984" s="80" t="b">
        <v>0</v>
      </c>
      <c r="L984" s="80" t="b">
        <v>0</v>
      </c>
    </row>
    <row r="985" spans="1:12" ht="15">
      <c r="A985" s="81" t="s">
        <v>3711</v>
      </c>
      <c r="B985" s="80" t="s">
        <v>3712</v>
      </c>
      <c r="C985" s="80">
        <v>2</v>
      </c>
      <c r="D985" s="105">
        <v>0.004768931694858213</v>
      </c>
      <c r="E985" s="105">
        <v>2.4216039268698313</v>
      </c>
      <c r="F985" s="80" t="s">
        <v>3178</v>
      </c>
      <c r="G985" s="80" t="b">
        <v>0</v>
      </c>
      <c r="H985" s="80" t="b">
        <v>0</v>
      </c>
      <c r="I985" s="80" t="b">
        <v>0</v>
      </c>
      <c r="J985" s="80" t="b">
        <v>0</v>
      </c>
      <c r="K985" s="80" t="b">
        <v>0</v>
      </c>
      <c r="L985" s="80" t="b">
        <v>0</v>
      </c>
    </row>
    <row r="986" spans="1:12" ht="15">
      <c r="A986" s="81" t="s">
        <v>3712</v>
      </c>
      <c r="B986" s="80" t="s">
        <v>3713</v>
      </c>
      <c r="C986" s="80">
        <v>2</v>
      </c>
      <c r="D986" s="105">
        <v>0.004768931694858213</v>
      </c>
      <c r="E986" s="105">
        <v>2.4216039268698313</v>
      </c>
      <c r="F986" s="80" t="s">
        <v>3178</v>
      </c>
      <c r="G986" s="80" t="b">
        <v>0</v>
      </c>
      <c r="H986" s="80" t="b">
        <v>0</v>
      </c>
      <c r="I986" s="80" t="b">
        <v>0</v>
      </c>
      <c r="J986" s="80" t="b">
        <v>0</v>
      </c>
      <c r="K986" s="80" t="b">
        <v>0</v>
      </c>
      <c r="L986" s="80" t="b">
        <v>0</v>
      </c>
    </row>
    <row r="987" spans="1:12" ht="15">
      <c r="A987" s="81" t="s">
        <v>3713</v>
      </c>
      <c r="B987" s="80" t="s">
        <v>3714</v>
      </c>
      <c r="C987" s="80">
        <v>2</v>
      </c>
      <c r="D987" s="105">
        <v>0.004768931694858213</v>
      </c>
      <c r="E987" s="105">
        <v>2.4216039268698313</v>
      </c>
      <c r="F987" s="80" t="s">
        <v>3178</v>
      </c>
      <c r="G987" s="80" t="b">
        <v>0</v>
      </c>
      <c r="H987" s="80" t="b">
        <v>0</v>
      </c>
      <c r="I987" s="80" t="b">
        <v>0</v>
      </c>
      <c r="J987" s="80" t="b">
        <v>0</v>
      </c>
      <c r="K987" s="80" t="b">
        <v>0</v>
      </c>
      <c r="L987" s="80" t="b">
        <v>0</v>
      </c>
    </row>
    <row r="988" spans="1:12" ht="15">
      <c r="A988" s="81" t="s">
        <v>3714</v>
      </c>
      <c r="B988" s="80" t="s">
        <v>3715</v>
      </c>
      <c r="C988" s="80">
        <v>2</v>
      </c>
      <c r="D988" s="105">
        <v>0.004768931694858213</v>
      </c>
      <c r="E988" s="105">
        <v>2.4216039268698313</v>
      </c>
      <c r="F988" s="80" t="s">
        <v>3178</v>
      </c>
      <c r="G988" s="80" t="b">
        <v>0</v>
      </c>
      <c r="H988" s="80" t="b">
        <v>0</v>
      </c>
      <c r="I988" s="80" t="b">
        <v>0</v>
      </c>
      <c r="J988" s="80" t="b">
        <v>0</v>
      </c>
      <c r="K988" s="80" t="b">
        <v>0</v>
      </c>
      <c r="L988" s="80" t="b">
        <v>0</v>
      </c>
    </row>
    <row r="989" spans="1:12" ht="15">
      <c r="A989" s="81" t="s">
        <v>3715</v>
      </c>
      <c r="B989" s="80" t="s">
        <v>3716</v>
      </c>
      <c r="C989" s="80">
        <v>2</v>
      </c>
      <c r="D989" s="105">
        <v>0.004768931694858213</v>
      </c>
      <c r="E989" s="105">
        <v>2.4216039268698313</v>
      </c>
      <c r="F989" s="80" t="s">
        <v>3178</v>
      </c>
      <c r="G989" s="80" t="b">
        <v>0</v>
      </c>
      <c r="H989" s="80" t="b">
        <v>0</v>
      </c>
      <c r="I989" s="80" t="b">
        <v>0</v>
      </c>
      <c r="J989" s="80" t="b">
        <v>0</v>
      </c>
      <c r="K989" s="80" t="b">
        <v>0</v>
      </c>
      <c r="L989" s="80" t="b">
        <v>0</v>
      </c>
    </row>
    <row r="990" spans="1:12" ht="15">
      <c r="A990" s="81" t="s">
        <v>3716</v>
      </c>
      <c r="B990" s="80" t="s">
        <v>3717</v>
      </c>
      <c r="C990" s="80">
        <v>2</v>
      </c>
      <c r="D990" s="105">
        <v>0.004768931694858213</v>
      </c>
      <c r="E990" s="105">
        <v>2.4216039268698313</v>
      </c>
      <c r="F990" s="80" t="s">
        <v>3178</v>
      </c>
      <c r="G990" s="80" t="b">
        <v>0</v>
      </c>
      <c r="H990" s="80" t="b">
        <v>0</v>
      </c>
      <c r="I990" s="80" t="b">
        <v>0</v>
      </c>
      <c r="J990" s="80" t="b">
        <v>0</v>
      </c>
      <c r="K990" s="80" t="b">
        <v>0</v>
      </c>
      <c r="L990" s="80" t="b">
        <v>0</v>
      </c>
    </row>
    <row r="991" spans="1:12" ht="15">
      <c r="A991" s="81" t="s">
        <v>3717</v>
      </c>
      <c r="B991" s="80" t="s">
        <v>3260</v>
      </c>
      <c r="C991" s="80">
        <v>2</v>
      </c>
      <c r="D991" s="105">
        <v>0.004768931694858213</v>
      </c>
      <c r="E991" s="105">
        <v>1.0505360645980948</v>
      </c>
      <c r="F991" s="80" t="s">
        <v>3178</v>
      </c>
      <c r="G991" s="80" t="b">
        <v>0</v>
      </c>
      <c r="H991" s="80" t="b">
        <v>0</v>
      </c>
      <c r="I991" s="80" t="b">
        <v>0</v>
      </c>
      <c r="J991" s="80" t="b">
        <v>0</v>
      </c>
      <c r="K991" s="80" t="b">
        <v>0</v>
      </c>
      <c r="L991" s="80" t="b">
        <v>0</v>
      </c>
    </row>
    <row r="992" spans="1:12" ht="15">
      <c r="A992" s="81" t="s">
        <v>3367</v>
      </c>
      <c r="B992" s="80" t="s">
        <v>3368</v>
      </c>
      <c r="C992" s="80">
        <v>7</v>
      </c>
      <c r="D992" s="105">
        <v>0.021543227024964525</v>
      </c>
      <c r="E992" s="105">
        <v>1.483281563424481</v>
      </c>
      <c r="F992" s="80" t="s">
        <v>3179</v>
      </c>
      <c r="G992" s="80" t="b">
        <v>0</v>
      </c>
      <c r="H992" s="80" t="b">
        <v>0</v>
      </c>
      <c r="I992" s="80" t="b">
        <v>0</v>
      </c>
      <c r="J992" s="80" t="b">
        <v>0</v>
      </c>
      <c r="K992" s="80" t="b">
        <v>0</v>
      </c>
      <c r="L992" s="80" t="b">
        <v>0</v>
      </c>
    </row>
    <row r="993" spans="1:12" ht="15">
      <c r="A993" s="81" t="s">
        <v>3266</v>
      </c>
      <c r="B993" s="80" t="s">
        <v>3339</v>
      </c>
      <c r="C993" s="80">
        <v>7</v>
      </c>
      <c r="D993" s="105">
        <v>0.01427285804716939</v>
      </c>
      <c r="E993" s="105">
        <v>0.9693576607970699</v>
      </c>
      <c r="F993" s="80" t="s">
        <v>3179</v>
      </c>
      <c r="G993" s="80" t="b">
        <v>0</v>
      </c>
      <c r="H993" s="80" t="b">
        <v>0</v>
      </c>
      <c r="I993" s="80" t="b">
        <v>0</v>
      </c>
      <c r="J993" s="80" t="b">
        <v>0</v>
      </c>
      <c r="K993" s="80" t="b">
        <v>0</v>
      </c>
      <c r="L993" s="80" t="b">
        <v>0</v>
      </c>
    </row>
    <row r="994" spans="1:12" ht="15">
      <c r="A994" s="81" t="s">
        <v>3314</v>
      </c>
      <c r="B994" s="80" t="s">
        <v>3318</v>
      </c>
      <c r="C994" s="80">
        <v>6</v>
      </c>
      <c r="D994" s="105">
        <v>0.013950462675648093</v>
      </c>
      <c r="E994" s="105">
        <v>1.1522883443830565</v>
      </c>
      <c r="F994" s="80" t="s">
        <v>3179</v>
      </c>
      <c r="G994" s="80" t="b">
        <v>0</v>
      </c>
      <c r="H994" s="80" t="b">
        <v>0</v>
      </c>
      <c r="I994" s="80" t="b">
        <v>0</v>
      </c>
      <c r="J994" s="80" t="b">
        <v>0</v>
      </c>
      <c r="K994" s="80" t="b">
        <v>0</v>
      </c>
      <c r="L994" s="80" t="b">
        <v>0</v>
      </c>
    </row>
    <row r="995" spans="1:12" ht="15">
      <c r="A995" s="81" t="s">
        <v>3318</v>
      </c>
      <c r="B995" s="80" t="s">
        <v>3260</v>
      </c>
      <c r="C995" s="80">
        <v>6</v>
      </c>
      <c r="D995" s="105">
        <v>0.013950462675648093</v>
      </c>
      <c r="E995" s="105">
        <v>0.7263196121107753</v>
      </c>
      <c r="F995" s="80" t="s">
        <v>3179</v>
      </c>
      <c r="G995" s="80" t="b">
        <v>0</v>
      </c>
      <c r="H995" s="80" t="b">
        <v>0</v>
      </c>
      <c r="I995" s="80" t="b">
        <v>0</v>
      </c>
      <c r="J995" s="80" t="b">
        <v>0</v>
      </c>
      <c r="K995" s="80" t="b">
        <v>0</v>
      </c>
      <c r="L995" s="80" t="b">
        <v>0</v>
      </c>
    </row>
    <row r="996" spans="1:12" ht="15">
      <c r="A996" s="81" t="s">
        <v>3395</v>
      </c>
      <c r="B996" s="80" t="s">
        <v>3369</v>
      </c>
      <c r="C996" s="80">
        <v>5</v>
      </c>
      <c r="D996" s="105">
        <v>0.015388019303546089</v>
      </c>
      <c r="E996" s="105">
        <v>1.483281563424481</v>
      </c>
      <c r="F996" s="80" t="s">
        <v>3179</v>
      </c>
      <c r="G996" s="80" t="b">
        <v>1</v>
      </c>
      <c r="H996" s="80" t="b">
        <v>0</v>
      </c>
      <c r="I996" s="80" t="b">
        <v>0</v>
      </c>
      <c r="J996" s="80" t="b">
        <v>0</v>
      </c>
      <c r="K996" s="80" t="b">
        <v>0</v>
      </c>
      <c r="L996" s="80" t="b">
        <v>0</v>
      </c>
    </row>
    <row r="997" spans="1:12" ht="15">
      <c r="A997" s="81" t="s">
        <v>3370</v>
      </c>
      <c r="B997" s="80" t="s">
        <v>3266</v>
      </c>
      <c r="C997" s="80">
        <v>5</v>
      </c>
      <c r="D997" s="105">
        <v>0.013317292529869669</v>
      </c>
      <c r="E997" s="105">
        <v>0.9781315851045749</v>
      </c>
      <c r="F997" s="80" t="s">
        <v>3179</v>
      </c>
      <c r="G997" s="80" t="b">
        <v>0</v>
      </c>
      <c r="H997" s="80" t="b">
        <v>0</v>
      </c>
      <c r="I997" s="80" t="b">
        <v>0</v>
      </c>
      <c r="J997" s="80" t="b">
        <v>0</v>
      </c>
      <c r="K997" s="80" t="b">
        <v>0</v>
      </c>
      <c r="L997" s="80" t="b">
        <v>0</v>
      </c>
    </row>
    <row r="998" spans="1:12" ht="15">
      <c r="A998" s="81" t="s">
        <v>3266</v>
      </c>
      <c r="B998" s="80" t="s">
        <v>3314</v>
      </c>
      <c r="C998" s="80">
        <v>5</v>
      </c>
      <c r="D998" s="105">
        <v>0.013317292529869669</v>
      </c>
      <c r="E998" s="105">
        <v>0.7440483790712068</v>
      </c>
      <c r="F998" s="80" t="s">
        <v>3179</v>
      </c>
      <c r="G998" s="80" t="b">
        <v>0</v>
      </c>
      <c r="H998" s="80" t="b">
        <v>0</v>
      </c>
      <c r="I998" s="80" t="b">
        <v>0</v>
      </c>
      <c r="J998" s="80" t="b">
        <v>0</v>
      </c>
      <c r="K998" s="80" t="b">
        <v>0</v>
      </c>
      <c r="L998" s="80" t="b">
        <v>0</v>
      </c>
    </row>
    <row r="999" spans="1:12" ht="15">
      <c r="A999" s="81" t="s">
        <v>3260</v>
      </c>
      <c r="B999" s="80" t="s">
        <v>3260</v>
      </c>
      <c r="C999" s="80">
        <v>5</v>
      </c>
      <c r="D999" s="105">
        <v>0.013317292529869669</v>
      </c>
      <c r="E999" s="105">
        <v>0.5679571200155257</v>
      </c>
      <c r="F999" s="80" t="s">
        <v>3179</v>
      </c>
      <c r="G999" s="80" t="b">
        <v>0</v>
      </c>
      <c r="H999" s="80" t="b">
        <v>0</v>
      </c>
      <c r="I999" s="80" t="b">
        <v>0</v>
      </c>
      <c r="J999" s="80" t="b">
        <v>0</v>
      </c>
      <c r="K999" s="80" t="b">
        <v>0</v>
      </c>
      <c r="L999" s="80" t="b">
        <v>0</v>
      </c>
    </row>
    <row r="1000" spans="1:12" ht="15">
      <c r="A1000" s="81" t="s">
        <v>3394</v>
      </c>
      <c r="B1000" s="80" t="s">
        <v>3367</v>
      </c>
      <c r="C1000" s="80">
        <v>4</v>
      </c>
      <c r="D1000" s="105">
        <v>0.012310415442836871</v>
      </c>
      <c r="E1000" s="105">
        <v>1.3863715504164245</v>
      </c>
      <c r="F1000" s="80" t="s">
        <v>3179</v>
      </c>
      <c r="G1000" s="80" t="b">
        <v>0</v>
      </c>
      <c r="H1000" s="80" t="b">
        <v>0</v>
      </c>
      <c r="I1000" s="80" t="b">
        <v>0</v>
      </c>
      <c r="J1000" s="80" t="b">
        <v>0</v>
      </c>
      <c r="K1000" s="80" t="b">
        <v>0</v>
      </c>
      <c r="L1000" s="80" t="b">
        <v>0</v>
      </c>
    </row>
    <row r="1001" spans="1:12" ht="15">
      <c r="A1001" s="81" t="s">
        <v>3368</v>
      </c>
      <c r="B1001" s="80" t="s">
        <v>3395</v>
      </c>
      <c r="C1001" s="80">
        <v>4</v>
      </c>
      <c r="D1001" s="105">
        <v>0.012310415442836871</v>
      </c>
      <c r="E1001" s="105">
        <v>1.3863715504164245</v>
      </c>
      <c r="F1001" s="80" t="s">
        <v>3179</v>
      </c>
      <c r="G1001" s="80" t="b">
        <v>0</v>
      </c>
      <c r="H1001" s="80" t="b">
        <v>0</v>
      </c>
      <c r="I1001" s="80" t="b">
        <v>0</v>
      </c>
      <c r="J1001" s="80" t="b">
        <v>1</v>
      </c>
      <c r="K1001" s="80" t="b">
        <v>0</v>
      </c>
      <c r="L1001" s="80" t="b">
        <v>0</v>
      </c>
    </row>
    <row r="1002" spans="1:12" ht="15">
      <c r="A1002" s="81" t="s">
        <v>3369</v>
      </c>
      <c r="B1002" s="80" t="s">
        <v>3452</v>
      </c>
      <c r="C1002" s="80">
        <v>4</v>
      </c>
      <c r="D1002" s="105">
        <v>0.012310415442836871</v>
      </c>
      <c r="E1002" s="105">
        <v>1.483281563424481</v>
      </c>
      <c r="F1002" s="80" t="s">
        <v>3179</v>
      </c>
      <c r="G1002" s="80" t="b">
        <v>0</v>
      </c>
      <c r="H1002" s="80" t="b">
        <v>0</v>
      </c>
      <c r="I1002" s="80" t="b">
        <v>0</v>
      </c>
      <c r="J1002" s="80" t="b">
        <v>0</v>
      </c>
      <c r="K1002" s="80" t="b">
        <v>0</v>
      </c>
      <c r="L1002" s="80" t="b">
        <v>0</v>
      </c>
    </row>
    <row r="1003" spans="1:12" ht="15">
      <c r="A1003" s="81" t="s">
        <v>3452</v>
      </c>
      <c r="B1003" s="80" t="s">
        <v>542</v>
      </c>
      <c r="C1003" s="80">
        <v>4</v>
      </c>
      <c r="D1003" s="105">
        <v>0.012310415442836871</v>
      </c>
      <c r="E1003" s="105">
        <v>1.483281563424481</v>
      </c>
      <c r="F1003" s="80" t="s">
        <v>3179</v>
      </c>
      <c r="G1003" s="80" t="b">
        <v>0</v>
      </c>
      <c r="H1003" s="80" t="b">
        <v>0</v>
      </c>
      <c r="I1003" s="80" t="b">
        <v>0</v>
      </c>
      <c r="J1003" s="80" t="b">
        <v>0</v>
      </c>
      <c r="K1003" s="80" t="b">
        <v>0</v>
      </c>
      <c r="L1003" s="80" t="b">
        <v>0</v>
      </c>
    </row>
    <row r="1004" spans="1:12" ht="15">
      <c r="A1004" s="81" t="s">
        <v>3371</v>
      </c>
      <c r="B1004" s="80" t="s">
        <v>3260</v>
      </c>
      <c r="C1004" s="80">
        <v>4</v>
      </c>
      <c r="D1004" s="105">
        <v>0.012310415442836871</v>
      </c>
      <c r="E1004" s="105">
        <v>0.7051303130408373</v>
      </c>
      <c r="F1004" s="80" t="s">
        <v>3179</v>
      </c>
      <c r="G1004" s="80" t="b">
        <v>0</v>
      </c>
      <c r="H1004" s="80" t="b">
        <v>0</v>
      </c>
      <c r="I1004" s="80" t="b">
        <v>0</v>
      </c>
      <c r="J1004" s="80" t="b">
        <v>0</v>
      </c>
      <c r="K1004" s="80" t="b">
        <v>0</v>
      </c>
      <c r="L1004" s="80" t="b">
        <v>0</v>
      </c>
    </row>
    <row r="1005" spans="1:12" ht="15">
      <c r="A1005" s="81" t="s">
        <v>542</v>
      </c>
      <c r="B1005" s="80" t="s">
        <v>3549</v>
      </c>
      <c r="C1005" s="80">
        <v>3</v>
      </c>
      <c r="D1005" s="105">
        <v>0.010834590256593035</v>
      </c>
      <c r="E1005" s="105">
        <v>1.483281563424481</v>
      </c>
      <c r="F1005" s="80" t="s">
        <v>3179</v>
      </c>
      <c r="G1005" s="80" t="b">
        <v>0</v>
      </c>
      <c r="H1005" s="80" t="b">
        <v>0</v>
      </c>
      <c r="I1005" s="80" t="b">
        <v>0</v>
      </c>
      <c r="J1005" s="80" t="b">
        <v>0</v>
      </c>
      <c r="K1005" s="80" t="b">
        <v>0</v>
      </c>
      <c r="L1005" s="80" t="b">
        <v>0</v>
      </c>
    </row>
    <row r="1006" spans="1:12" ht="15">
      <c r="A1006" s="81" t="s">
        <v>3549</v>
      </c>
      <c r="B1006" s="80" t="s">
        <v>3367</v>
      </c>
      <c r="C1006" s="80">
        <v>3</v>
      </c>
      <c r="D1006" s="105">
        <v>0.010834590256593035</v>
      </c>
      <c r="E1006" s="105">
        <v>1.483281563424481</v>
      </c>
      <c r="F1006" s="80" t="s">
        <v>3179</v>
      </c>
      <c r="G1006" s="80" t="b">
        <v>0</v>
      </c>
      <c r="H1006" s="80" t="b">
        <v>0</v>
      </c>
      <c r="I1006" s="80" t="b">
        <v>0</v>
      </c>
      <c r="J1006" s="80" t="b">
        <v>0</v>
      </c>
      <c r="K1006" s="80" t="b">
        <v>0</v>
      </c>
      <c r="L1006" s="80" t="b">
        <v>0</v>
      </c>
    </row>
    <row r="1007" spans="1:12" ht="15">
      <c r="A1007" s="81" t="s">
        <v>3369</v>
      </c>
      <c r="B1007" s="80" t="s">
        <v>3550</v>
      </c>
      <c r="C1007" s="80">
        <v>3</v>
      </c>
      <c r="D1007" s="105">
        <v>0.010834590256593035</v>
      </c>
      <c r="E1007" s="105">
        <v>1.483281563424481</v>
      </c>
      <c r="F1007" s="80" t="s">
        <v>3179</v>
      </c>
      <c r="G1007" s="80" t="b">
        <v>0</v>
      </c>
      <c r="H1007" s="80" t="b">
        <v>0</v>
      </c>
      <c r="I1007" s="80" t="b">
        <v>0</v>
      </c>
      <c r="J1007" s="80" t="b">
        <v>0</v>
      </c>
      <c r="K1007" s="80" t="b">
        <v>0</v>
      </c>
      <c r="L1007" s="80" t="b">
        <v>0</v>
      </c>
    </row>
    <row r="1008" spans="1:12" ht="15">
      <c r="A1008" s="81" t="s">
        <v>3550</v>
      </c>
      <c r="B1008" s="80" t="s">
        <v>3551</v>
      </c>
      <c r="C1008" s="80">
        <v>3</v>
      </c>
      <c r="D1008" s="105">
        <v>0.010834590256593035</v>
      </c>
      <c r="E1008" s="105">
        <v>1.8512583487190752</v>
      </c>
      <c r="F1008" s="80" t="s">
        <v>3179</v>
      </c>
      <c r="G1008" s="80" t="b">
        <v>0</v>
      </c>
      <c r="H1008" s="80" t="b">
        <v>0</v>
      </c>
      <c r="I1008" s="80" t="b">
        <v>0</v>
      </c>
      <c r="J1008" s="80" t="b">
        <v>0</v>
      </c>
      <c r="K1008" s="80" t="b">
        <v>0</v>
      </c>
      <c r="L1008" s="80" t="b">
        <v>0</v>
      </c>
    </row>
    <row r="1009" spans="1:12" ht="15">
      <c r="A1009" s="81" t="s">
        <v>3339</v>
      </c>
      <c r="B1009" s="80" t="s">
        <v>3318</v>
      </c>
      <c r="C1009" s="80">
        <v>3</v>
      </c>
      <c r="D1009" s="105">
        <v>0.010834590256593035</v>
      </c>
      <c r="E1009" s="105">
        <v>0.8055008581584002</v>
      </c>
      <c r="F1009" s="80" t="s">
        <v>3179</v>
      </c>
      <c r="G1009" s="80" t="b">
        <v>0</v>
      </c>
      <c r="H1009" s="80" t="b">
        <v>0</v>
      </c>
      <c r="I1009" s="80" t="b">
        <v>0</v>
      </c>
      <c r="J1009" s="80" t="b">
        <v>0</v>
      </c>
      <c r="K1009" s="80" t="b">
        <v>0</v>
      </c>
      <c r="L1009" s="80" t="b">
        <v>0</v>
      </c>
    </row>
    <row r="1010" spans="1:12" ht="15">
      <c r="A1010" s="81" t="s">
        <v>3260</v>
      </c>
      <c r="B1010" s="80" t="s">
        <v>3305</v>
      </c>
      <c r="C1010" s="80">
        <v>3</v>
      </c>
      <c r="D1010" s="105">
        <v>0.010834590256593035</v>
      </c>
      <c r="E1010" s="105">
        <v>1.249198357391113</v>
      </c>
      <c r="F1010" s="80" t="s">
        <v>3179</v>
      </c>
      <c r="G1010" s="80" t="b">
        <v>0</v>
      </c>
      <c r="H1010" s="80" t="b">
        <v>0</v>
      </c>
      <c r="I1010" s="80" t="b">
        <v>0</v>
      </c>
      <c r="J1010" s="80" t="b">
        <v>0</v>
      </c>
      <c r="K1010" s="80" t="b">
        <v>0</v>
      </c>
      <c r="L1010" s="80" t="b">
        <v>0</v>
      </c>
    </row>
    <row r="1011" spans="1:12" ht="15">
      <c r="A1011" s="81" t="s">
        <v>500</v>
      </c>
      <c r="B1011" s="80" t="s">
        <v>3372</v>
      </c>
      <c r="C1011" s="80">
        <v>3</v>
      </c>
      <c r="D1011" s="105">
        <v>0.010834590256593035</v>
      </c>
      <c r="E1011" s="105">
        <v>1.550228353055094</v>
      </c>
      <c r="F1011" s="80" t="s">
        <v>3179</v>
      </c>
      <c r="G1011" s="80" t="b">
        <v>0</v>
      </c>
      <c r="H1011" s="80" t="b">
        <v>0</v>
      </c>
      <c r="I1011" s="80" t="b">
        <v>0</v>
      </c>
      <c r="J1011" s="80" t="b">
        <v>1</v>
      </c>
      <c r="K1011" s="80" t="b">
        <v>0</v>
      </c>
      <c r="L1011" s="80" t="b">
        <v>0</v>
      </c>
    </row>
    <row r="1012" spans="1:12" ht="15">
      <c r="A1012" s="81" t="s">
        <v>3372</v>
      </c>
      <c r="B1012" s="80" t="s">
        <v>3454</v>
      </c>
      <c r="C1012" s="80">
        <v>3</v>
      </c>
      <c r="D1012" s="105">
        <v>0.010834590256593035</v>
      </c>
      <c r="E1012" s="105">
        <v>1.550228353055094</v>
      </c>
      <c r="F1012" s="80" t="s">
        <v>3179</v>
      </c>
      <c r="G1012" s="80" t="b">
        <v>1</v>
      </c>
      <c r="H1012" s="80" t="b">
        <v>0</v>
      </c>
      <c r="I1012" s="80" t="b">
        <v>0</v>
      </c>
      <c r="J1012" s="80" t="b">
        <v>0</v>
      </c>
      <c r="K1012" s="80" t="b">
        <v>0</v>
      </c>
      <c r="L1012" s="80" t="b">
        <v>0</v>
      </c>
    </row>
    <row r="1013" spans="1:12" ht="15">
      <c r="A1013" s="81" t="s">
        <v>3454</v>
      </c>
      <c r="B1013" s="80" t="s">
        <v>3553</v>
      </c>
      <c r="C1013" s="80">
        <v>3</v>
      </c>
      <c r="D1013" s="105">
        <v>0.010834590256593035</v>
      </c>
      <c r="E1013" s="105">
        <v>1.8512583487190752</v>
      </c>
      <c r="F1013" s="80" t="s">
        <v>3179</v>
      </c>
      <c r="G1013" s="80" t="b">
        <v>0</v>
      </c>
      <c r="H1013" s="80" t="b">
        <v>0</v>
      </c>
      <c r="I1013" s="80" t="b">
        <v>0</v>
      </c>
      <c r="J1013" s="80" t="b">
        <v>0</v>
      </c>
      <c r="K1013" s="80" t="b">
        <v>0</v>
      </c>
      <c r="L1013" s="80" t="b">
        <v>0</v>
      </c>
    </row>
    <row r="1014" spans="1:12" ht="15">
      <c r="A1014" s="81" t="s">
        <v>3553</v>
      </c>
      <c r="B1014" s="80" t="s">
        <v>3319</v>
      </c>
      <c r="C1014" s="80">
        <v>3</v>
      </c>
      <c r="D1014" s="105">
        <v>0.010834590256593035</v>
      </c>
      <c r="E1014" s="105">
        <v>1.7263196121107753</v>
      </c>
      <c r="F1014" s="80" t="s">
        <v>3179</v>
      </c>
      <c r="G1014" s="80" t="b">
        <v>0</v>
      </c>
      <c r="H1014" s="80" t="b">
        <v>0</v>
      </c>
      <c r="I1014" s="80" t="b">
        <v>0</v>
      </c>
      <c r="J1014" s="80" t="b">
        <v>0</v>
      </c>
      <c r="K1014" s="80" t="b">
        <v>0</v>
      </c>
      <c r="L1014" s="80" t="b">
        <v>0</v>
      </c>
    </row>
    <row r="1015" spans="1:12" ht="15">
      <c r="A1015" s="81" t="s">
        <v>3319</v>
      </c>
      <c r="B1015" s="80" t="s">
        <v>542</v>
      </c>
      <c r="C1015" s="80">
        <v>3</v>
      </c>
      <c r="D1015" s="105">
        <v>0.010834590256593035</v>
      </c>
      <c r="E1015" s="105">
        <v>1.358342826816181</v>
      </c>
      <c r="F1015" s="80" t="s">
        <v>3179</v>
      </c>
      <c r="G1015" s="80" t="b">
        <v>0</v>
      </c>
      <c r="H1015" s="80" t="b">
        <v>0</v>
      </c>
      <c r="I1015" s="80" t="b">
        <v>0</v>
      </c>
      <c r="J1015" s="80" t="b">
        <v>0</v>
      </c>
      <c r="K1015" s="80" t="b">
        <v>0</v>
      </c>
      <c r="L1015" s="80" t="b">
        <v>0</v>
      </c>
    </row>
    <row r="1016" spans="1:12" ht="15">
      <c r="A1016" s="81" t="s">
        <v>542</v>
      </c>
      <c r="B1016" s="80" t="s">
        <v>3554</v>
      </c>
      <c r="C1016" s="80">
        <v>3</v>
      </c>
      <c r="D1016" s="105">
        <v>0.010834590256593035</v>
      </c>
      <c r="E1016" s="105">
        <v>1.483281563424481</v>
      </c>
      <c r="F1016" s="80" t="s">
        <v>3179</v>
      </c>
      <c r="G1016" s="80" t="b">
        <v>0</v>
      </c>
      <c r="H1016" s="80" t="b">
        <v>0</v>
      </c>
      <c r="I1016" s="80" t="b">
        <v>0</v>
      </c>
      <c r="J1016" s="80" t="b">
        <v>0</v>
      </c>
      <c r="K1016" s="80" t="b">
        <v>0</v>
      </c>
      <c r="L1016" s="80" t="b">
        <v>0</v>
      </c>
    </row>
    <row r="1017" spans="1:12" ht="15">
      <c r="A1017" s="81" t="s">
        <v>3554</v>
      </c>
      <c r="B1017" s="80" t="s">
        <v>3555</v>
      </c>
      <c r="C1017" s="80">
        <v>3</v>
      </c>
      <c r="D1017" s="105">
        <v>0.010834590256593035</v>
      </c>
      <c r="E1017" s="105">
        <v>1.8512583487190752</v>
      </c>
      <c r="F1017" s="80" t="s">
        <v>3179</v>
      </c>
      <c r="G1017" s="80" t="b">
        <v>0</v>
      </c>
      <c r="H1017" s="80" t="b">
        <v>0</v>
      </c>
      <c r="I1017" s="80" t="b">
        <v>0</v>
      </c>
      <c r="J1017" s="80" t="b">
        <v>0</v>
      </c>
      <c r="K1017" s="80" t="b">
        <v>0</v>
      </c>
      <c r="L1017" s="80" t="b">
        <v>0</v>
      </c>
    </row>
    <row r="1018" spans="1:12" ht="15">
      <c r="A1018" s="81" t="s">
        <v>3555</v>
      </c>
      <c r="B1018" s="80" t="s">
        <v>3372</v>
      </c>
      <c r="C1018" s="80">
        <v>3</v>
      </c>
      <c r="D1018" s="105">
        <v>0.010834590256593035</v>
      </c>
      <c r="E1018" s="105">
        <v>1.550228353055094</v>
      </c>
      <c r="F1018" s="80" t="s">
        <v>3179</v>
      </c>
      <c r="G1018" s="80" t="b">
        <v>0</v>
      </c>
      <c r="H1018" s="80" t="b">
        <v>0</v>
      </c>
      <c r="I1018" s="80" t="b">
        <v>0</v>
      </c>
      <c r="J1018" s="80" t="b">
        <v>1</v>
      </c>
      <c r="K1018" s="80" t="b">
        <v>0</v>
      </c>
      <c r="L1018" s="80" t="b">
        <v>0</v>
      </c>
    </row>
    <row r="1019" spans="1:12" ht="15">
      <c r="A1019" s="81" t="s">
        <v>3314</v>
      </c>
      <c r="B1019" s="80" t="s">
        <v>3260</v>
      </c>
      <c r="C1019" s="80">
        <v>3</v>
      </c>
      <c r="D1019" s="105">
        <v>0.010834590256593035</v>
      </c>
      <c r="E1019" s="105">
        <v>0.4710471070074692</v>
      </c>
      <c r="F1019" s="80" t="s">
        <v>3179</v>
      </c>
      <c r="G1019" s="80" t="b">
        <v>0</v>
      </c>
      <c r="H1019" s="80" t="b">
        <v>0</v>
      </c>
      <c r="I1019" s="80" t="b">
        <v>0</v>
      </c>
      <c r="J1019" s="80" t="b">
        <v>0</v>
      </c>
      <c r="K1019" s="80" t="b">
        <v>0</v>
      </c>
      <c r="L1019" s="80" t="b">
        <v>0</v>
      </c>
    </row>
    <row r="1020" spans="1:12" ht="15">
      <c r="A1020" s="81" t="s">
        <v>3339</v>
      </c>
      <c r="B1020" s="80" t="s">
        <v>3314</v>
      </c>
      <c r="C1020" s="80">
        <v>3</v>
      </c>
      <c r="D1020" s="105">
        <v>0.010834590256593035</v>
      </c>
      <c r="E1020" s="105">
        <v>0.7263196121107753</v>
      </c>
      <c r="F1020" s="80" t="s">
        <v>3179</v>
      </c>
      <c r="G1020" s="80" t="b">
        <v>0</v>
      </c>
      <c r="H1020" s="80" t="b">
        <v>0</v>
      </c>
      <c r="I1020" s="80" t="b">
        <v>0</v>
      </c>
      <c r="J1020" s="80" t="b">
        <v>0</v>
      </c>
      <c r="K1020" s="80" t="b">
        <v>0</v>
      </c>
      <c r="L1020" s="80" t="b">
        <v>0</v>
      </c>
    </row>
    <row r="1021" spans="1:12" ht="15">
      <c r="A1021" s="81" t="s">
        <v>3368</v>
      </c>
      <c r="B1021" s="80" t="s">
        <v>3690</v>
      </c>
      <c r="C1021" s="80">
        <v>2</v>
      </c>
      <c r="D1021" s="105">
        <v>0.008728113667264429</v>
      </c>
      <c r="E1021" s="105">
        <v>1.483281563424481</v>
      </c>
      <c r="F1021" s="80" t="s">
        <v>3179</v>
      </c>
      <c r="G1021" s="80" t="b">
        <v>0</v>
      </c>
      <c r="H1021" s="80" t="b">
        <v>0</v>
      </c>
      <c r="I1021" s="80" t="b">
        <v>0</v>
      </c>
      <c r="J1021" s="80" t="b">
        <v>0</v>
      </c>
      <c r="K1021" s="80" t="b">
        <v>0</v>
      </c>
      <c r="L1021" s="80" t="b">
        <v>0</v>
      </c>
    </row>
    <row r="1022" spans="1:12" ht="15">
      <c r="A1022" s="81" t="s">
        <v>3690</v>
      </c>
      <c r="B1022" s="80" t="s">
        <v>3369</v>
      </c>
      <c r="C1022" s="80">
        <v>2</v>
      </c>
      <c r="D1022" s="105">
        <v>0.008728113667264429</v>
      </c>
      <c r="E1022" s="105">
        <v>1.483281563424481</v>
      </c>
      <c r="F1022" s="80" t="s">
        <v>3179</v>
      </c>
      <c r="G1022" s="80" t="b">
        <v>0</v>
      </c>
      <c r="H1022" s="80" t="b">
        <v>0</v>
      </c>
      <c r="I1022" s="80" t="b">
        <v>0</v>
      </c>
      <c r="J1022" s="80" t="b">
        <v>0</v>
      </c>
      <c r="K1022" s="80" t="b">
        <v>0</v>
      </c>
      <c r="L1022" s="80" t="b">
        <v>0</v>
      </c>
    </row>
    <row r="1023" spans="1:12" ht="15">
      <c r="A1023" s="81" t="s">
        <v>3551</v>
      </c>
      <c r="B1023" s="80" t="s">
        <v>3370</v>
      </c>
      <c r="C1023" s="80">
        <v>2</v>
      </c>
      <c r="D1023" s="105">
        <v>0.008728113667264429</v>
      </c>
      <c r="E1023" s="105">
        <v>1.3071903043687996</v>
      </c>
      <c r="F1023" s="80" t="s">
        <v>3179</v>
      </c>
      <c r="G1023" s="80" t="b">
        <v>0</v>
      </c>
      <c r="H1023" s="80" t="b">
        <v>0</v>
      </c>
      <c r="I1023" s="80" t="b">
        <v>0</v>
      </c>
      <c r="J1023" s="80" t="b">
        <v>0</v>
      </c>
      <c r="K1023" s="80" t="b">
        <v>0</v>
      </c>
      <c r="L1023" s="80" t="b">
        <v>0</v>
      </c>
    </row>
    <row r="1024" spans="1:12" ht="15">
      <c r="A1024" s="81" t="s">
        <v>495</v>
      </c>
      <c r="B1024" s="80" t="s">
        <v>3453</v>
      </c>
      <c r="C1024" s="80">
        <v>2</v>
      </c>
      <c r="D1024" s="105">
        <v>0.008728113667264429</v>
      </c>
      <c r="E1024" s="105">
        <v>1.8512583487190752</v>
      </c>
      <c r="F1024" s="80" t="s">
        <v>3179</v>
      </c>
      <c r="G1024" s="80" t="b">
        <v>0</v>
      </c>
      <c r="H1024" s="80" t="b">
        <v>0</v>
      </c>
      <c r="I1024" s="80" t="b">
        <v>0</v>
      </c>
      <c r="J1024" s="80" t="b">
        <v>0</v>
      </c>
      <c r="K1024" s="80" t="b">
        <v>0</v>
      </c>
      <c r="L1024" s="80" t="b">
        <v>0</v>
      </c>
    </row>
    <row r="1025" spans="1:12" ht="15">
      <c r="A1025" s="81" t="s">
        <v>3453</v>
      </c>
      <c r="B1025" s="80" t="s">
        <v>3371</v>
      </c>
      <c r="C1025" s="80">
        <v>2</v>
      </c>
      <c r="D1025" s="105">
        <v>0.008728113667264429</v>
      </c>
      <c r="E1025" s="105">
        <v>1.3071903043687996</v>
      </c>
      <c r="F1025" s="80" t="s">
        <v>3179</v>
      </c>
      <c r="G1025" s="80" t="b">
        <v>0</v>
      </c>
      <c r="H1025" s="80" t="b">
        <v>0</v>
      </c>
      <c r="I1025" s="80" t="b">
        <v>0</v>
      </c>
      <c r="J1025" s="80" t="b">
        <v>0</v>
      </c>
      <c r="K1025" s="80" t="b">
        <v>0</v>
      </c>
      <c r="L1025" s="80" t="b">
        <v>0</v>
      </c>
    </row>
    <row r="1026" spans="1:12" ht="15">
      <c r="A1026" s="81" t="s">
        <v>3371</v>
      </c>
      <c r="B1026" s="80" t="s">
        <v>3552</v>
      </c>
      <c r="C1026" s="80">
        <v>2</v>
      </c>
      <c r="D1026" s="105">
        <v>0.008728113667264429</v>
      </c>
      <c r="E1026" s="105">
        <v>1.3071903043687996</v>
      </c>
      <c r="F1026" s="80" t="s">
        <v>3179</v>
      </c>
      <c r="G1026" s="80" t="b">
        <v>0</v>
      </c>
      <c r="H1026" s="80" t="b">
        <v>0</v>
      </c>
      <c r="I1026" s="80" t="b">
        <v>0</v>
      </c>
      <c r="J1026" s="80" t="b">
        <v>0</v>
      </c>
      <c r="K1026" s="80" t="b">
        <v>0</v>
      </c>
      <c r="L1026" s="80" t="b">
        <v>0</v>
      </c>
    </row>
    <row r="1027" spans="1:12" ht="15">
      <c r="A1027" s="81" t="s">
        <v>3552</v>
      </c>
      <c r="B1027" s="80" t="s">
        <v>3266</v>
      </c>
      <c r="C1027" s="80">
        <v>2</v>
      </c>
      <c r="D1027" s="105">
        <v>0.008728113667264429</v>
      </c>
      <c r="E1027" s="105">
        <v>0.9481683617271316</v>
      </c>
      <c r="F1027" s="80" t="s">
        <v>3179</v>
      </c>
      <c r="G1027" s="80" t="b">
        <v>0</v>
      </c>
      <c r="H1027" s="80" t="b">
        <v>0</v>
      </c>
      <c r="I1027" s="80" t="b">
        <v>0</v>
      </c>
      <c r="J1027" s="80" t="b">
        <v>0</v>
      </c>
      <c r="K1027" s="80" t="b">
        <v>0</v>
      </c>
      <c r="L1027" s="80" t="b">
        <v>0</v>
      </c>
    </row>
    <row r="1028" spans="1:12" ht="15">
      <c r="A1028" s="81" t="s">
        <v>3318</v>
      </c>
      <c r="B1028" s="80" t="s">
        <v>3830</v>
      </c>
      <c r="C1028" s="80">
        <v>2</v>
      </c>
      <c r="D1028" s="105">
        <v>0.008728113667264429</v>
      </c>
      <c r="E1028" s="105">
        <v>1.3283796034387378</v>
      </c>
      <c r="F1028" s="80" t="s">
        <v>3179</v>
      </c>
      <c r="G1028" s="80" t="b">
        <v>0</v>
      </c>
      <c r="H1028" s="80" t="b">
        <v>0</v>
      </c>
      <c r="I1028" s="80" t="b">
        <v>0</v>
      </c>
      <c r="J1028" s="80" t="b">
        <v>0</v>
      </c>
      <c r="K1028" s="80" t="b">
        <v>0</v>
      </c>
      <c r="L1028" s="80" t="b">
        <v>0</v>
      </c>
    </row>
    <row r="1029" spans="1:12" ht="15">
      <c r="A1029" s="81" t="s">
        <v>3830</v>
      </c>
      <c r="B1029" s="80" t="s">
        <v>3260</v>
      </c>
      <c r="C1029" s="80">
        <v>2</v>
      </c>
      <c r="D1029" s="105">
        <v>0.008728113667264429</v>
      </c>
      <c r="E1029" s="105">
        <v>0.9481683617271316</v>
      </c>
      <c r="F1029" s="80" t="s">
        <v>3179</v>
      </c>
      <c r="G1029" s="80" t="b">
        <v>0</v>
      </c>
      <c r="H1029" s="80" t="b">
        <v>0</v>
      </c>
      <c r="I1029" s="80" t="b">
        <v>0</v>
      </c>
      <c r="J1029" s="80" t="b">
        <v>0</v>
      </c>
      <c r="K1029" s="80" t="b">
        <v>0</v>
      </c>
      <c r="L1029" s="80" t="b">
        <v>0</v>
      </c>
    </row>
    <row r="1030" spans="1:12" ht="15">
      <c r="A1030" s="81" t="s">
        <v>3260</v>
      </c>
      <c r="B1030" s="80" t="s">
        <v>3831</v>
      </c>
      <c r="C1030" s="80">
        <v>2</v>
      </c>
      <c r="D1030" s="105">
        <v>0.008728113667264429</v>
      </c>
      <c r="E1030" s="105">
        <v>1.2491983573911127</v>
      </c>
      <c r="F1030" s="80" t="s">
        <v>3179</v>
      </c>
      <c r="G1030" s="80" t="b">
        <v>0</v>
      </c>
      <c r="H1030" s="80" t="b">
        <v>0</v>
      </c>
      <c r="I1030" s="80" t="b">
        <v>0</v>
      </c>
      <c r="J1030" s="80" t="b">
        <v>0</v>
      </c>
      <c r="K1030" s="80" t="b">
        <v>0</v>
      </c>
      <c r="L1030" s="80" t="b">
        <v>0</v>
      </c>
    </row>
    <row r="1031" spans="1:12" ht="15">
      <c r="A1031" s="81" t="s">
        <v>3260</v>
      </c>
      <c r="B1031" s="80" t="s">
        <v>3266</v>
      </c>
      <c r="C1031" s="80">
        <v>2</v>
      </c>
      <c r="D1031" s="105">
        <v>0.008728113667264429</v>
      </c>
      <c r="E1031" s="105">
        <v>0.3461083703991692</v>
      </c>
      <c r="F1031" s="80" t="s">
        <v>3179</v>
      </c>
      <c r="G1031" s="80" t="b">
        <v>0</v>
      </c>
      <c r="H1031" s="80" t="b">
        <v>0</v>
      </c>
      <c r="I1031" s="80" t="b">
        <v>0</v>
      </c>
      <c r="J1031" s="80" t="b">
        <v>0</v>
      </c>
      <c r="K1031" s="80" t="b">
        <v>0</v>
      </c>
      <c r="L1031" s="80" t="b">
        <v>0</v>
      </c>
    </row>
    <row r="1032" spans="1:12" ht="15">
      <c r="A1032" s="81" t="s">
        <v>3339</v>
      </c>
      <c r="B1032" s="80" t="s">
        <v>3693</v>
      </c>
      <c r="C1032" s="80">
        <v>2</v>
      </c>
      <c r="D1032" s="105">
        <v>0.008728113667264429</v>
      </c>
      <c r="E1032" s="105">
        <v>1.3283796034387378</v>
      </c>
      <c r="F1032" s="80" t="s">
        <v>3179</v>
      </c>
      <c r="G1032" s="80" t="b">
        <v>0</v>
      </c>
      <c r="H1032" s="80" t="b">
        <v>0</v>
      </c>
      <c r="I1032" s="80" t="b">
        <v>0</v>
      </c>
      <c r="J1032" s="80" t="b">
        <v>0</v>
      </c>
      <c r="K1032" s="80" t="b">
        <v>0</v>
      </c>
      <c r="L1032" s="80" t="b">
        <v>0</v>
      </c>
    </row>
    <row r="1033" spans="1:12" ht="15">
      <c r="A1033" s="81" t="s">
        <v>3305</v>
      </c>
      <c r="B1033" s="80" t="s">
        <v>3266</v>
      </c>
      <c r="C1033" s="80">
        <v>2</v>
      </c>
      <c r="D1033" s="105">
        <v>0.008728113667264429</v>
      </c>
      <c r="E1033" s="105">
        <v>1.124259620782813</v>
      </c>
      <c r="F1033" s="80" t="s">
        <v>3179</v>
      </c>
      <c r="G1033" s="80" t="b">
        <v>0</v>
      </c>
      <c r="H1033" s="80" t="b">
        <v>0</v>
      </c>
      <c r="I1033" s="80" t="b">
        <v>0</v>
      </c>
      <c r="J1033" s="80" t="b">
        <v>0</v>
      </c>
      <c r="K1033" s="80" t="b">
        <v>0</v>
      </c>
      <c r="L1033" s="80" t="b">
        <v>0</v>
      </c>
    </row>
    <row r="1034" spans="1:12" ht="15">
      <c r="A1034" s="81" t="s">
        <v>556</v>
      </c>
      <c r="B1034" s="80" t="s">
        <v>500</v>
      </c>
      <c r="C1034" s="80">
        <v>2</v>
      </c>
      <c r="D1034" s="105">
        <v>0.008728113667264429</v>
      </c>
      <c r="E1034" s="105">
        <v>1.6751670896633941</v>
      </c>
      <c r="F1034" s="80" t="s">
        <v>3179</v>
      </c>
      <c r="G1034" s="80" t="b">
        <v>0</v>
      </c>
      <c r="H1034" s="80" t="b">
        <v>0</v>
      </c>
      <c r="I1034" s="80" t="b">
        <v>0</v>
      </c>
      <c r="J1034" s="80" t="b">
        <v>0</v>
      </c>
      <c r="K1034" s="80" t="b">
        <v>0</v>
      </c>
      <c r="L1034" s="80" t="b">
        <v>0</v>
      </c>
    </row>
    <row r="1035" spans="1:12" ht="15">
      <c r="A1035" s="81" t="s">
        <v>3372</v>
      </c>
      <c r="B1035" s="80" t="s">
        <v>3691</v>
      </c>
      <c r="C1035" s="80">
        <v>2</v>
      </c>
      <c r="D1035" s="105">
        <v>0.008728113667264429</v>
      </c>
      <c r="E1035" s="105">
        <v>1.550228353055094</v>
      </c>
      <c r="F1035" s="80" t="s">
        <v>3179</v>
      </c>
      <c r="G1035" s="80" t="b">
        <v>1</v>
      </c>
      <c r="H1035" s="80" t="b">
        <v>0</v>
      </c>
      <c r="I1035" s="80" t="b">
        <v>0</v>
      </c>
      <c r="J1035" s="80" t="b">
        <v>0</v>
      </c>
      <c r="K1035" s="80" t="b">
        <v>0</v>
      </c>
      <c r="L1035" s="80" t="b">
        <v>0</v>
      </c>
    </row>
    <row r="1036" spans="1:12" ht="15">
      <c r="A1036" s="81" t="s">
        <v>3691</v>
      </c>
      <c r="B1036" s="80" t="s">
        <v>3396</v>
      </c>
      <c r="C1036" s="80">
        <v>2</v>
      </c>
      <c r="D1036" s="105">
        <v>0.008728113667264429</v>
      </c>
      <c r="E1036" s="105">
        <v>2.0273496077747564</v>
      </c>
      <c r="F1036" s="80" t="s">
        <v>3179</v>
      </c>
      <c r="G1036" s="80" t="b">
        <v>0</v>
      </c>
      <c r="H1036" s="80" t="b">
        <v>0</v>
      </c>
      <c r="I1036" s="80" t="b">
        <v>0</v>
      </c>
      <c r="J1036" s="80" t="b">
        <v>0</v>
      </c>
      <c r="K1036" s="80" t="b">
        <v>1</v>
      </c>
      <c r="L1036" s="80" t="b">
        <v>0</v>
      </c>
    </row>
    <row r="1037" spans="1:12" ht="15">
      <c r="A1037" s="81" t="s">
        <v>3396</v>
      </c>
      <c r="B1037" s="80" t="s">
        <v>3311</v>
      </c>
      <c r="C1037" s="80">
        <v>2</v>
      </c>
      <c r="D1037" s="105">
        <v>0.008728113667264429</v>
      </c>
      <c r="E1037" s="105">
        <v>1.7263196121107753</v>
      </c>
      <c r="F1037" s="80" t="s">
        <v>3179</v>
      </c>
      <c r="G1037" s="80" t="b">
        <v>0</v>
      </c>
      <c r="H1037" s="80" t="b">
        <v>1</v>
      </c>
      <c r="I1037" s="80" t="b">
        <v>0</v>
      </c>
      <c r="J1037" s="80" t="b">
        <v>0</v>
      </c>
      <c r="K1037" s="80" t="b">
        <v>0</v>
      </c>
      <c r="L1037" s="80" t="b">
        <v>0</v>
      </c>
    </row>
    <row r="1038" spans="1:12" ht="15">
      <c r="A1038" s="81" t="s">
        <v>3311</v>
      </c>
      <c r="B1038" s="80" t="s">
        <v>3556</v>
      </c>
      <c r="C1038" s="80">
        <v>2</v>
      </c>
      <c r="D1038" s="105">
        <v>0.008728113667264429</v>
      </c>
      <c r="E1038" s="105">
        <v>1.550228353055094</v>
      </c>
      <c r="F1038" s="80" t="s">
        <v>3179</v>
      </c>
      <c r="G1038" s="80" t="b">
        <v>0</v>
      </c>
      <c r="H1038" s="80" t="b">
        <v>0</v>
      </c>
      <c r="I1038" s="80" t="b">
        <v>0</v>
      </c>
      <c r="J1038" s="80" t="b">
        <v>0</v>
      </c>
      <c r="K1038" s="80" t="b">
        <v>0</v>
      </c>
      <c r="L1038" s="80" t="b">
        <v>0</v>
      </c>
    </row>
    <row r="1039" spans="1:12" ht="15">
      <c r="A1039" s="81" t="s">
        <v>3556</v>
      </c>
      <c r="B1039" s="80" t="s">
        <v>3339</v>
      </c>
      <c r="C1039" s="80">
        <v>2</v>
      </c>
      <c r="D1039" s="105">
        <v>0.008728113667264429</v>
      </c>
      <c r="E1039" s="105">
        <v>1.1522883443830565</v>
      </c>
      <c r="F1039" s="80" t="s">
        <v>3179</v>
      </c>
      <c r="G1039" s="80" t="b">
        <v>0</v>
      </c>
      <c r="H1039" s="80" t="b">
        <v>0</v>
      </c>
      <c r="I1039" s="80" t="b">
        <v>0</v>
      </c>
      <c r="J1039" s="80" t="b">
        <v>0</v>
      </c>
      <c r="K1039" s="80" t="b">
        <v>0</v>
      </c>
      <c r="L1039" s="80" t="b">
        <v>0</v>
      </c>
    </row>
    <row r="1040" spans="1:12" ht="15">
      <c r="A1040" s="81" t="s">
        <v>3339</v>
      </c>
      <c r="B1040" s="80" t="s">
        <v>3266</v>
      </c>
      <c r="C1040" s="80">
        <v>2</v>
      </c>
      <c r="D1040" s="105">
        <v>0.008728113667264429</v>
      </c>
      <c r="E1040" s="105">
        <v>0.42528961644679414</v>
      </c>
      <c r="F1040" s="80" t="s">
        <v>3179</v>
      </c>
      <c r="G1040" s="80" t="b">
        <v>0</v>
      </c>
      <c r="H1040" s="80" t="b">
        <v>0</v>
      </c>
      <c r="I1040" s="80" t="b">
        <v>0</v>
      </c>
      <c r="J1040" s="80" t="b">
        <v>0</v>
      </c>
      <c r="K1040" s="80" t="b">
        <v>0</v>
      </c>
      <c r="L1040" s="80" t="b">
        <v>0</v>
      </c>
    </row>
    <row r="1041" spans="1:12" ht="15">
      <c r="A1041" s="81" t="s">
        <v>3266</v>
      </c>
      <c r="B1041" s="80" t="s">
        <v>3370</v>
      </c>
      <c r="C1041" s="80">
        <v>2</v>
      </c>
      <c r="D1041" s="105">
        <v>0.008728113667264429</v>
      </c>
      <c r="E1041" s="105">
        <v>0.5801915764325373</v>
      </c>
      <c r="F1041" s="80" t="s">
        <v>3179</v>
      </c>
      <c r="G1041" s="80" t="b">
        <v>0</v>
      </c>
      <c r="H1041" s="80" t="b">
        <v>0</v>
      </c>
      <c r="I1041" s="80" t="b">
        <v>0</v>
      </c>
      <c r="J1041" s="80" t="b">
        <v>0</v>
      </c>
      <c r="K1041" s="80" t="b">
        <v>0</v>
      </c>
      <c r="L1041" s="80" t="b">
        <v>0</v>
      </c>
    </row>
    <row r="1042" spans="1:12" ht="15">
      <c r="A1042" s="81" t="s">
        <v>3370</v>
      </c>
      <c r="B1042" s="80" t="s">
        <v>3314</v>
      </c>
      <c r="C1042" s="80">
        <v>2</v>
      </c>
      <c r="D1042" s="105">
        <v>0.008728113667264429</v>
      </c>
      <c r="E1042" s="105">
        <v>0.7051303130408373</v>
      </c>
      <c r="F1042" s="80" t="s">
        <v>3179</v>
      </c>
      <c r="G1042" s="80" t="b">
        <v>0</v>
      </c>
      <c r="H1042" s="80" t="b">
        <v>0</v>
      </c>
      <c r="I1042" s="80" t="b">
        <v>0</v>
      </c>
      <c r="J1042" s="80" t="b">
        <v>0</v>
      </c>
      <c r="K1042" s="80" t="b">
        <v>0</v>
      </c>
      <c r="L1042" s="80" t="b">
        <v>0</v>
      </c>
    </row>
    <row r="1043" spans="1:12" ht="15">
      <c r="A1043" s="81" t="s">
        <v>559</v>
      </c>
      <c r="B1043" s="80" t="s">
        <v>3394</v>
      </c>
      <c r="C1043" s="80">
        <v>2</v>
      </c>
      <c r="D1043" s="105">
        <v>0.008728113667264429</v>
      </c>
      <c r="E1043" s="105">
        <v>1.4533183400470377</v>
      </c>
      <c r="F1043" s="80" t="s">
        <v>3179</v>
      </c>
      <c r="G1043" s="80" t="b">
        <v>0</v>
      </c>
      <c r="H1043" s="80" t="b">
        <v>0</v>
      </c>
      <c r="I1043" s="80" t="b">
        <v>0</v>
      </c>
      <c r="J1043" s="80" t="b">
        <v>0</v>
      </c>
      <c r="K1043" s="80" t="b">
        <v>0</v>
      </c>
      <c r="L1043" s="80" t="b">
        <v>0</v>
      </c>
    </row>
    <row r="1044" spans="1:12" ht="15">
      <c r="A1044" s="81" t="s">
        <v>3291</v>
      </c>
      <c r="B1044" s="80" t="s">
        <v>3279</v>
      </c>
      <c r="C1044" s="80">
        <v>17</v>
      </c>
      <c r="D1044" s="105">
        <v>0</v>
      </c>
      <c r="E1044" s="105">
        <v>1.3222192947339193</v>
      </c>
      <c r="F1044" s="80" t="s">
        <v>3180</v>
      </c>
      <c r="G1044" s="80" t="b">
        <v>0</v>
      </c>
      <c r="H1044" s="80" t="b">
        <v>0</v>
      </c>
      <c r="I1044" s="80" t="b">
        <v>0</v>
      </c>
      <c r="J1044" s="80" t="b">
        <v>0</v>
      </c>
      <c r="K1044" s="80" t="b">
        <v>0</v>
      </c>
      <c r="L1044" s="80" t="b">
        <v>0</v>
      </c>
    </row>
    <row r="1045" spans="1:12" ht="15">
      <c r="A1045" s="81" t="s">
        <v>3279</v>
      </c>
      <c r="B1045" s="80" t="s">
        <v>3278</v>
      </c>
      <c r="C1045" s="80">
        <v>17</v>
      </c>
      <c r="D1045" s="105">
        <v>0</v>
      </c>
      <c r="E1045" s="105">
        <v>1.3222192947339193</v>
      </c>
      <c r="F1045" s="80" t="s">
        <v>3180</v>
      </c>
      <c r="G1045" s="80" t="b">
        <v>0</v>
      </c>
      <c r="H1045" s="80" t="b">
        <v>0</v>
      </c>
      <c r="I1045" s="80" t="b">
        <v>0</v>
      </c>
      <c r="J1045" s="80" t="b">
        <v>0</v>
      </c>
      <c r="K1045" s="80" t="b">
        <v>0</v>
      </c>
      <c r="L1045" s="80" t="b">
        <v>0</v>
      </c>
    </row>
    <row r="1046" spans="1:12" ht="15">
      <c r="A1046" s="81" t="s">
        <v>3278</v>
      </c>
      <c r="B1046" s="80" t="s">
        <v>3292</v>
      </c>
      <c r="C1046" s="80">
        <v>17</v>
      </c>
      <c r="D1046" s="105">
        <v>0</v>
      </c>
      <c r="E1046" s="105">
        <v>1.3222192947339193</v>
      </c>
      <c r="F1046" s="80" t="s">
        <v>3180</v>
      </c>
      <c r="G1046" s="80" t="b">
        <v>0</v>
      </c>
      <c r="H1046" s="80" t="b">
        <v>0</v>
      </c>
      <c r="I1046" s="80" t="b">
        <v>0</v>
      </c>
      <c r="J1046" s="80" t="b">
        <v>0</v>
      </c>
      <c r="K1046" s="80" t="b">
        <v>0</v>
      </c>
      <c r="L1046" s="80" t="b">
        <v>0</v>
      </c>
    </row>
    <row r="1047" spans="1:12" ht="15">
      <c r="A1047" s="81" t="s">
        <v>3292</v>
      </c>
      <c r="B1047" s="80" t="s">
        <v>3293</v>
      </c>
      <c r="C1047" s="80">
        <v>17</v>
      </c>
      <c r="D1047" s="105">
        <v>0</v>
      </c>
      <c r="E1047" s="105">
        <v>1.3222192947339193</v>
      </c>
      <c r="F1047" s="80" t="s">
        <v>3180</v>
      </c>
      <c r="G1047" s="80" t="b">
        <v>0</v>
      </c>
      <c r="H1047" s="80" t="b">
        <v>0</v>
      </c>
      <c r="I1047" s="80" t="b">
        <v>0</v>
      </c>
      <c r="J1047" s="80" t="b">
        <v>0</v>
      </c>
      <c r="K1047" s="80" t="b">
        <v>0</v>
      </c>
      <c r="L1047" s="80" t="b">
        <v>0</v>
      </c>
    </row>
    <row r="1048" spans="1:12" ht="15">
      <c r="A1048" s="81" t="s">
        <v>3293</v>
      </c>
      <c r="B1048" s="80" t="s">
        <v>3286</v>
      </c>
      <c r="C1048" s="80">
        <v>17</v>
      </c>
      <c r="D1048" s="105">
        <v>0</v>
      </c>
      <c r="E1048" s="105">
        <v>1.3222192947339193</v>
      </c>
      <c r="F1048" s="80" t="s">
        <v>3180</v>
      </c>
      <c r="G1048" s="80" t="b">
        <v>0</v>
      </c>
      <c r="H1048" s="80" t="b">
        <v>0</v>
      </c>
      <c r="I1048" s="80" t="b">
        <v>0</v>
      </c>
      <c r="J1048" s="80" t="b">
        <v>0</v>
      </c>
      <c r="K1048" s="80" t="b">
        <v>0</v>
      </c>
      <c r="L1048" s="80" t="b">
        <v>0</v>
      </c>
    </row>
    <row r="1049" spans="1:12" ht="15">
      <c r="A1049" s="81" t="s">
        <v>3286</v>
      </c>
      <c r="B1049" s="80" t="s">
        <v>3287</v>
      </c>
      <c r="C1049" s="80">
        <v>17</v>
      </c>
      <c r="D1049" s="105">
        <v>0</v>
      </c>
      <c r="E1049" s="105">
        <v>1.3222192947339193</v>
      </c>
      <c r="F1049" s="80" t="s">
        <v>3180</v>
      </c>
      <c r="G1049" s="80" t="b">
        <v>0</v>
      </c>
      <c r="H1049" s="80" t="b">
        <v>0</v>
      </c>
      <c r="I1049" s="80" t="b">
        <v>0</v>
      </c>
      <c r="J1049" s="80" t="b">
        <v>0</v>
      </c>
      <c r="K1049" s="80" t="b">
        <v>0</v>
      </c>
      <c r="L1049" s="80" t="b">
        <v>0</v>
      </c>
    </row>
    <row r="1050" spans="1:12" ht="15">
      <c r="A1050" s="81" t="s">
        <v>3287</v>
      </c>
      <c r="B1050" s="80" t="s">
        <v>3294</v>
      </c>
      <c r="C1050" s="80">
        <v>17</v>
      </c>
      <c r="D1050" s="105">
        <v>0</v>
      </c>
      <c r="E1050" s="105">
        <v>1.3222192947339193</v>
      </c>
      <c r="F1050" s="80" t="s">
        <v>3180</v>
      </c>
      <c r="G1050" s="80" t="b">
        <v>0</v>
      </c>
      <c r="H1050" s="80" t="b">
        <v>0</v>
      </c>
      <c r="I1050" s="80" t="b">
        <v>0</v>
      </c>
      <c r="J1050" s="80" t="b">
        <v>0</v>
      </c>
      <c r="K1050" s="80" t="b">
        <v>0</v>
      </c>
      <c r="L1050" s="80" t="b">
        <v>0</v>
      </c>
    </row>
    <row r="1051" spans="1:12" ht="15">
      <c r="A1051" s="81" t="s">
        <v>3294</v>
      </c>
      <c r="B1051" s="80" t="s">
        <v>3295</v>
      </c>
      <c r="C1051" s="80">
        <v>17</v>
      </c>
      <c r="D1051" s="105">
        <v>0</v>
      </c>
      <c r="E1051" s="105">
        <v>1.3222192947339193</v>
      </c>
      <c r="F1051" s="80" t="s">
        <v>3180</v>
      </c>
      <c r="G1051" s="80" t="b">
        <v>0</v>
      </c>
      <c r="H1051" s="80" t="b">
        <v>0</v>
      </c>
      <c r="I1051" s="80" t="b">
        <v>0</v>
      </c>
      <c r="J1051" s="80" t="b">
        <v>0</v>
      </c>
      <c r="K1051" s="80" t="b">
        <v>0</v>
      </c>
      <c r="L1051" s="80" t="b">
        <v>0</v>
      </c>
    </row>
    <row r="1052" spans="1:12" ht="15">
      <c r="A1052" s="81" t="s">
        <v>3295</v>
      </c>
      <c r="B1052" s="80" t="s">
        <v>3268</v>
      </c>
      <c r="C1052" s="80">
        <v>17</v>
      </c>
      <c r="D1052" s="105">
        <v>0</v>
      </c>
      <c r="E1052" s="105">
        <v>1.021189299069938</v>
      </c>
      <c r="F1052" s="80" t="s">
        <v>3180</v>
      </c>
      <c r="G1052" s="80" t="b">
        <v>0</v>
      </c>
      <c r="H1052" s="80" t="b">
        <v>0</v>
      </c>
      <c r="I1052" s="80" t="b">
        <v>0</v>
      </c>
      <c r="J1052" s="80" t="b">
        <v>0</v>
      </c>
      <c r="K1052" s="80" t="b">
        <v>0</v>
      </c>
      <c r="L1052" s="80" t="b">
        <v>0</v>
      </c>
    </row>
    <row r="1053" spans="1:12" ht="15">
      <c r="A1053" s="81" t="s">
        <v>3268</v>
      </c>
      <c r="B1053" s="80" t="s">
        <v>3281</v>
      </c>
      <c r="C1053" s="80">
        <v>17</v>
      </c>
      <c r="D1053" s="105">
        <v>0</v>
      </c>
      <c r="E1053" s="105">
        <v>1.021189299069938</v>
      </c>
      <c r="F1053" s="80" t="s">
        <v>3180</v>
      </c>
      <c r="G1053" s="80" t="b">
        <v>0</v>
      </c>
      <c r="H1053" s="80" t="b">
        <v>0</v>
      </c>
      <c r="I1053" s="80" t="b">
        <v>0</v>
      </c>
      <c r="J1053" s="80" t="b">
        <v>0</v>
      </c>
      <c r="K1053" s="80" t="b">
        <v>0</v>
      </c>
      <c r="L1053" s="80" t="b">
        <v>0</v>
      </c>
    </row>
    <row r="1054" spans="1:12" ht="15">
      <c r="A1054" s="81" t="s">
        <v>3281</v>
      </c>
      <c r="B1054" s="80" t="s">
        <v>3296</v>
      </c>
      <c r="C1054" s="80">
        <v>17</v>
      </c>
      <c r="D1054" s="105">
        <v>0</v>
      </c>
      <c r="E1054" s="105">
        <v>1.3222192947339193</v>
      </c>
      <c r="F1054" s="80" t="s">
        <v>3180</v>
      </c>
      <c r="G1054" s="80" t="b">
        <v>0</v>
      </c>
      <c r="H1054" s="80" t="b">
        <v>0</v>
      </c>
      <c r="I1054" s="80" t="b">
        <v>0</v>
      </c>
      <c r="J1054" s="80" t="b">
        <v>0</v>
      </c>
      <c r="K1054" s="80" t="b">
        <v>0</v>
      </c>
      <c r="L1054" s="80" t="b">
        <v>0</v>
      </c>
    </row>
    <row r="1055" spans="1:12" ht="15">
      <c r="A1055" s="81" t="s">
        <v>3296</v>
      </c>
      <c r="B1055" s="80" t="s">
        <v>3297</v>
      </c>
      <c r="C1055" s="80">
        <v>17</v>
      </c>
      <c r="D1055" s="105">
        <v>0</v>
      </c>
      <c r="E1055" s="105">
        <v>1.3222192947339193</v>
      </c>
      <c r="F1055" s="80" t="s">
        <v>3180</v>
      </c>
      <c r="G1055" s="80" t="b">
        <v>0</v>
      </c>
      <c r="H1055" s="80" t="b">
        <v>0</v>
      </c>
      <c r="I1055" s="80" t="b">
        <v>0</v>
      </c>
      <c r="J1055" s="80" t="b">
        <v>0</v>
      </c>
      <c r="K1055" s="80" t="b">
        <v>0</v>
      </c>
      <c r="L1055" s="80" t="b">
        <v>0</v>
      </c>
    </row>
    <row r="1056" spans="1:12" ht="15">
      <c r="A1056" s="81" t="s">
        <v>3297</v>
      </c>
      <c r="B1056" s="80" t="s">
        <v>3267</v>
      </c>
      <c r="C1056" s="80">
        <v>17</v>
      </c>
      <c r="D1056" s="105">
        <v>0</v>
      </c>
      <c r="E1056" s="105">
        <v>1.021189299069938</v>
      </c>
      <c r="F1056" s="80" t="s">
        <v>3180</v>
      </c>
      <c r="G1056" s="80" t="b">
        <v>0</v>
      </c>
      <c r="H1056" s="80" t="b">
        <v>0</v>
      </c>
      <c r="I1056" s="80" t="b">
        <v>0</v>
      </c>
      <c r="J1056" s="80" t="b">
        <v>0</v>
      </c>
      <c r="K1056" s="80" t="b">
        <v>0</v>
      </c>
      <c r="L1056" s="80" t="b">
        <v>0</v>
      </c>
    </row>
    <row r="1057" spans="1:12" ht="15">
      <c r="A1057" s="81" t="s">
        <v>3267</v>
      </c>
      <c r="B1057" s="80" t="s">
        <v>3280</v>
      </c>
      <c r="C1057" s="80">
        <v>17</v>
      </c>
      <c r="D1057" s="105">
        <v>0</v>
      </c>
      <c r="E1057" s="105">
        <v>1.021189299069938</v>
      </c>
      <c r="F1057" s="80" t="s">
        <v>3180</v>
      </c>
      <c r="G1057" s="80" t="b">
        <v>0</v>
      </c>
      <c r="H1057" s="80" t="b">
        <v>0</v>
      </c>
      <c r="I1057" s="80" t="b">
        <v>0</v>
      </c>
      <c r="J1057" s="80" t="b">
        <v>0</v>
      </c>
      <c r="K1057" s="80" t="b">
        <v>0</v>
      </c>
      <c r="L1057" s="80" t="b">
        <v>0</v>
      </c>
    </row>
    <row r="1058" spans="1:12" ht="15">
      <c r="A1058" s="81" t="s">
        <v>3280</v>
      </c>
      <c r="B1058" s="80" t="s">
        <v>3298</v>
      </c>
      <c r="C1058" s="80">
        <v>17</v>
      </c>
      <c r="D1058" s="105">
        <v>0</v>
      </c>
      <c r="E1058" s="105">
        <v>1.3222192947339193</v>
      </c>
      <c r="F1058" s="80" t="s">
        <v>3180</v>
      </c>
      <c r="G1058" s="80" t="b">
        <v>0</v>
      </c>
      <c r="H1058" s="80" t="b">
        <v>0</v>
      </c>
      <c r="I1058" s="80" t="b">
        <v>0</v>
      </c>
      <c r="J1058" s="80" t="b">
        <v>1</v>
      </c>
      <c r="K1058" s="80" t="b">
        <v>0</v>
      </c>
      <c r="L1058" s="80" t="b">
        <v>0</v>
      </c>
    </row>
    <row r="1059" spans="1:12" ht="15">
      <c r="A1059" s="81" t="s">
        <v>3298</v>
      </c>
      <c r="B1059" s="80" t="s">
        <v>3267</v>
      </c>
      <c r="C1059" s="80">
        <v>17</v>
      </c>
      <c r="D1059" s="105">
        <v>0</v>
      </c>
      <c r="E1059" s="105">
        <v>1.021189299069938</v>
      </c>
      <c r="F1059" s="80" t="s">
        <v>3180</v>
      </c>
      <c r="G1059" s="80" t="b">
        <v>1</v>
      </c>
      <c r="H1059" s="80" t="b">
        <v>0</v>
      </c>
      <c r="I1059" s="80" t="b">
        <v>0</v>
      </c>
      <c r="J1059" s="80" t="b">
        <v>0</v>
      </c>
      <c r="K1059" s="80" t="b">
        <v>0</v>
      </c>
      <c r="L1059" s="80" t="b">
        <v>0</v>
      </c>
    </row>
    <row r="1060" spans="1:12" ht="15">
      <c r="A1060" s="81" t="s">
        <v>3267</v>
      </c>
      <c r="B1060" s="80" t="s">
        <v>3299</v>
      </c>
      <c r="C1060" s="80">
        <v>17</v>
      </c>
      <c r="D1060" s="105">
        <v>0</v>
      </c>
      <c r="E1060" s="105">
        <v>1.021189299069938</v>
      </c>
      <c r="F1060" s="80" t="s">
        <v>3180</v>
      </c>
      <c r="G1060" s="80" t="b">
        <v>0</v>
      </c>
      <c r="H1060" s="80" t="b">
        <v>0</v>
      </c>
      <c r="I1060" s="80" t="b">
        <v>0</v>
      </c>
      <c r="J1060" s="80" t="b">
        <v>0</v>
      </c>
      <c r="K1060" s="80" t="b">
        <v>0</v>
      </c>
      <c r="L1060" s="80" t="b">
        <v>0</v>
      </c>
    </row>
    <row r="1061" spans="1:12" ht="15">
      <c r="A1061" s="81" t="s">
        <v>3299</v>
      </c>
      <c r="B1061" s="80" t="s">
        <v>3300</v>
      </c>
      <c r="C1061" s="80">
        <v>17</v>
      </c>
      <c r="D1061" s="105">
        <v>0</v>
      </c>
      <c r="E1061" s="105">
        <v>1.3222192947339193</v>
      </c>
      <c r="F1061" s="80" t="s">
        <v>3180</v>
      </c>
      <c r="G1061" s="80" t="b">
        <v>0</v>
      </c>
      <c r="H1061" s="80" t="b">
        <v>0</v>
      </c>
      <c r="I1061" s="80" t="b">
        <v>0</v>
      </c>
      <c r="J1061" s="80" t="b">
        <v>0</v>
      </c>
      <c r="K1061" s="80" t="b">
        <v>0</v>
      </c>
      <c r="L1061" s="80" t="b">
        <v>0</v>
      </c>
    </row>
    <row r="1062" spans="1:12" ht="15">
      <c r="A1062" s="81" t="s">
        <v>3300</v>
      </c>
      <c r="B1062" s="80" t="s">
        <v>3268</v>
      </c>
      <c r="C1062" s="80">
        <v>17</v>
      </c>
      <c r="D1062" s="105">
        <v>0</v>
      </c>
      <c r="E1062" s="105">
        <v>1.021189299069938</v>
      </c>
      <c r="F1062" s="80" t="s">
        <v>3180</v>
      </c>
      <c r="G1062" s="80" t="b">
        <v>0</v>
      </c>
      <c r="H1062" s="80" t="b">
        <v>0</v>
      </c>
      <c r="I1062" s="80" t="b">
        <v>0</v>
      </c>
      <c r="J1062" s="80" t="b">
        <v>0</v>
      </c>
      <c r="K1062" s="80" t="b">
        <v>0</v>
      </c>
      <c r="L1062" s="80" t="b">
        <v>0</v>
      </c>
    </row>
    <row r="1063" spans="1:12" ht="15">
      <c r="A1063" s="81" t="s">
        <v>3268</v>
      </c>
      <c r="B1063" s="80" t="s">
        <v>3301</v>
      </c>
      <c r="C1063" s="80">
        <v>17</v>
      </c>
      <c r="D1063" s="105">
        <v>0</v>
      </c>
      <c r="E1063" s="105">
        <v>1.021189299069938</v>
      </c>
      <c r="F1063" s="80" t="s">
        <v>3180</v>
      </c>
      <c r="G1063" s="80" t="b">
        <v>0</v>
      </c>
      <c r="H1063" s="80" t="b">
        <v>0</v>
      </c>
      <c r="I1063" s="80" t="b">
        <v>0</v>
      </c>
      <c r="J1063" s="80" t="b">
        <v>0</v>
      </c>
      <c r="K1063" s="80" t="b">
        <v>0</v>
      </c>
      <c r="L1063" s="80" t="b">
        <v>0</v>
      </c>
    </row>
    <row r="1064" spans="1:12" ht="15">
      <c r="A1064" s="81" t="s">
        <v>3301</v>
      </c>
      <c r="B1064" s="80" t="s">
        <v>3260</v>
      </c>
      <c r="C1064" s="80">
        <v>17</v>
      </c>
      <c r="D1064" s="105">
        <v>0</v>
      </c>
      <c r="E1064" s="105">
        <v>1.3222192947339193</v>
      </c>
      <c r="F1064" s="80" t="s">
        <v>3180</v>
      </c>
      <c r="G1064" s="80" t="b">
        <v>0</v>
      </c>
      <c r="H1064" s="80" t="b">
        <v>0</v>
      </c>
      <c r="I1064" s="80" t="b">
        <v>0</v>
      </c>
      <c r="J1064" s="80" t="b">
        <v>0</v>
      </c>
      <c r="K1064" s="80" t="b">
        <v>0</v>
      </c>
      <c r="L1064" s="80" t="b">
        <v>0</v>
      </c>
    </row>
    <row r="1065" spans="1:12" ht="15">
      <c r="A1065" s="81" t="s">
        <v>3324</v>
      </c>
      <c r="B1065" s="80" t="s">
        <v>3325</v>
      </c>
      <c r="C1065" s="80">
        <v>11</v>
      </c>
      <c r="D1065" s="105">
        <v>0.0032441355229054034</v>
      </c>
      <c r="E1065" s="105">
        <v>1.325963235867794</v>
      </c>
      <c r="F1065" s="80" t="s">
        <v>3182</v>
      </c>
      <c r="G1065" s="80" t="b">
        <v>0</v>
      </c>
      <c r="H1065" s="80" t="b">
        <v>0</v>
      </c>
      <c r="I1065" s="80" t="b">
        <v>0</v>
      </c>
      <c r="J1065" s="80" t="b">
        <v>0</v>
      </c>
      <c r="K1065" s="80" t="b">
        <v>0</v>
      </c>
      <c r="L1065" s="80" t="b">
        <v>0</v>
      </c>
    </row>
    <row r="1066" spans="1:12" ht="15">
      <c r="A1066" s="81" t="s">
        <v>3325</v>
      </c>
      <c r="B1066" s="80" t="s">
        <v>3326</v>
      </c>
      <c r="C1066" s="80">
        <v>11</v>
      </c>
      <c r="D1066" s="105">
        <v>0.0032441355229054034</v>
      </c>
      <c r="E1066" s="105">
        <v>1.325963235867794</v>
      </c>
      <c r="F1066" s="80" t="s">
        <v>3182</v>
      </c>
      <c r="G1066" s="80" t="b">
        <v>0</v>
      </c>
      <c r="H1066" s="80" t="b">
        <v>0</v>
      </c>
      <c r="I1066" s="80" t="b">
        <v>0</v>
      </c>
      <c r="J1066" s="80" t="b">
        <v>0</v>
      </c>
      <c r="K1066" s="80" t="b">
        <v>0</v>
      </c>
      <c r="L1066" s="80" t="b">
        <v>0</v>
      </c>
    </row>
    <row r="1067" spans="1:12" ht="15">
      <c r="A1067" s="81" t="s">
        <v>3326</v>
      </c>
      <c r="B1067" s="80" t="s">
        <v>3327</v>
      </c>
      <c r="C1067" s="80">
        <v>11</v>
      </c>
      <c r="D1067" s="105">
        <v>0.0032441355229054034</v>
      </c>
      <c r="E1067" s="105">
        <v>1.325963235867794</v>
      </c>
      <c r="F1067" s="80" t="s">
        <v>3182</v>
      </c>
      <c r="G1067" s="80" t="b">
        <v>0</v>
      </c>
      <c r="H1067" s="80" t="b">
        <v>0</v>
      </c>
      <c r="I1067" s="80" t="b">
        <v>0</v>
      </c>
      <c r="J1067" s="80" t="b">
        <v>0</v>
      </c>
      <c r="K1067" s="80" t="b">
        <v>0</v>
      </c>
      <c r="L1067" s="80" t="b">
        <v>0</v>
      </c>
    </row>
    <row r="1068" spans="1:12" ht="15">
      <c r="A1068" s="81" t="s">
        <v>3327</v>
      </c>
      <c r="B1068" s="80" t="s">
        <v>3328</v>
      </c>
      <c r="C1068" s="80">
        <v>11</v>
      </c>
      <c r="D1068" s="105">
        <v>0.0032441355229054034</v>
      </c>
      <c r="E1068" s="105">
        <v>1.325963235867794</v>
      </c>
      <c r="F1068" s="80" t="s">
        <v>3182</v>
      </c>
      <c r="G1068" s="80" t="b">
        <v>0</v>
      </c>
      <c r="H1068" s="80" t="b">
        <v>0</v>
      </c>
      <c r="I1068" s="80" t="b">
        <v>0</v>
      </c>
      <c r="J1068" s="80" t="b">
        <v>0</v>
      </c>
      <c r="K1068" s="80" t="b">
        <v>0</v>
      </c>
      <c r="L1068" s="80" t="b">
        <v>0</v>
      </c>
    </row>
    <row r="1069" spans="1:12" ht="15">
      <c r="A1069" s="81" t="s">
        <v>3328</v>
      </c>
      <c r="B1069" s="80" t="s">
        <v>3309</v>
      </c>
      <c r="C1069" s="80">
        <v>11</v>
      </c>
      <c r="D1069" s="105">
        <v>0.0032441355229054034</v>
      </c>
      <c r="E1069" s="105">
        <v>1.325963235867794</v>
      </c>
      <c r="F1069" s="80" t="s">
        <v>3182</v>
      </c>
      <c r="G1069" s="80" t="b">
        <v>0</v>
      </c>
      <c r="H1069" s="80" t="b">
        <v>0</v>
      </c>
      <c r="I1069" s="80" t="b">
        <v>0</v>
      </c>
      <c r="J1069" s="80" t="b">
        <v>0</v>
      </c>
      <c r="K1069" s="80" t="b">
        <v>0</v>
      </c>
      <c r="L1069" s="80" t="b">
        <v>0</v>
      </c>
    </row>
    <row r="1070" spans="1:12" ht="15">
      <c r="A1070" s="81" t="s">
        <v>3309</v>
      </c>
      <c r="B1070" s="80" t="s">
        <v>3316</v>
      </c>
      <c r="C1070" s="80">
        <v>11</v>
      </c>
      <c r="D1070" s="105">
        <v>0.0032441355229054034</v>
      </c>
      <c r="E1070" s="105">
        <v>1.325963235867794</v>
      </c>
      <c r="F1070" s="80" t="s">
        <v>3182</v>
      </c>
      <c r="G1070" s="80" t="b">
        <v>0</v>
      </c>
      <c r="H1070" s="80" t="b">
        <v>0</v>
      </c>
      <c r="I1070" s="80" t="b">
        <v>0</v>
      </c>
      <c r="J1070" s="80" t="b">
        <v>0</v>
      </c>
      <c r="K1070" s="80" t="b">
        <v>0</v>
      </c>
      <c r="L1070" s="80" t="b">
        <v>0</v>
      </c>
    </row>
    <row r="1071" spans="1:12" ht="15">
      <c r="A1071" s="81" t="s">
        <v>3316</v>
      </c>
      <c r="B1071" s="80" t="s">
        <v>3329</v>
      </c>
      <c r="C1071" s="80">
        <v>11</v>
      </c>
      <c r="D1071" s="105">
        <v>0.0032441355229054034</v>
      </c>
      <c r="E1071" s="105">
        <v>1.325963235867794</v>
      </c>
      <c r="F1071" s="80" t="s">
        <v>3182</v>
      </c>
      <c r="G1071" s="80" t="b">
        <v>0</v>
      </c>
      <c r="H1071" s="80" t="b">
        <v>0</v>
      </c>
      <c r="I1071" s="80" t="b">
        <v>0</v>
      </c>
      <c r="J1071" s="80" t="b">
        <v>0</v>
      </c>
      <c r="K1071" s="80" t="b">
        <v>0</v>
      </c>
      <c r="L1071" s="80" t="b">
        <v>0</v>
      </c>
    </row>
    <row r="1072" spans="1:12" ht="15">
      <c r="A1072" s="81" t="s">
        <v>3329</v>
      </c>
      <c r="B1072" s="80" t="s">
        <v>3330</v>
      </c>
      <c r="C1072" s="80">
        <v>11</v>
      </c>
      <c r="D1072" s="105">
        <v>0.0032441355229054034</v>
      </c>
      <c r="E1072" s="105">
        <v>1.325963235867794</v>
      </c>
      <c r="F1072" s="80" t="s">
        <v>3182</v>
      </c>
      <c r="G1072" s="80" t="b">
        <v>0</v>
      </c>
      <c r="H1072" s="80" t="b">
        <v>0</v>
      </c>
      <c r="I1072" s="80" t="b">
        <v>0</v>
      </c>
      <c r="J1072" s="80" t="b">
        <v>0</v>
      </c>
      <c r="K1072" s="80" t="b">
        <v>0</v>
      </c>
      <c r="L1072" s="80" t="b">
        <v>0</v>
      </c>
    </row>
    <row r="1073" spans="1:12" ht="15">
      <c r="A1073" s="81" t="s">
        <v>3330</v>
      </c>
      <c r="B1073" s="80" t="s">
        <v>3331</v>
      </c>
      <c r="C1073" s="80">
        <v>11</v>
      </c>
      <c r="D1073" s="105">
        <v>0.0032441355229054034</v>
      </c>
      <c r="E1073" s="105">
        <v>1.325963235867794</v>
      </c>
      <c r="F1073" s="80" t="s">
        <v>3182</v>
      </c>
      <c r="G1073" s="80" t="b">
        <v>0</v>
      </c>
      <c r="H1073" s="80" t="b">
        <v>0</v>
      </c>
      <c r="I1073" s="80" t="b">
        <v>0</v>
      </c>
      <c r="J1073" s="80" t="b">
        <v>0</v>
      </c>
      <c r="K1073" s="80" t="b">
        <v>0</v>
      </c>
      <c r="L1073" s="80" t="b">
        <v>0</v>
      </c>
    </row>
    <row r="1074" spans="1:12" ht="15">
      <c r="A1074" s="81" t="s">
        <v>3331</v>
      </c>
      <c r="B1074" s="80" t="s">
        <v>3321</v>
      </c>
      <c r="C1074" s="80">
        <v>11</v>
      </c>
      <c r="D1074" s="105">
        <v>0.0032441355229054034</v>
      </c>
      <c r="E1074" s="105">
        <v>1.325963235867794</v>
      </c>
      <c r="F1074" s="80" t="s">
        <v>3182</v>
      </c>
      <c r="G1074" s="80" t="b">
        <v>0</v>
      </c>
      <c r="H1074" s="80" t="b">
        <v>0</v>
      </c>
      <c r="I1074" s="80" t="b">
        <v>0</v>
      </c>
      <c r="J1074" s="80" t="b">
        <v>0</v>
      </c>
      <c r="K1074" s="80" t="b">
        <v>0</v>
      </c>
      <c r="L1074" s="80" t="b">
        <v>0</v>
      </c>
    </row>
    <row r="1075" spans="1:12" ht="15">
      <c r="A1075" s="81" t="s">
        <v>3321</v>
      </c>
      <c r="B1075" s="80" t="s">
        <v>3332</v>
      </c>
      <c r="C1075" s="80">
        <v>11</v>
      </c>
      <c r="D1075" s="105">
        <v>0.0032441355229054034</v>
      </c>
      <c r="E1075" s="105">
        <v>1.325963235867794</v>
      </c>
      <c r="F1075" s="80" t="s">
        <v>3182</v>
      </c>
      <c r="G1075" s="80" t="b">
        <v>0</v>
      </c>
      <c r="H1075" s="80" t="b">
        <v>0</v>
      </c>
      <c r="I1075" s="80" t="b">
        <v>0</v>
      </c>
      <c r="J1075" s="80" t="b">
        <v>0</v>
      </c>
      <c r="K1075" s="80" t="b">
        <v>0</v>
      </c>
      <c r="L1075" s="80" t="b">
        <v>0</v>
      </c>
    </row>
    <row r="1076" spans="1:12" ht="15">
      <c r="A1076" s="81" t="s">
        <v>3332</v>
      </c>
      <c r="B1076" s="80" t="s">
        <v>3333</v>
      </c>
      <c r="C1076" s="80">
        <v>11</v>
      </c>
      <c r="D1076" s="105">
        <v>0.0032441355229054034</v>
      </c>
      <c r="E1076" s="105">
        <v>1.325963235867794</v>
      </c>
      <c r="F1076" s="80" t="s">
        <v>3182</v>
      </c>
      <c r="G1076" s="80" t="b">
        <v>0</v>
      </c>
      <c r="H1076" s="80" t="b">
        <v>0</v>
      </c>
      <c r="I1076" s="80" t="b">
        <v>0</v>
      </c>
      <c r="J1076" s="80" t="b">
        <v>0</v>
      </c>
      <c r="K1076" s="80" t="b">
        <v>0</v>
      </c>
      <c r="L1076" s="80" t="b">
        <v>0</v>
      </c>
    </row>
    <row r="1077" spans="1:12" ht="15">
      <c r="A1077" s="81" t="s">
        <v>3333</v>
      </c>
      <c r="B1077" s="80" t="s">
        <v>3290</v>
      </c>
      <c r="C1077" s="80">
        <v>11</v>
      </c>
      <c r="D1077" s="105">
        <v>0.0032441355229054034</v>
      </c>
      <c r="E1077" s="105">
        <v>1.325963235867794</v>
      </c>
      <c r="F1077" s="80" t="s">
        <v>3182</v>
      </c>
      <c r="G1077" s="80" t="b">
        <v>0</v>
      </c>
      <c r="H1077" s="80" t="b">
        <v>0</v>
      </c>
      <c r="I1077" s="80" t="b">
        <v>0</v>
      </c>
      <c r="J1077" s="80" t="b">
        <v>0</v>
      </c>
      <c r="K1077" s="80" t="b">
        <v>0</v>
      </c>
      <c r="L1077" s="80" t="b">
        <v>0</v>
      </c>
    </row>
    <row r="1078" spans="1:12" ht="15">
      <c r="A1078" s="81" t="s">
        <v>3290</v>
      </c>
      <c r="B1078" s="80" t="s">
        <v>3334</v>
      </c>
      <c r="C1078" s="80">
        <v>11</v>
      </c>
      <c r="D1078" s="105">
        <v>0.0032441355229054034</v>
      </c>
      <c r="E1078" s="105">
        <v>1.325963235867794</v>
      </c>
      <c r="F1078" s="80" t="s">
        <v>3182</v>
      </c>
      <c r="G1078" s="80" t="b">
        <v>0</v>
      </c>
      <c r="H1078" s="80" t="b">
        <v>0</v>
      </c>
      <c r="I1078" s="80" t="b">
        <v>0</v>
      </c>
      <c r="J1078" s="80" t="b">
        <v>0</v>
      </c>
      <c r="K1078" s="80" t="b">
        <v>0</v>
      </c>
      <c r="L1078" s="80" t="b">
        <v>0</v>
      </c>
    </row>
    <row r="1079" spans="1:12" ht="15">
      <c r="A1079" s="81" t="s">
        <v>3334</v>
      </c>
      <c r="B1079" s="80" t="s">
        <v>3335</v>
      </c>
      <c r="C1079" s="80">
        <v>11</v>
      </c>
      <c r="D1079" s="105">
        <v>0.0032441355229054034</v>
      </c>
      <c r="E1079" s="105">
        <v>1.325963235867794</v>
      </c>
      <c r="F1079" s="80" t="s">
        <v>3182</v>
      </c>
      <c r="G1079" s="80" t="b">
        <v>0</v>
      </c>
      <c r="H1079" s="80" t="b">
        <v>0</v>
      </c>
      <c r="I1079" s="80" t="b">
        <v>0</v>
      </c>
      <c r="J1079" s="80" t="b">
        <v>0</v>
      </c>
      <c r="K1079" s="80" t="b">
        <v>0</v>
      </c>
      <c r="L1079" s="80" t="b">
        <v>0</v>
      </c>
    </row>
    <row r="1080" spans="1:12" ht="15">
      <c r="A1080" s="81" t="s">
        <v>3335</v>
      </c>
      <c r="B1080" s="80" t="s">
        <v>3336</v>
      </c>
      <c r="C1080" s="80">
        <v>11</v>
      </c>
      <c r="D1080" s="105">
        <v>0.0032441355229054034</v>
      </c>
      <c r="E1080" s="105">
        <v>1.325963235867794</v>
      </c>
      <c r="F1080" s="80" t="s">
        <v>3182</v>
      </c>
      <c r="G1080" s="80" t="b">
        <v>0</v>
      </c>
      <c r="H1080" s="80" t="b">
        <v>0</v>
      </c>
      <c r="I1080" s="80" t="b">
        <v>0</v>
      </c>
      <c r="J1080" s="80" t="b">
        <v>0</v>
      </c>
      <c r="K1080" s="80" t="b">
        <v>0</v>
      </c>
      <c r="L1080" s="80" t="b">
        <v>0</v>
      </c>
    </row>
    <row r="1081" spans="1:12" ht="15">
      <c r="A1081" s="81" t="s">
        <v>3336</v>
      </c>
      <c r="B1081" s="80" t="s">
        <v>3303</v>
      </c>
      <c r="C1081" s="80">
        <v>11</v>
      </c>
      <c r="D1081" s="105">
        <v>0.0032441355229054034</v>
      </c>
      <c r="E1081" s="105">
        <v>1.325963235867794</v>
      </c>
      <c r="F1081" s="80" t="s">
        <v>3182</v>
      </c>
      <c r="G1081" s="80" t="b">
        <v>0</v>
      </c>
      <c r="H1081" s="80" t="b">
        <v>0</v>
      </c>
      <c r="I1081" s="80" t="b">
        <v>0</v>
      </c>
      <c r="J1081" s="80" t="b">
        <v>0</v>
      </c>
      <c r="K1081" s="80" t="b">
        <v>0</v>
      </c>
      <c r="L1081" s="80" t="b">
        <v>0</v>
      </c>
    </row>
    <row r="1082" spans="1:12" ht="15">
      <c r="A1082" s="81" t="s">
        <v>3303</v>
      </c>
      <c r="B1082" s="80" t="s">
        <v>3302</v>
      </c>
      <c r="C1082" s="80">
        <v>11</v>
      </c>
      <c r="D1082" s="105">
        <v>0.0032441355229054034</v>
      </c>
      <c r="E1082" s="105">
        <v>1.325963235867794</v>
      </c>
      <c r="F1082" s="80" t="s">
        <v>3182</v>
      </c>
      <c r="G1082" s="80" t="b">
        <v>0</v>
      </c>
      <c r="H1082" s="80" t="b">
        <v>0</v>
      </c>
      <c r="I1082" s="80" t="b">
        <v>0</v>
      </c>
      <c r="J1082" s="80" t="b">
        <v>0</v>
      </c>
      <c r="K1082" s="80" t="b">
        <v>0</v>
      </c>
      <c r="L1082" s="80" t="b">
        <v>0</v>
      </c>
    </row>
    <row r="1083" spans="1:12" ht="15">
      <c r="A1083" s="81" t="s">
        <v>3302</v>
      </c>
      <c r="B1083" s="80" t="s">
        <v>3260</v>
      </c>
      <c r="C1083" s="80">
        <v>11</v>
      </c>
      <c r="D1083" s="105">
        <v>0.0032441355229054034</v>
      </c>
      <c r="E1083" s="105">
        <v>1.2534125687191822</v>
      </c>
      <c r="F1083" s="80" t="s">
        <v>3182</v>
      </c>
      <c r="G1083" s="80" t="b">
        <v>0</v>
      </c>
      <c r="H1083" s="80" t="b">
        <v>0</v>
      </c>
      <c r="I1083" s="80" t="b">
        <v>0</v>
      </c>
      <c r="J1083" s="80" t="b">
        <v>0</v>
      </c>
      <c r="K1083" s="80" t="b">
        <v>0</v>
      </c>
      <c r="L1083" s="80" t="b">
        <v>0</v>
      </c>
    </row>
    <row r="1084" spans="1:12" ht="15">
      <c r="A1084" s="81" t="s">
        <v>3821</v>
      </c>
      <c r="B1084" s="80" t="s">
        <v>3341</v>
      </c>
      <c r="C1084" s="80">
        <v>2</v>
      </c>
      <c r="D1084" s="105">
        <v>0.006609051680023217</v>
      </c>
      <c r="E1084" s="105">
        <v>2.0663259253620376</v>
      </c>
      <c r="F1084" s="80" t="s">
        <v>3182</v>
      </c>
      <c r="G1084" s="80" t="b">
        <v>0</v>
      </c>
      <c r="H1084" s="80" t="b">
        <v>0</v>
      </c>
      <c r="I1084" s="80" t="b">
        <v>0</v>
      </c>
      <c r="J1084" s="80" t="b">
        <v>0</v>
      </c>
      <c r="K1084" s="80" t="b">
        <v>0</v>
      </c>
      <c r="L1084" s="80" t="b">
        <v>0</v>
      </c>
    </row>
    <row r="1085" spans="1:12" ht="15">
      <c r="A1085" s="81" t="s">
        <v>3341</v>
      </c>
      <c r="B1085" s="80" t="s">
        <v>3822</v>
      </c>
      <c r="C1085" s="80">
        <v>2</v>
      </c>
      <c r="D1085" s="105">
        <v>0.006609051680023217</v>
      </c>
      <c r="E1085" s="105">
        <v>2.0663259253620376</v>
      </c>
      <c r="F1085" s="80" t="s">
        <v>3182</v>
      </c>
      <c r="G1085" s="80" t="b">
        <v>0</v>
      </c>
      <c r="H1085" s="80" t="b">
        <v>0</v>
      </c>
      <c r="I1085" s="80" t="b">
        <v>0</v>
      </c>
      <c r="J1085" s="80" t="b">
        <v>0</v>
      </c>
      <c r="K1085" s="80" t="b">
        <v>1</v>
      </c>
      <c r="L1085" s="80" t="b">
        <v>0</v>
      </c>
    </row>
    <row r="1086" spans="1:12" ht="15">
      <c r="A1086" s="81" t="s">
        <v>3822</v>
      </c>
      <c r="B1086" s="80" t="s">
        <v>3823</v>
      </c>
      <c r="C1086" s="80">
        <v>2</v>
      </c>
      <c r="D1086" s="105">
        <v>0.006609051680023217</v>
      </c>
      <c r="E1086" s="105">
        <v>2.0663259253620376</v>
      </c>
      <c r="F1086" s="80" t="s">
        <v>3182</v>
      </c>
      <c r="G1086" s="80" t="b">
        <v>0</v>
      </c>
      <c r="H1086" s="80" t="b">
        <v>1</v>
      </c>
      <c r="I1086" s="80" t="b">
        <v>0</v>
      </c>
      <c r="J1086" s="80" t="b">
        <v>0</v>
      </c>
      <c r="K1086" s="80" t="b">
        <v>1</v>
      </c>
      <c r="L1086" s="80" t="b">
        <v>0</v>
      </c>
    </row>
    <row r="1087" spans="1:12" ht="15">
      <c r="A1087" s="81" t="s">
        <v>3823</v>
      </c>
      <c r="B1087" s="80" t="s">
        <v>3824</v>
      </c>
      <c r="C1087" s="80">
        <v>2</v>
      </c>
      <c r="D1087" s="105">
        <v>0.006609051680023217</v>
      </c>
      <c r="E1087" s="105">
        <v>2.0663259253620376</v>
      </c>
      <c r="F1087" s="80" t="s">
        <v>3182</v>
      </c>
      <c r="G1087" s="80" t="b">
        <v>0</v>
      </c>
      <c r="H1087" s="80" t="b">
        <v>1</v>
      </c>
      <c r="I1087" s="80" t="b">
        <v>0</v>
      </c>
      <c r="J1087" s="80" t="b">
        <v>0</v>
      </c>
      <c r="K1087" s="80" t="b">
        <v>0</v>
      </c>
      <c r="L1087" s="80" t="b">
        <v>0</v>
      </c>
    </row>
    <row r="1088" spans="1:12" ht="15">
      <c r="A1088" s="81" t="s">
        <v>3824</v>
      </c>
      <c r="B1088" s="80" t="s">
        <v>3260</v>
      </c>
      <c r="C1088" s="80">
        <v>2</v>
      </c>
      <c r="D1088" s="105">
        <v>0.006609051680023217</v>
      </c>
      <c r="E1088" s="105">
        <v>1.2534125687191822</v>
      </c>
      <c r="F1088" s="80" t="s">
        <v>3182</v>
      </c>
      <c r="G1088" s="80" t="b">
        <v>0</v>
      </c>
      <c r="H1088" s="80" t="b">
        <v>0</v>
      </c>
      <c r="I1088" s="80" t="b">
        <v>0</v>
      </c>
      <c r="J1088" s="80" t="b">
        <v>0</v>
      </c>
      <c r="K1088" s="80" t="b">
        <v>0</v>
      </c>
      <c r="L1088" s="80" t="b">
        <v>0</v>
      </c>
    </row>
    <row r="1089" spans="1:12" ht="15">
      <c r="A1089" s="81" t="s">
        <v>3260</v>
      </c>
      <c r="B1089" s="80" t="s">
        <v>3305</v>
      </c>
      <c r="C1089" s="80">
        <v>2</v>
      </c>
      <c r="D1089" s="105">
        <v>0.006609051680023217</v>
      </c>
      <c r="E1089" s="105">
        <v>2.0663259253620376</v>
      </c>
      <c r="F1089" s="80" t="s">
        <v>3182</v>
      </c>
      <c r="G1089" s="80" t="b">
        <v>0</v>
      </c>
      <c r="H1089" s="80" t="b">
        <v>0</v>
      </c>
      <c r="I1089" s="80" t="b">
        <v>0</v>
      </c>
      <c r="J1089" s="80" t="b">
        <v>0</v>
      </c>
      <c r="K1089" s="80" t="b">
        <v>0</v>
      </c>
      <c r="L1089" s="80" t="b">
        <v>0</v>
      </c>
    </row>
    <row r="1090" spans="1:12" ht="15">
      <c r="A1090" s="81" t="s">
        <v>3305</v>
      </c>
      <c r="B1090" s="80" t="s">
        <v>3825</v>
      </c>
      <c r="C1090" s="80">
        <v>2</v>
      </c>
      <c r="D1090" s="105">
        <v>0.006609051680023217</v>
      </c>
      <c r="E1090" s="105">
        <v>2.0663259253620376</v>
      </c>
      <c r="F1090" s="80" t="s">
        <v>3182</v>
      </c>
      <c r="G1090" s="80" t="b">
        <v>0</v>
      </c>
      <c r="H1090" s="80" t="b">
        <v>0</v>
      </c>
      <c r="I1090" s="80" t="b">
        <v>0</v>
      </c>
      <c r="J1090" s="80" t="b">
        <v>0</v>
      </c>
      <c r="K1090" s="80" t="b">
        <v>0</v>
      </c>
      <c r="L1090" s="80" t="b">
        <v>0</v>
      </c>
    </row>
    <row r="1091" spans="1:12" ht="15">
      <c r="A1091" s="81" t="s">
        <v>3825</v>
      </c>
      <c r="B1091" s="80" t="s">
        <v>3826</v>
      </c>
      <c r="C1091" s="80">
        <v>2</v>
      </c>
      <c r="D1091" s="105">
        <v>0.006609051680023217</v>
      </c>
      <c r="E1091" s="105">
        <v>2.0663259253620376</v>
      </c>
      <c r="F1091" s="80" t="s">
        <v>3182</v>
      </c>
      <c r="G1091" s="80" t="b">
        <v>0</v>
      </c>
      <c r="H1091" s="80" t="b">
        <v>0</v>
      </c>
      <c r="I1091" s="80" t="b">
        <v>0</v>
      </c>
      <c r="J1091" s="80" t="b">
        <v>0</v>
      </c>
      <c r="K1091" s="80" t="b">
        <v>0</v>
      </c>
      <c r="L1091" s="80" t="b">
        <v>0</v>
      </c>
    </row>
    <row r="1092" spans="1:12" ht="15">
      <c r="A1092" s="81" t="s">
        <v>3826</v>
      </c>
      <c r="B1092" s="80" t="s">
        <v>3827</v>
      </c>
      <c r="C1092" s="80">
        <v>2</v>
      </c>
      <c r="D1092" s="105">
        <v>0.006609051680023217</v>
      </c>
      <c r="E1092" s="105">
        <v>2.0663259253620376</v>
      </c>
      <c r="F1092" s="80" t="s">
        <v>3182</v>
      </c>
      <c r="G1092" s="80" t="b">
        <v>0</v>
      </c>
      <c r="H1092" s="80" t="b">
        <v>0</v>
      </c>
      <c r="I1092" s="80" t="b">
        <v>0</v>
      </c>
      <c r="J1092" s="80" t="b">
        <v>0</v>
      </c>
      <c r="K1092" s="80" t="b">
        <v>0</v>
      </c>
      <c r="L1092" s="80" t="b">
        <v>0</v>
      </c>
    </row>
    <row r="1093" spans="1:12" ht="15">
      <c r="A1093" s="81" t="s">
        <v>3827</v>
      </c>
      <c r="B1093" s="80" t="s">
        <v>3828</v>
      </c>
      <c r="C1093" s="80">
        <v>2</v>
      </c>
      <c r="D1093" s="105">
        <v>0.006609051680023217</v>
      </c>
      <c r="E1093" s="105">
        <v>2.0663259253620376</v>
      </c>
      <c r="F1093" s="80" t="s">
        <v>3182</v>
      </c>
      <c r="G1093" s="80" t="b">
        <v>0</v>
      </c>
      <c r="H1093" s="80" t="b">
        <v>0</v>
      </c>
      <c r="I1093" s="80" t="b">
        <v>0</v>
      </c>
      <c r="J1093" s="80" t="b">
        <v>0</v>
      </c>
      <c r="K1093" s="80" t="b">
        <v>0</v>
      </c>
      <c r="L1093" s="80" t="b">
        <v>0</v>
      </c>
    </row>
    <row r="1094" spans="1:12" ht="15">
      <c r="A1094" s="81" t="s">
        <v>3828</v>
      </c>
      <c r="B1094" s="80" t="s">
        <v>3829</v>
      </c>
      <c r="C1094" s="80">
        <v>2</v>
      </c>
      <c r="D1094" s="105">
        <v>0.006609051680023217</v>
      </c>
      <c r="E1094" s="105">
        <v>2.0663259253620376</v>
      </c>
      <c r="F1094" s="80" t="s">
        <v>3182</v>
      </c>
      <c r="G1094" s="80" t="b">
        <v>0</v>
      </c>
      <c r="H1094" s="80" t="b">
        <v>0</v>
      </c>
      <c r="I1094" s="80" t="b">
        <v>0</v>
      </c>
      <c r="J1094" s="80" t="b">
        <v>0</v>
      </c>
      <c r="K1094" s="80" t="b">
        <v>0</v>
      </c>
      <c r="L1094" s="80" t="b">
        <v>0</v>
      </c>
    </row>
    <row r="1095" spans="1:12" ht="15">
      <c r="A1095" s="81" t="s">
        <v>3866</v>
      </c>
      <c r="B1095" s="80" t="s">
        <v>3867</v>
      </c>
      <c r="C1095" s="80">
        <v>2</v>
      </c>
      <c r="D1095" s="105">
        <v>0.006688067372639287</v>
      </c>
      <c r="E1095" s="105">
        <v>1.7558748556724915</v>
      </c>
      <c r="F1095" s="80" t="s">
        <v>3183</v>
      </c>
      <c r="G1095" s="80" t="b">
        <v>0</v>
      </c>
      <c r="H1095" s="80" t="b">
        <v>0</v>
      </c>
      <c r="I1095" s="80" t="b">
        <v>0</v>
      </c>
      <c r="J1095" s="80" t="b">
        <v>0</v>
      </c>
      <c r="K1095" s="80" t="b">
        <v>0</v>
      </c>
      <c r="L1095" s="80" t="b">
        <v>0</v>
      </c>
    </row>
    <row r="1096" spans="1:12" ht="15">
      <c r="A1096" s="81" t="s">
        <v>3867</v>
      </c>
      <c r="B1096" s="80" t="s">
        <v>3868</v>
      </c>
      <c r="C1096" s="80">
        <v>2</v>
      </c>
      <c r="D1096" s="105">
        <v>0.006688067372639287</v>
      </c>
      <c r="E1096" s="105">
        <v>1.7558748556724915</v>
      </c>
      <c r="F1096" s="80" t="s">
        <v>3183</v>
      </c>
      <c r="G1096" s="80" t="b">
        <v>0</v>
      </c>
      <c r="H1096" s="80" t="b">
        <v>0</v>
      </c>
      <c r="I1096" s="80" t="b">
        <v>0</v>
      </c>
      <c r="J1096" s="80" t="b">
        <v>0</v>
      </c>
      <c r="K1096" s="80" t="b">
        <v>0</v>
      </c>
      <c r="L1096" s="80" t="b">
        <v>0</v>
      </c>
    </row>
    <row r="1097" spans="1:12" ht="15">
      <c r="A1097" s="81" t="s">
        <v>3868</v>
      </c>
      <c r="B1097" s="80" t="s">
        <v>3869</v>
      </c>
      <c r="C1097" s="80">
        <v>2</v>
      </c>
      <c r="D1097" s="105">
        <v>0.006688067372639287</v>
      </c>
      <c r="E1097" s="105">
        <v>1.7558748556724915</v>
      </c>
      <c r="F1097" s="80" t="s">
        <v>3183</v>
      </c>
      <c r="G1097" s="80" t="b">
        <v>0</v>
      </c>
      <c r="H1097" s="80" t="b">
        <v>0</v>
      </c>
      <c r="I1097" s="80" t="b">
        <v>0</v>
      </c>
      <c r="J1097" s="80" t="b">
        <v>0</v>
      </c>
      <c r="K1097" s="80" t="b">
        <v>0</v>
      </c>
      <c r="L1097" s="80" t="b">
        <v>0</v>
      </c>
    </row>
    <row r="1098" spans="1:12" ht="15">
      <c r="A1098" s="81" t="s">
        <v>3869</v>
      </c>
      <c r="B1098" s="80" t="s">
        <v>3870</v>
      </c>
      <c r="C1098" s="80">
        <v>2</v>
      </c>
      <c r="D1098" s="105">
        <v>0.006688067372639287</v>
      </c>
      <c r="E1098" s="105">
        <v>1.7558748556724915</v>
      </c>
      <c r="F1098" s="80" t="s">
        <v>3183</v>
      </c>
      <c r="G1098" s="80" t="b">
        <v>0</v>
      </c>
      <c r="H1098" s="80" t="b">
        <v>0</v>
      </c>
      <c r="I1098" s="80" t="b">
        <v>0</v>
      </c>
      <c r="J1098" s="80" t="b">
        <v>0</v>
      </c>
      <c r="K1098" s="80" t="b">
        <v>0</v>
      </c>
      <c r="L1098" s="80" t="b">
        <v>0</v>
      </c>
    </row>
    <row r="1099" spans="1:12" ht="15">
      <c r="A1099" s="81" t="s">
        <v>3870</v>
      </c>
      <c r="B1099" s="80" t="s">
        <v>3478</v>
      </c>
      <c r="C1099" s="80">
        <v>2</v>
      </c>
      <c r="D1099" s="105">
        <v>0.006688067372639287</v>
      </c>
      <c r="E1099" s="105">
        <v>1.7558748556724915</v>
      </c>
      <c r="F1099" s="80" t="s">
        <v>3183</v>
      </c>
      <c r="G1099" s="80" t="b">
        <v>0</v>
      </c>
      <c r="H1099" s="80" t="b">
        <v>0</v>
      </c>
      <c r="I1099" s="80" t="b">
        <v>0</v>
      </c>
      <c r="J1099" s="80" t="b">
        <v>0</v>
      </c>
      <c r="K1099" s="80" t="b">
        <v>0</v>
      </c>
      <c r="L1099" s="80" t="b">
        <v>0</v>
      </c>
    </row>
    <row r="1100" spans="1:12" ht="15">
      <c r="A1100" s="81" t="s">
        <v>3478</v>
      </c>
      <c r="B1100" s="80" t="s">
        <v>3309</v>
      </c>
      <c r="C1100" s="80">
        <v>2</v>
      </c>
      <c r="D1100" s="105">
        <v>0.006688067372639287</v>
      </c>
      <c r="E1100" s="105">
        <v>1.7558748556724915</v>
      </c>
      <c r="F1100" s="80" t="s">
        <v>3183</v>
      </c>
      <c r="G1100" s="80" t="b">
        <v>0</v>
      </c>
      <c r="H1100" s="80" t="b">
        <v>0</v>
      </c>
      <c r="I1100" s="80" t="b">
        <v>0</v>
      </c>
      <c r="J1100" s="80" t="b">
        <v>0</v>
      </c>
      <c r="K1100" s="80" t="b">
        <v>0</v>
      </c>
      <c r="L1100" s="80" t="b">
        <v>0</v>
      </c>
    </row>
    <row r="1101" spans="1:12" ht="15">
      <c r="A1101" s="81" t="s">
        <v>3309</v>
      </c>
      <c r="B1101" s="80" t="s">
        <v>3316</v>
      </c>
      <c r="C1101" s="80">
        <v>2</v>
      </c>
      <c r="D1101" s="105">
        <v>0.006688067372639287</v>
      </c>
      <c r="E1101" s="105">
        <v>1.7558748556724915</v>
      </c>
      <c r="F1101" s="80" t="s">
        <v>3183</v>
      </c>
      <c r="G1101" s="80" t="b">
        <v>0</v>
      </c>
      <c r="H1101" s="80" t="b">
        <v>0</v>
      </c>
      <c r="I1101" s="80" t="b">
        <v>0</v>
      </c>
      <c r="J1101" s="80" t="b">
        <v>0</v>
      </c>
      <c r="K1101" s="80" t="b">
        <v>0</v>
      </c>
      <c r="L1101" s="80" t="b">
        <v>0</v>
      </c>
    </row>
    <row r="1102" spans="1:12" ht="15">
      <c r="A1102" s="81" t="s">
        <v>3316</v>
      </c>
      <c r="B1102" s="80" t="s">
        <v>3871</v>
      </c>
      <c r="C1102" s="80">
        <v>2</v>
      </c>
      <c r="D1102" s="105">
        <v>0.006688067372639287</v>
      </c>
      <c r="E1102" s="105">
        <v>1.7558748556724915</v>
      </c>
      <c r="F1102" s="80" t="s">
        <v>3183</v>
      </c>
      <c r="G1102" s="80" t="b">
        <v>0</v>
      </c>
      <c r="H1102" s="80" t="b">
        <v>0</v>
      </c>
      <c r="I1102" s="80" t="b">
        <v>0</v>
      </c>
      <c r="J1102" s="80" t="b">
        <v>0</v>
      </c>
      <c r="K1102" s="80" t="b">
        <v>0</v>
      </c>
      <c r="L1102" s="80" t="b">
        <v>0</v>
      </c>
    </row>
    <row r="1103" spans="1:12" ht="15">
      <c r="A1103" s="81" t="s">
        <v>3871</v>
      </c>
      <c r="B1103" s="80" t="s">
        <v>3373</v>
      </c>
      <c r="C1103" s="80">
        <v>2</v>
      </c>
      <c r="D1103" s="105">
        <v>0.006688067372639287</v>
      </c>
      <c r="E1103" s="105">
        <v>1.4548448600085102</v>
      </c>
      <c r="F1103" s="80" t="s">
        <v>3183</v>
      </c>
      <c r="G1103" s="80" t="b">
        <v>0</v>
      </c>
      <c r="H1103" s="80" t="b">
        <v>0</v>
      </c>
      <c r="I1103" s="80" t="b">
        <v>0</v>
      </c>
      <c r="J1103" s="80" t="b">
        <v>0</v>
      </c>
      <c r="K1103" s="80" t="b">
        <v>0</v>
      </c>
      <c r="L1103" s="80" t="b">
        <v>0</v>
      </c>
    </row>
    <row r="1104" spans="1:12" ht="15">
      <c r="A1104" s="81" t="s">
        <v>3373</v>
      </c>
      <c r="B1104" s="80" t="s">
        <v>3474</v>
      </c>
      <c r="C1104" s="80">
        <v>2</v>
      </c>
      <c r="D1104" s="105">
        <v>0.006688067372639287</v>
      </c>
      <c r="E1104" s="105">
        <v>1.4548448600085102</v>
      </c>
      <c r="F1104" s="80" t="s">
        <v>3183</v>
      </c>
      <c r="G1104" s="80" t="b">
        <v>0</v>
      </c>
      <c r="H1104" s="80" t="b">
        <v>0</v>
      </c>
      <c r="I1104" s="80" t="b">
        <v>0</v>
      </c>
      <c r="J1104" s="80" t="b">
        <v>0</v>
      </c>
      <c r="K1104" s="80" t="b">
        <v>0</v>
      </c>
      <c r="L1104" s="80" t="b">
        <v>0</v>
      </c>
    </row>
    <row r="1105" spans="1:12" ht="15">
      <c r="A1105" s="81" t="s">
        <v>3474</v>
      </c>
      <c r="B1105" s="80" t="s">
        <v>3451</v>
      </c>
      <c r="C1105" s="80">
        <v>2</v>
      </c>
      <c r="D1105" s="105">
        <v>0.006688067372639287</v>
      </c>
      <c r="E1105" s="105">
        <v>1.7558748556724915</v>
      </c>
      <c r="F1105" s="80" t="s">
        <v>3183</v>
      </c>
      <c r="G1105" s="80" t="b">
        <v>0</v>
      </c>
      <c r="H1105" s="80" t="b">
        <v>0</v>
      </c>
      <c r="I1105" s="80" t="b">
        <v>0</v>
      </c>
      <c r="J1105" s="80" t="b">
        <v>0</v>
      </c>
      <c r="K1105" s="80" t="b">
        <v>0</v>
      </c>
      <c r="L1105" s="80" t="b">
        <v>0</v>
      </c>
    </row>
    <row r="1106" spans="1:12" ht="15">
      <c r="A1106" s="81" t="s">
        <v>3451</v>
      </c>
      <c r="B1106" s="80" t="s">
        <v>3548</v>
      </c>
      <c r="C1106" s="80">
        <v>2</v>
      </c>
      <c r="D1106" s="105">
        <v>0.006688067372639287</v>
      </c>
      <c r="E1106" s="105">
        <v>1.7558748556724915</v>
      </c>
      <c r="F1106" s="80" t="s">
        <v>3183</v>
      </c>
      <c r="G1106" s="80" t="b">
        <v>0</v>
      </c>
      <c r="H1106" s="80" t="b">
        <v>0</v>
      </c>
      <c r="I1106" s="80" t="b">
        <v>0</v>
      </c>
      <c r="J1106" s="80" t="b">
        <v>0</v>
      </c>
      <c r="K1106" s="80" t="b">
        <v>0</v>
      </c>
      <c r="L1106" s="80" t="b">
        <v>0</v>
      </c>
    </row>
    <row r="1107" spans="1:12" ht="15">
      <c r="A1107" s="81" t="s">
        <v>3548</v>
      </c>
      <c r="B1107" s="80" t="s">
        <v>3872</v>
      </c>
      <c r="C1107" s="80">
        <v>2</v>
      </c>
      <c r="D1107" s="105">
        <v>0.006688067372639287</v>
      </c>
      <c r="E1107" s="105">
        <v>1.7558748556724915</v>
      </c>
      <c r="F1107" s="80" t="s">
        <v>3183</v>
      </c>
      <c r="G1107" s="80" t="b">
        <v>0</v>
      </c>
      <c r="H1107" s="80" t="b">
        <v>0</v>
      </c>
      <c r="I1107" s="80" t="b">
        <v>0</v>
      </c>
      <c r="J1107" s="80" t="b">
        <v>0</v>
      </c>
      <c r="K1107" s="80" t="b">
        <v>0</v>
      </c>
      <c r="L1107" s="80" t="b">
        <v>0</v>
      </c>
    </row>
    <row r="1108" spans="1:12" ht="15">
      <c r="A1108" s="81" t="s">
        <v>3872</v>
      </c>
      <c r="B1108" s="80" t="s">
        <v>3534</v>
      </c>
      <c r="C1108" s="80">
        <v>2</v>
      </c>
      <c r="D1108" s="105">
        <v>0.006688067372639287</v>
      </c>
      <c r="E1108" s="105">
        <v>1.4548448600085102</v>
      </c>
      <c r="F1108" s="80" t="s">
        <v>3183</v>
      </c>
      <c r="G1108" s="80" t="b">
        <v>0</v>
      </c>
      <c r="H1108" s="80" t="b">
        <v>0</v>
      </c>
      <c r="I1108" s="80" t="b">
        <v>0</v>
      </c>
      <c r="J1108" s="80" t="b">
        <v>0</v>
      </c>
      <c r="K1108" s="80" t="b">
        <v>0</v>
      </c>
      <c r="L1108" s="80" t="b">
        <v>0</v>
      </c>
    </row>
    <row r="1109" spans="1:12" ht="15">
      <c r="A1109" s="81" t="s">
        <v>3534</v>
      </c>
      <c r="B1109" s="80" t="s">
        <v>3475</v>
      </c>
      <c r="C1109" s="80">
        <v>2</v>
      </c>
      <c r="D1109" s="105">
        <v>0.006688067372639287</v>
      </c>
      <c r="E1109" s="105">
        <v>1.4548448600085102</v>
      </c>
      <c r="F1109" s="80" t="s">
        <v>3183</v>
      </c>
      <c r="G1109" s="80" t="b">
        <v>0</v>
      </c>
      <c r="H1109" s="80" t="b">
        <v>0</v>
      </c>
      <c r="I1109" s="80" t="b">
        <v>0</v>
      </c>
      <c r="J1109" s="80" t="b">
        <v>0</v>
      </c>
      <c r="K1109" s="80" t="b">
        <v>0</v>
      </c>
      <c r="L1109" s="80" t="b">
        <v>0</v>
      </c>
    </row>
    <row r="1110" spans="1:12" ht="15">
      <c r="A1110" s="81" t="s">
        <v>3475</v>
      </c>
      <c r="B1110" s="80" t="s">
        <v>3873</v>
      </c>
      <c r="C1110" s="80">
        <v>2</v>
      </c>
      <c r="D1110" s="105">
        <v>0.006688067372639287</v>
      </c>
      <c r="E1110" s="105">
        <v>1.7558748556724915</v>
      </c>
      <c r="F1110" s="80" t="s">
        <v>3183</v>
      </c>
      <c r="G1110" s="80" t="b">
        <v>0</v>
      </c>
      <c r="H1110" s="80" t="b">
        <v>0</v>
      </c>
      <c r="I1110" s="80" t="b">
        <v>0</v>
      </c>
      <c r="J1110" s="80" t="b">
        <v>0</v>
      </c>
      <c r="K1110" s="80" t="b">
        <v>0</v>
      </c>
      <c r="L1110" s="80" t="b">
        <v>0</v>
      </c>
    </row>
    <row r="1111" spans="1:12" ht="15">
      <c r="A1111" s="81" t="s">
        <v>3873</v>
      </c>
      <c r="B1111" s="80" t="s">
        <v>3534</v>
      </c>
      <c r="C1111" s="80">
        <v>2</v>
      </c>
      <c r="D1111" s="105">
        <v>0.006688067372639287</v>
      </c>
      <c r="E1111" s="105">
        <v>1.4548448600085102</v>
      </c>
      <c r="F1111" s="80" t="s">
        <v>3183</v>
      </c>
      <c r="G1111" s="80" t="b">
        <v>0</v>
      </c>
      <c r="H1111" s="80" t="b">
        <v>0</v>
      </c>
      <c r="I1111" s="80" t="b">
        <v>0</v>
      </c>
      <c r="J1111" s="80" t="b">
        <v>0</v>
      </c>
      <c r="K1111" s="80" t="b">
        <v>0</v>
      </c>
      <c r="L1111" s="80" t="b">
        <v>0</v>
      </c>
    </row>
    <row r="1112" spans="1:12" ht="15">
      <c r="A1112" s="81" t="s">
        <v>3534</v>
      </c>
      <c r="B1112" s="80" t="s">
        <v>3874</v>
      </c>
      <c r="C1112" s="80">
        <v>2</v>
      </c>
      <c r="D1112" s="105">
        <v>0.006688067372639287</v>
      </c>
      <c r="E1112" s="105">
        <v>1.4548448600085102</v>
      </c>
      <c r="F1112" s="80" t="s">
        <v>3183</v>
      </c>
      <c r="G1112" s="80" t="b">
        <v>0</v>
      </c>
      <c r="H1112" s="80" t="b">
        <v>0</v>
      </c>
      <c r="I1112" s="80" t="b">
        <v>0</v>
      </c>
      <c r="J1112" s="80" t="b">
        <v>0</v>
      </c>
      <c r="K1112" s="80" t="b">
        <v>0</v>
      </c>
      <c r="L1112" s="80" t="b">
        <v>0</v>
      </c>
    </row>
    <row r="1113" spans="1:12" ht="15">
      <c r="A1113" s="81" t="s">
        <v>3874</v>
      </c>
      <c r="B1113" s="80" t="s">
        <v>3875</v>
      </c>
      <c r="C1113" s="80">
        <v>2</v>
      </c>
      <c r="D1113" s="105">
        <v>0.006688067372639287</v>
      </c>
      <c r="E1113" s="105">
        <v>1.7558748556724915</v>
      </c>
      <c r="F1113" s="80" t="s">
        <v>3183</v>
      </c>
      <c r="G1113" s="80" t="b">
        <v>0</v>
      </c>
      <c r="H1113" s="80" t="b">
        <v>0</v>
      </c>
      <c r="I1113" s="80" t="b">
        <v>0</v>
      </c>
      <c r="J1113" s="80" t="b">
        <v>0</v>
      </c>
      <c r="K1113" s="80" t="b">
        <v>0</v>
      </c>
      <c r="L1113" s="80" t="b">
        <v>0</v>
      </c>
    </row>
    <row r="1114" spans="1:12" ht="15">
      <c r="A1114" s="81" t="s">
        <v>3875</v>
      </c>
      <c r="B1114" s="80" t="s">
        <v>3876</v>
      </c>
      <c r="C1114" s="80">
        <v>2</v>
      </c>
      <c r="D1114" s="105">
        <v>0.006688067372639287</v>
      </c>
      <c r="E1114" s="105">
        <v>1.7558748556724915</v>
      </c>
      <c r="F1114" s="80" t="s">
        <v>3183</v>
      </c>
      <c r="G1114" s="80" t="b">
        <v>0</v>
      </c>
      <c r="H1114" s="80" t="b">
        <v>0</v>
      </c>
      <c r="I1114" s="80" t="b">
        <v>0</v>
      </c>
      <c r="J1114" s="80" t="b">
        <v>0</v>
      </c>
      <c r="K1114" s="80" t="b">
        <v>0</v>
      </c>
      <c r="L1114" s="80" t="b">
        <v>0</v>
      </c>
    </row>
    <row r="1115" spans="1:12" ht="15">
      <c r="A1115" s="81" t="s">
        <v>3876</v>
      </c>
      <c r="B1115" s="80" t="s">
        <v>3547</v>
      </c>
      <c r="C1115" s="80">
        <v>2</v>
      </c>
      <c r="D1115" s="105">
        <v>0.006688067372639287</v>
      </c>
      <c r="E1115" s="105">
        <v>1.7558748556724915</v>
      </c>
      <c r="F1115" s="80" t="s">
        <v>3183</v>
      </c>
      <c r="G1115" s="80" t="b">
        <v>0</v>
      </c>
      <c r="H1115" s="80" t="b">
        <v>0</v>
      </c>
      <c r="I1115" s="80" t="b">
        <v>0</v>
      </c>
      <c r="J1115" s="80" t="b">
        <v>0</v>
      </c>
      <c r="K1115" s="80" t="b">
        <v>0</v>
      </c>
      <c r="L1115" s="80" t="b">
        <v>0</v>
      </c>
    </row>
    <row r="1116" spans="1:12" ht="15">
      <c r="A1116" s="81" t="s">
        <v>3547</v>
      </c>
      <c r="B1116" s="80" t="s">
        <v>3877</v>
      </c>
      <c r="C1116" s="80">
        <v>2</v>
      </c>
      <c r="D1116" s="105">
        <v>0.006688067372639287</v>
      </c>
      <c r="E1116" s="105">
        <v>1.7558748556724915</v>
      </c>
      <c r="F1116" s="80" t="s">
        <v>3183</v>
      </c>
      <c r="G1116" s="80" t="b">
        <v>0</v>
      </c>
      <c r="H1116" s="80" t="b">
        <v>0</v>
      </c>
      <c r="I1116" s="80" t="b">
        <v>0</v>
      </c>
      <c r="J1116" s="80" t="b">
        <v>0</v>
      </c>
      <c r="K1116" s="80" t="b">
        <v>0</v>
      </c>
      <c r="L1116" s="80" t="b">
        <v>0</v>
      </c>
    </row>
    <row r="1117" spans="1:12" ht="15">
      <c r="A1117" s="81" t="s">
        <v>3877</v>
      </c>
      <c r="B1117" s="80" t="s">
        <v>3668</v>
      </c>
      <c r="C1117" s="80">
        <v>2</v>
      </c>
      <c r="D1117" s="105">
        <v>0.006688067372639287</v>
      </c>
      <c r="E1117" s="105">
        <v>1.7558748556724915</v>
      </c>
      <c r="F1117" s="80" t="s">
        <v>3183</v>
      </c>
      <c r="G1117" s="80" t="b">
        <v>0</v>
      </c>
      <c r="H1117" s="80" t="b">
        <v>0</v>
      </c>
      <c r="I1117" s="80" t="b">
        <v>0</v>
      </c>
      <c r="J1117" s="80" t="b">
        <v>0</v>
      </c>
      <c r="K1117" s="80" t="b">
        <v>0</v>
      </c>
      <c r="L1117" s="80" t="b">
        <v>0</v>
      </c>
    </row>
    <row r="1118" spans="1:12" ht="15">
      <c r="A1118" s="81" t="s">
        <v>3668</v>
      </c>
      <c r="B1118" s="80" t="s">
        <v>3669</v>
      </c>
      <c r="C1118" s="80">
        <v>2</v>
      </c>
      <c r="D1118" s="105">
        <v>0.006688067372639287</v>
      </c>
      <c r="E1118" s="105">
        <v>1.5797835966168103</v>
      </c>
      <c r="F1118" s="80" t="s">
        <v>3183</v>
      </c>
      <c r="G1118" s="80" t="b">
        <v>0</v>
      </c>
      <c r="H1118" s="80" t="b">
        <v>0</v>
      </c>
      <c r="I1118" s="80" t="b">
        <v>0</v>
      </c>
      <c r="J1118" s="80" t="b">
        <v>0</v>
      </c>
      <c r="K1118" s="80" t="b">
        <v>0</v>
      </c>
      <c r="L1118" s="80" t="b">
        <v>0</v>
      </c>
    </row>
    <row r="1119" spans="1:12" ht="15">
      <c r="A1119" s="81" t="s">
        <v>3669</v>
      </c>
      <c r="B1119" s="80" t="s">
        <v>3670</v>
      </c>
      <c r="C1119" s="80">
        <v>2</v>
      </c>
      <c r="D1119" s="105">
        <v>0.006688067372639287</v>
      </c>
      <c r="E1119" s="105">
        <v>1.5797835966168103</v>
      </c>
      <c r="F1119" s="80" t="s">
        <v>3183</v>
      </c>
      <c r="G1119" s="80" t="b">
        <v>0</v>
      </c>
      <c r="H1119" s="80" t="b">
        <v>0</v>
      </c>
      <c r="I1119" s="80" t="b">
        <v>0</v>
      </c>
      <c r="J1119" s="80" t="b">
        <v>0</v>
      </c>
      <c r="K1119" s="80" t="b">
        <v>0</v>
      </c>
      <c r="L1119" s="80" t="b">
        <v>0</v>
      </c>
    </row>
    <row r="1120" spans="1:12" ht="15">
      <c r="A1120" s="81" t="s">
        <v>3670</v>
      </c>
      <c r="B1120" s="80" t="s">
        <v>3266</v>
      </c>
      <c r="C1120" s="80">
        <v>2</v>
      </c>
      <c r="D1120" s="105">
        <v>0.006688067372639287</v>
      </c>
      <c r="E1120" s="105">
        <v>1.403692337561129</v>
      </c>
      <c r="F1120" s="80" t="s">
        <v>3183</v>
      </c>
      <c r="G1120" s="80" t="b">
        <v>0</v>
      </c>
      <c r="H1120" s="80" t="b">
        <v>0</v>
      </c>
      <c r="I1120" s="80" t="b">
        <v>0</v>
      </c>
      <c r="J1120" s="80" t="b">
        <v>0</v>
      </c>
      <c r="K1120" s="80" t="b">
        <v>0</v>
      </c>
      <c r="L1120" s="80" t="b">
        <v>0</v>
      </c>
    </row>
    <row r="1121" spans="1:12" ht="15">
      <c r="A1121" s="81" t="s">
        <v>3266</v>
      </c>
      <c r="B1121" s="80" t="s">
        <v>3260</v>
      </c>
      <c r="C1121" s="80">
        <v>2</v>
      </c>
      <c r="D1121" s="105">
        <v>0.006688067372639287</v>
      </c>
      <c r="E1121" s="105">
        <v>1.1818435879447726</v>
      </c>
      <c r="F1121" s="80" t="s">
        <v>3183</v>
      </c>
      <c r="G1121" s="80" t="b">
        <v>0</v>
      </c>
      <c r="H1121" s="80" t="b">
        <v>0</v>
      </c>
      <c r="I1121" s="80" t="b">
        <v>0</v>
      </c>
      <c r="J1121" s="80" t="b">
        <v>0</v>
      </c>
      <c r="K1121" s="80" t="b">
        <v>0</v>
      </c>
      <c r="L1121" s="80" t="b">
        <v>0</v>
      </c>
    </row>
    <row r="1122" spans="1:12" ht="15">
      <c r="A1122" s="81" t="s">
        <v>490</v>
      </c>
      <c r="B1122" s="80" t="s">
        <v>3260</v>
      </c>
      <c r="C1122" s="80">
        <v>2</v>
      </c>
      <c r="D1122" s="105">
        <v>0.028916439679979544</v>
      </c>
      <c r="E1122" s="105">
        <v>0.5563025007672874</v>
      </c>
      <c r="F1122" s="80" t="s">
        <v>3184</v>
      </c>
      <c r="G1122" s="80" t="b">
        <v>0</v>
      </c>
      <c r="H1122" s="80" t="b">
        <v>0</v>
      </c>
      <c r="I1122" s="80" t="b">
        <v>0</v>
      </c>
      <c r="J1122" s="80" t="b">
        <v>0</v>
      </c>
      <c r="K1122" s="80" t="b">
        <v>0</v>
      </c>
      <c r="L1122" s="80" t="b">
        <v>0</v>
      </c>
    </row>
    <row r="1123" spans="1:12" ht="15">
      <c r="A1123" s="81" t="s">
        <v>3260</v>
      </c>
      <c r="B1123" s="80" t="s">
        <v>3832</v>
      </c>
      <c r="C1123" s="80">
        <v>2</v>
      </c>
      <c r="D1123" s="105">
        <v>0.028916439679979544</v>
      </c>
      <c r="E1123" s="105">
        <v>0.6532125137753437</v>
      </c>
      <c r="F1123" s="80" t="s">
        <v>3184</v>
      </c>
      <c r="G1123" s="80" t="b">
        <v>0</v>
      </c>
      <c r="H1123" s="80" t="b">
        <v>0</v>
      </c>
      <c r="I1123" s="80" t="b">
        <v>0</v>
      </c>
      <c r="J1123" s="80" t="b">
        <v>0</v>
      </c>
      <c r="K1123" s="80" t="b">
        <v>0</v>
      </c>
      <c r="L1123" s="80" t="b">
        <v>0</v>
      </c>
    </row>
    <row r="1124" spans="1:12" ht="15">
      <c r="A1124" s="81" t="s">
        <v>3832</v>
      </c>
      <c r="B1124" s="80" t="s">
        <v>3627</v>
      </c>
      <c r="C1124" s="80">
        <v>2</v>
      </c>
      <c r="D1124" s="105">
        <v>0.028916439679979544</v>
      </c>
      <c r="E1124" s="105">
        <v>1.130333768495006</v>
      </c>
      <c r="F1124" s="80" t="s">
        <v>3184</v>
      </c>
      <c r="G1124" s="80" t="b">
        <v>0</v>
      </c>
      <c r="H1124" s="80" t="b">
        <v>0</v>
      </c>
      <c r="I1124" s="80" t="b">
        <v>0</v>
      </c>
      <c r="J1124" s="80" t="b">
        <v>0</v>
      </c>
      <c r="K1124" s="80" t="b">
        <v>0</v>
      </c>
      <c r="L1124" s="80" t="b">
        <v>0</v>
      </c>
    </row>
    <row r="1125" spans="1:12" ht="15">
      <c r="A1125" s="81" t="s">
        <v>3627</v>
      </c>
      <c r="B1125" s="80" t="s">
        <v>3833</v>
      </c>
      <c r="C1125" s="80">
        <v>2</v>
      </c>
      <c r="D1125" s="105">
        <v>0.028916439679979544</v>
      </c>
      <c r="E1125" s="105">
        <v>1.130333768495006</v>
      </c>
      <c r="F1125" s="80" t="s">
        <v>3184</v>
      </c>
      <c r="G1125" s="80" t="b">
        <v>0</v>
      </c>
      <c r="H1125" s="80" t="b">
        <v>0</v>
      </c>
      <c r="I1125" s="80" t="b">
        <v>0</v>
      </c>
      <c r="J1125" s="80" t="b">
        <v>0</v>
      </c>
      <c r="K1125" s="80" t="b">
        <v>0</v>
      </c>
      <c r="L1125" s="80" t="b">
        <v>0</v>
      </c>
    </row>
    <row r="1126" spans="1:12" ht="15">
      <c r="A1126" s="81" t="s">
        <v>3833</v>
      </c>
      <c r="B1126" s="80" t="s">
        <v>3834</v>
      </c>
      <c r="C1126" s="80">
        <v>2</v>
      </c>
      <c r="D1126" s="105">
        <v>0.028916439679979544</v>
      </c>
      <c r="E1126" s="105">
        <v>1.130333768495006</v>
      </c>
      <c r="F1126" s="80" t="s">
        <v>3184</v>
      </c>
      <c r="G1126" s="80" t="b">
        <v>0</v>
      </c>
      <c r="H1126" s="80" t="b">
        <v>0</v>
      </c>
      <c r="I1126" s="80" t="b">
        <v>0</v>
      </c>
      <c r="J1126" s="80" t="b">
        <v>0</v>
      </c>
      <c r="K1126" s="80" t="b">
        <v>0</v>
      </c>
      <c r="L1126" s="80" t="b">
        <v>0</v>
      </c>
    </row>
    <row r="1127" spans="1:12" ht="15">
      <c r="A1127" s="81" t="s">
        <v>3834</v>
      </c>
      <c r="B1127" s="80" t="s">
        <v>3434</v>
      </c>
      <c r="C1127" s="80">
        <v>2</v>
      </c>
      <c r="D1127" s="105">
        <v>0.028916439679979544</v>
      </c>
      <c r="E1127" s="105">
        <v>1.130333768495006</v>
      </c>
      <c r="F1127" s="80" t="s">
        <v>3184</v>
      </c>
      <c r="G1127" s="80" t="b">
        <v>0</v>
      </c>
      <c r="H1127" s="80" t="b">
        <v>0</v>
      </c>
      <c r="I1127" s="80" t="b">
        <v>0</v>
      </c>
      <c r="J1127" s="80" t="b">
        <v>0</v>
      </c>
      <c r="K1127" s="80" t="b">
        <v>0</v>
      </c>
      <c r="L1127" s="80" t="b">
        <v>0</v>
      </c>
    </row>
    <row r="1128" spans="1:12" ht="15">
      <c r="A1128" s="81" t="s">
        <v>3260</v>
      </c>
      <c r="B1128" s="80" t="s">
        <v>542</v>
      </c>
      <c r="C1128" s="80">
        <v>2</v>
      </c>
      <c r="D1128" s="105">
        <v>0.028916439679979544</v>
      </c>
      <c r="E1128" s="105">
        <v>0.6532125137753437</v>
      </c>
      <c r="F1128" s="80" t="s">
        <v>3184</v>
      </c>
      <c r="G1128" s="80" t="b">
        <v>0</v>
      </c>
      <c r="H1128" s="80" t="b">
        <v>0</v>
      </c>
      <c r="I1128" s="80" t="b">
        <v>0</v>
      </c>
      <c r="J1128" s="80" t="b">
        <v>0</v>
      </c>
      <c r="K1128" s="80" t="b">
        <v>0</v>
      </c>
      <c r="L1128" s="80" t="b">
        <v>0</v>
      </c>
    </row>
    <row r="1129" spans="1:12" ht="15">
      <c r="A1129" s="81" t="s">
        <v>542</v>
      </c>
      <c r="B1129" s="80" t="s">
        <v>3524</v>
      </c>
      <c r="C1129" s="80">
        <v>2</v>
      </c>
      <c r="D1129" s="105">
        <v>0.028916439679979544</v>
      </c>
      <c r="E1129" s="105">
        <v>0.829303772831025</v>
      </c>
      <c r="F1129" s="80" t="s">
        <v>3184</v>
      </c>
      <c r="G1129" s="80" t="b">
        <v>0</v>
      </c>
      <c r="H1129" s="80" t="b">
        <v>0</v>
      </c>
      <c r="I1129" s="80" t="b">
        <v>0</v>
      </c>
      <c r="J1129" s="80" t="b">
        <v>0</v>
      </c>
      <c r="K1129" s="80" t="b">
        <v>0</v>
      </c>
      <c r="L1129" s="80" t="b">
        <v>0</v>
      </c>
    </row>
    <row r="1130" spans="1:12" ht="15">
      <c r="A1130" s="81" t="s">
        <v>492</v>
      </c>
      <c r="B1130" s="80" t="s">
        <v>3260</v>
      </c>
      <c r="C1130" s="80">
        <v>2</v>
      </c>
      <c r="D1130" s="105">
        <v>0.028916439679979544</v>
      </c>
      <c r="E1130" s="105">
        <v>0.7323937598229685</v>
      </c>
      <c r="F1130" s="80" t="s">
        <v>3184</v>
      </c>
      <c r="G1130" s="80" t="b">
        <v>0</v>
      </c>
      <c r="H1130" s="80" t="b">
        <v>0</v>
      </c>
      <c r="I1130" s="80" t="b">
        <v>0</v>
      </c>
      <c r="J1130" s="80" t="b">
        <v>0</v>
      </c>
      <c r="K1130" s="80" t="b">
        <v>0</v>
      </c>
      <c r="L1130" s="80" t="b">
        <v>0</v>
      </c>
    </row>
    <row r="1131" spans="1:12" ht="15">
      <c r="A1131" s="81" t="s">
        <v>3260</v>
      </c>
      <c r="B1131" s="80" t="s">
        <v>3524</v>
      </c>
      <c r="C1131" s="80">
        <v>2</v>
      </c>
      <c r="D1131" s="105">
        <v>0.028916439679979544</v>
      </c>
      <c r="E1131" s="105">
        <v>0.3521825181113625</v>
      </c>
      <c r="F1131" s="80" t="s">
        <v>3184</v>
      </c>
      <c r="G1131" s="80" t="b">
        <v>0</v>
      </c>
      <c r="H1131" s="80" t="b">
        <v>0</v>
      </c>
      <c r="I1131" s="80" t="b">
        <v>0</v>
      </c>
      <c r="J1131" s="80" t="b">
        <v>0</v>
      </c>
      <c r="K1131" s="80" t="b">
        <v>0</v>
      </c>
      <c r="L1131" s="80" t="b">
        <v>0</v>
      </c>
    </row>
    <row r="1132" spans="1:12" ht="15">
      <c r="A1132" s="81" t="s">
        <v>3413</v>
      </c>
      <c r="B1132" s="80" t="s">
        <v>3414</v>
      </c>
      <c r="C1132" s="80">
        <v>5</v>
      </c>
      <c r="D1132" s="105">
        <v>0</v>
      </c>
      <c r="E1132" s="105">
        <v>1.414973347970818</v>
      </c>
      <c r="F1132" s="80" t="s">
        <v>3185</v>
      </c>
      <c r="G1132" s="80" t="b">
        <v>0</v>
      </c>
      <c r="H1132" s="80" t="b">
        <v>0</v>
      </c>
      <c r="I1132" s="80" t="b">
        <v>0</v>
      </c>
      <c r="J1132" s="80" t="b">
        <v>0</v>
      </c>
      <c r="K1132" s="80" t="b">
        <v>0</v>
      </c>
      <c r="L1132" s="80" t="b">
        <v>0</v>
      </c>
    </row>
    <row r="1133" spans="1:12" ht="15">
      <c r="A1133" s="81" t="s">
        <v>3414</v>
      </c>
      <c r="B1133" s="80" t="s">
        <v>3415</v>
      </c>
      <c r="C1133" s="80">
        <v>5</v>
      </c>
      <c r="D1133" s="105">
        <v>0</v>
      </c>
      <c r="E1133" s="105">
        <v>1.414973347970818</v>
      </c>
      <c r="F1133" s="80" t="s">
        <v>3185</v>
      </c>
      <c r="G1133" s="80" t="b">
        <v>0</v>
      </c>
      <c r="H1133" s="80" t="b">
        <v>0</v>
      </c>
      <c r="I1133" s="80" t="b">
        <v>0</v>
      </c>
      <c r="J1133" s="80" t="b">
        <v>0</v>
      </c>
      <c r="K1133" s="80" t="b">
        <v>0</v>
      </c>
      <c r="L1133" s="80" t="b">
        <v>0</v>
      </c>
    </row>
    <row r="1134" spans="1:12" ht="15">
      <c r="A1134" s="81" t="s">
        <v>3415</v>
      </c>
      <c r="B1134" s="80" t="s">
        <v>3416</v>
      </c>
      <c r="C1134" s="80">
        <v>5</v>
      </c>
      <c r="D1134" s="105">
        <v>0</v>
      </c>
      <c r="E1134" s="105">
        <v>1.414973347970818</v>
      </c>
      <c r="F1134" s="80" t="s">
        <v>3185</v>
      </c>
      <c r="G1134" s="80" t="b">
        <v>0</v>
      </c>
      <c r="H1134" s="80" t="b">
        <v>0</v>
      </c>
      <c r="I1134" s="80" t="b">
        <v>0</v>
      </c>
      <c r="J1134" s="80" t="b">
        <v>0</v>
      </c>
      <c r="K1134" s="80" t="b">
        <v>0</v>
      </c>
      <c r="L1134" s="80" t="b">
        <v>0</v>
      </c>
    </row>
    <row r="1135" spans="1:12" ht="15">
      <c r="A1135" s="81" t="s">
        <v>3416</v>
      </c>
      <c r="B1135" s="80" t="s">
        <v>3388</v>
      </c>
      <c r="C1135" s="80">
        <v>5</v>
      </c>
      <c r="D1135" s="105">
        <v>0</v>
      </c>
      <c r="E1135" s="105">
        <v>1.414973347970818</v>
      </c>
      <c r="F1135" s="80" t="s">
        <v>3185</v>
      </c>
      <c r="G1135" s="80" t="b">
        <v>0</v>
      </c>
      <c r="H1135" s="80" t="b">
        <v>0</v>
      </c>
      <c r="I1135" s="80" t="b">
        <v>0</v>
      </c>
      <c r="J1135" s="80" t="b">
        <v>0</v>
      </c>
      <c r="K1135" s="80" t="b">
        <v>0</v>
      </c>
      <c r="L1135" s="80" t="b">
        <v>0</v>
      </c>
    </row>
    <row r="1136" spans="1:12" ht="15">
      <c r="A1136" s="81" t="s">
        <v>3388</v>
      </c>
      <c r="B1136" s="80" t="s">
        <v>3302</v>
      </c>
      <c r="C1136" s="80">
        <v>5</v>
      </c>
      <c r="D1136" s="105">
        <v>0</v>
      </c>
      <c r="E1136" s="105">
        <v>1.414973347970818</v>
      </c>
      <c r="F1136" s="80" t="s">
        <v>3185</v>
      </c>
      <c r="G1136" s="80" t="b">
        <v>0</v>
      </c>
      <c r="H1136" s="80" t="b">
        <v>0</v>
      </c>
      <c r="I1136" s="80" t="b">
        <v>0</v>
      </c>
      <c r="J1136" s="80" t="b">
        <v>0</v>
      </c>
      <c r="K1136" s="80" t="b">
        <v>0</v>
      </c>
      <c r="L1136" s="80" t="b">
        <v>0</v>
      </c>
    </row>
    <row r="1137" spans="1:12" ht="15">
      <c r="A1137" s="81" t="s">
        <v>3302</v>
      </c>
      <c r="B1137" s="80" t="s">
        <v>3417</v>
      </c>
      <c r="C1137" s="80">
        <v>5</v>
      </c>
      <c r="D1137" s="105">
        <v>0</v>
      </c>
      <c r="E1137" s="105">
        <v>1.414973347970818</v>
      </c>
      <c r="F1137" s="80" t="s">
        <v>3185</v>
      </c>
      <c r="G1137" s="80" t="b">
        <v>0</v>
      </c>
      <c r="H1137" s="80" t="b">
        <v>0</v>
      </c>
      <c r="I1137" s="80" t="b">
        <v>0</v>
      </c>
      <c r="J1137" s="80" t="b">
        <v>0</v>
      </c>
      <c r="K1137" s="80" t="b">
        <v>0</v>
      </c>
      <c r="L1137" s="80" t="b">
        <v>0</v>
      </c>
    </row>
    <row r="1138" spans="1:12" ht="15">
      <c r="A1138" s="81" t="s">
        <v>3417</v>
      </c>
      <c r="B1138" s="80" t="s">
        <v>3418</v>
      </c>
      <c r="C1138" s="80">
        <v>5</v>
      </c>
      <c r="D1138" s="105">
        <v>0</v>
      </c>
      <c r="E1138" s="105">
        <v>1.414973347970818</v>
      </c>
      <c r="F1138" s="80" t="s">
        <v>3185</v>
      </c>
      <c r="G1138" s="80" t="b">
        <v>0</v>
      </c>
      <c r="H1138" s="80" t="b">
        <v>0</v>
      </c>
      <c r="I1138" s="80" t="b">
        <v>0</v>
      </c>
      <c r="J1138" s="80" t="b">
        <v>0</v>
      </c>
      <c r="K1138" s="80" t="b">
        <v>0</v>
      </c>
      <c r="L1138" s="80" t="b">
        <v>0</v>
      </c>
    </row>
    <row r="1139" spans="1:12" ht="15">
      <c r="A1139" s="81" t="s">
        <v>3418</v>
      </c>
      <c r="B1139" s="80" t="s">
        <v>3419</v>
      </c>
      <c r="C1139" s="80">
        <v>5</v>
      </c>
      <c r="D1139" s="105">
        <v>0</v>
      </c>
      <c r="E1139" s="105">
        <v>1.414973347970818</v>
      </c>
      <c r="F1139" s="80" t="s">
        <v>3185</v>
      </c>
      <c r="G1139" s="80" t="b">
        <v>0</v>
      </c>
      <c r="H1139" s="80" t="b">
        <v>0</v>
      </c>
      <c r="I1139" s="80" t="b">
        <v>0</v>
      </c>
      <c r="J1139" s="80" t="b">
        <v>0</v>
      </c>
      <c r="K1139" s="80" t="b">
        <v>0</v>
      </c>
      <c r="L1139" s="80" t="b">
        <v>0</v>
      </c>
    </row>
    <row r="1140" spans="1:12" ht="15">
      <c r="A1140" s="81" t="s">
        <v>3419</v>
      </c>
      <c r="B1140" s="80" t="s">
        <v>3420</v>
      </c>
      <c r="C1140" s="80">
        <v>5</v>
      </c>
      <c r="D1140" s="105">
        <v>0</v>
      </c>
      <c r="E1140" s="105">
        <v>1.414973347970818</v>
      </c>
      <c r="F1140" s="80" t="s">
        <v>3185</v>
      </c>
      <c r="G1140" s="80" t="b">
        <v>0</v>
      </c>
      <c r="H1140" s="80" t="b">
        <v>0</v>
      </c>
      <c r="I1140" s="80" t="b">
        <v>0</v>
      </c>
      <c r="J1140" s="80" t="b">
        <v>0</v>
      </c>
      <c r="K1140" s="80" t="b">
        <v>0</v>
      </c>
      <c r="L1140" s="80" t="b">
        <v>0</v>
      </c>
    </row>
    <row r="1141" spans="1:12" ht="15">
      <c r="A1141" s="81" t="s">
        <v>3420</v>
      </c>
      <c r="B1141" s="80" t="s">
        <v>3366</v>
      </c>
      <c r="C1141" s="80">
        <v>5</v>
      </c>
      <c r="D1141" s="105">
        <v>0</v>
      </c>
      <c r="E1141" s="105">
        <v>1.414973347970818</v>
      </c>
      <c r="F1141" s="80" t="s">
        <v>3185</v>
      </c>
      <c r="G1141" s="80" t="b">
        <v>0</v>
      </c>
      <c r="H1141" s="80" t="b">
        <v>0</v>
      </c>
      <c r="I1141" s="80" t="b">
        <v>0</v>
      </c>
      <c r="J1141" s="80" t="b">
        <v>0</v>
      </c>
      <c r="K1141" s="80" t="b">
        <v>0</v>
      </c>
      <c r="L1141" s="80" t="b">
        <v>0</v>
      </c>
    </row>
    <row r="1142" spans="1:12" ht="15">
      <c r="A1142" s="81" t="s">
        <v>3366</v>
      </c>
      <c r="B1142" s="80" t="s">
        <v>3421</v>
      </c>
      <c r="C1142" s="80">
        <v>5</v>
      </c>
      <c r="D1142" s="105">
        <v>0</v>
      </c>
      <c r="E1142" s="105">
        <v>1.414973347970818</v>
      </c>
      <c r="F1142" s="80" t="s">
        <v>3185</v>
      </c>
      <c r="G1142" s="80" t="b">
        <v>0</v>
      </c>
      <c r="H1142" s="80" t="b">
        <v>0</v>
      </c>
      <c r="I1142" s="80" t="b">
        <v>0</v>
      </c>
      <c r="J1142" s="80" t="b">
        <v>0</v>
      </c>
      <c r="K1142" s="80" t="b">
        <v>0</v>
      </c>
      <c r="L1142" s="80" t="b">
        <v>0</v>
      </c>
    </row>
    <row r="1143" spans="1:12" ht="15">
      <c r="A1143" s="81" t="s">
        <v>3421</v>
      </c>
      <c r="B1143" s="80" t="s">
        <v>3422</v>
      </c>
      <c r="C1143" s="80">
        <v>5</v>
      </c>
      <c r="D1143" s="105">
        <v>0</v>
      </c>
      <c r="E1143" s="105">
        <v>1.414973347970818</v>
      </c>
      <c r="F1143" s="80" t="s">
        <v>3185</v>
      </c>
      <c r="G1143" s="80" t="b">
        <v>0</v>
      </c>
      <c r="H1143" s="80" t="b">
        <v>0</v>
      </c>
      <c r="I1143" s="80" t="b">
        <v>0</v>
      </c>
      <c r="J1143" s="80" t="b">
        <v>0</v>
      </c>
      <c r="K1143" s="80" t="b">
        <v>0</v>
      </c>
      <c r="L1143" s="80" t="b">
        <v>0</v>
      </c>
    </row>
    <row r="1144" spans="1:12" ht="15">
      <c r="A1144" s="81" t="s">
        <v>3422</v>
      </c>
      <c r="B1144" s="80" t="s">
        <v>3423</v>
      </c>
      <c r="C1144" s="80">
        <v>5</v>
      </c>
      <c r="D1144" s="105">
        <v>0</v>
      </c>
      <c r="E1144" s="105">
        <v>1.414973347970818</v>
      </c>
      <c r="F1144" s="80" t="s">
        <v>3185</v>
      </c>
      <c r="G1144" s="80" t="b">
        <v>0</v>
      </c>
      <c r="H1144" s="80" t="b">
        <v>0</v>
      </c>
      <c r="I1144" s="80" t="b">
        <v>0</v>
      </c>
      <c r="J1144" s="80" t="b">
        <v>0</v>
      </c>
      <c r="K1144" s="80" t="b">
        <v>0</v>
      </c>
      <c r="L1144" s="80" t="b">
        <v>0</v>
      </c>
    </row>
    <row r="1145" spans="1:12" ht="15">
      <c r="A1145" s="81" t="s">
        <v>3423</v>
      </c>
      <c r="B1145" s="80" t="s">
        <v>3424</v>
      </c>
      <c r="C1145" s="80">
        <v>5</v>
      </c>
      <c r="D1145" s="105">
        <v>0</v>
      </c>
      <c r="E1145" s="105">
        <v>1.414973347970818</v>
      </c>
      <c r="F1145" s="80" t="s">
        <v>3185</v>
      </c>
      <c r="G1145" s="80" t="b">
        <v>0</v>
      </c>
      <c r="H1145" s="80" t="b">
        <v>0</v>
      </c>
      <c r="I1145" s="80" t="b">
        <v>0</v>
      </c>
      <c r="J1145" s="80" t="b">
        <v>0</v>
      </c>
      <c r="K1145" s="80" t="b">
        <v>0</v>
      </c>
      <c r="L1145" s="80" t="b">
        <v>0</v>
      </c>
    </row>
    <row r="1146" spans="1:12" ht="15">
      <c r="A1146" s="81" t="s">
        <v>3424</v>
      </c>
      <c r="B1146" s="80" t="s">
        <v>3387</v>
      </c>
      <c r="C1146" s="80">
        <v>5</v>
      </c>
      <c r="D1146" s="105">
        <v>0</v>
      </c>
      <c r="E1146" s="105">
        <v>1.414973347970818</v>
      </c>
      <c r="F1146" s="80" t="s">
        <v>3185</v>
      </c>
      <c r="G1146" s="80" t="b">
        <v>0</v>
      </c>
      <c r="H1146" s="80" t="b">
        <v>0</v>
      </c>
      <c r="I1146" s="80" t="b">
        <v>0</v>
      </c>
      <c r="J1146" s="80" t="b">
        <v>0</v>
      </c>
      <c r="K1146" s="80" t="b">
        <v>1</v>
      </c>
      <c r="L1146" s="80" t="b">
        <v>0</v>
      </c>
    </row>
    <row r="1147" spans="1:12" ht="15">
      <c r="A1147" s="81" t="s">
        <v>3387</v>
      </c>
      <c r="B1147" s="80" t="s">
        <v>3425</v>
      </c>
      <c r="C1147" s="80">
        <v>5</v>
      </c>
      <c r="D1147" s="105">
        <v>0</v>
      </c>
      <c r="E1147" s="105">
        <v>1.414973347970818</v>
      </c>
      <c r="F1147" s="80" t="s">
        <v>3185</v>
      </c>
      <c r="G1147" s="80" t="b">
        <v>0</v>
      </c>
      <c r="H1147" s="80" t="b">
        <v>1</v>
      </c>
      <c r="I1147" s="80" t="b">
        <v>0</v>
      </c>
      <c r="J1147" s="80" t="b">
        <v>0</v>
      </c>
      <c r="K1147" s="80" t="b">
        <v>0</v>
      </c>
      <c r="L1147" s="80" t="b">
        <v>0</v>
      </c>
    </row>
    <row r="1148" spans="1:12" ht="15">
      <c r="A1148" s="81" t="s">
        <v>3425</v>
      </c>
      <c r="B1148" s="80" t="s">
        <v>3426</v>
      </c>
      <c r="C1148" s="80">
        <v>5</v>
      </c>
      <c r="D1148" s="105">
        <v>0</v>
      </c>
      <c r="E1148" s="105">
        <v>1.414973347970818</v>
      </c>
      <c r="F1148" s="80" t="s">
        <v>3185</v>
      </c>
      <c r="G1148" s="80" t="b">
        <v>0</v>
      </c>
      <c r="H1148" s="80" t="b">
        <v>0</v>
      </c>
      <c r="I1148" s="80" t="b">
        <v>0</v>
      </c>
      <c r="J1148" s="80" t="b">
        <v>0</v>
      </c>
      <c r="K1148" s="80" t="b">
        <v>0</v>
      </c>
      <c r="L1148" s="80" t="b">
        <v>0</v>
      </c>
    </row>
    <row r="1149" spans="1:12" ht="15">
      <c r="A1149" s="81" t="s">
        <v>3426</v>
      </c>
      <c r="B1149" s="80" t="s">
        <v>3378</v>
      </c>
      <c r="C1149" s="80">
        <v>5</v>
      </c>
      <c r="D1149" s="105">
        <v>0</v>
      </c>
      <c r="E1149" s="105">
        <v>1.414973347970818</v>
      </c>
      <c r="F1149" s="80" t="s">
        <v>3185</v>
      </c>
      <c r="G1149" s="80" t="b">
        <v>0</v>
      </c>
      <c r="H1149" s="80" t="b">
        <v>0</v>
      </c>
      <c r="I1149" s="80" t="b">
        <v>0</v>
      </c>
      <c r="J1149" s="80" t="b">
        <v>0</v>
      </c>
      <c r="K1149" s="80" t="b">
        <v>0</v>
      </c>
      <c r="L1149" s="80" t="b">
        <v>0</v>
      </c>
    </row>
    <row r="1150" spans="1:12" ht="15">
      <c r="A1150" s="81" t="s">
        <v>3378</v>
      </c>
      <c r="B1150" s="80" t="s">
        <v>3427</v>
      </c>
      <c r="C1150" s="80">
        <v>5</v>
      </c>
      <c r="D1150" s="105">
        <v>0</v>
      </c>
      <c r="E1150" s="105">
        <v>1.414973347970818</v>
      </c>
      <c r="F1150" s="80" t="s">
        <v>3185</v>
      </c>
      <c r="G1150" s="80" t="b">
        <v>0</v>
      </c>
      <c r="H1150" s="80" t="b">
        <v>0</v>
      </c>
      <c r="I1150" s="80" t="b">
        <v>0</v>
      </c>
      <c r="J1150" s="80" t="b">
        <v>0</v>
      </c>
      <c r="K1150" s="80" t="b">
        <v>0</v>
      </c>
      <c r="L1150" s="80" t="b">
        <v>0</v>
      </c>
    </row>
    <row r="1151" spans="1:12" ht="15">
      <c r="A1151" s="81" t="s">
        <v>3427</v>
      </c>
      <c r="B1151" s="80" t="s">
        <v>3428</v>
      </c>
      <c r="C1151" s="80">
        <v>5</v>
      </c>
      <c r="D1151" s="105">
        <v>0</v>
      </c>
      <c r="E1151" s="105">
        <v>1.414973347970818</v>
      </c>
      <c r="F1151" s="80" t="s">
        <v>3185</v>
      </c>
      <c r="G1151" s="80" t="b">
        <v>0</v>
      </c>
      <c r="H1151" s="80" t="b">
        <v>0</v>
      </c>
      <c r="I1151" s="80" t="b">
        <v>0</v>
      </c>
      <c r="J1151" s="80" t="b">
        <v>0</v>
      </c>
      <c r="K1151" s="80" t="b">
        <v>0</v>
      </c>
      <c r="L1151" s="80" t="b">
        <v>0</v>
      </c>
    </row>
    <row r="1152" spans="1:12" ht="15">
      <c r="A1152" s="81" t="s">
        <v>3428</v>
      </c>
      <c r="B1152" s="80" t="s">
        <v>3260</v>
      </c>
      <c r="C1152" s="80">
        <v>5</v>
      </c>
      <c r="D1152" s="105">
        <v>0</v>
      </c>
      <c r="E1152" s="105">
        <v>1.414973347970818</v>
      </c>
      <c r="F1152" s="80" t="s">
        <v>3185</v>
      </c>
      <c r="G1152" s="80" t="b">
        <v>0</v>
      </c>
      <c r="H1152" s="80" t="b">
        <v>0</v>
      </c>
      <c r="I1152" s="80" t="b">
        <v>0</v>
      </c>
      <c r="J1152" s="80" t="b">
        <v>0</v>
      </c>
      <c r="K1152" s="80" t="b">
        <v>0</v>
      </c>
      <c r="L1152" s="80" t="b">
        <v>0</v>
      </c>
    </row>
    <row r="1153" spans="1:12" ht="15">
      <c r="A1153" s="81" t="s">
        <v>3260</v>
      </c>
      <c r="B1153" s="80" t="s">
        <v>3305</v>
      </c>
      <c r="C1153" s="80">
        <v>5</v>
      </c>
      <c r="D1153" s="105">
        <v>0</v>
      </c>
      <c r="E1153" s="105">
        <v>1.414973347970818</v>
      </c>
      <c r="F1153" s="80" t="s">
        <v>3185</v>
      </c>
      <c r="G1153" s="80" t="b">
        <v>0</v>
      </c>
      <c r="H1153" s="80" t="b">
        <v>0</v>
      </c>
      <c r="I1153" s="80" t="b">
        <v>0</v>
      </c>
      <c r="J1153" s="80" t="b">
        <v>0</v>
      </c>
      <c r="K1153" s="80" t="b">
        <v>0</v>
      </c>
      <c r="L1153" s="80" t="b">
        <v>0</v>
      </c>
    </row>
    <row r="1154" spans="1:12" ht="15">
      <c r="A1154" s="81" t="s">
        <v>3305</v>
      </c>
      <c r="B1154" s="80" t="s">
        <v>3429</v>
      </c>
      <c r="C1154" s="80">
        <v>5</v>
      </c>
      <c r="D1154" s="105">
        <v>0</v>
      </c>
      <c r="E1154" s="105">
        <v>1.414973347970818</v>
      </c>
      <c r="F1154" s="80" t="s">
        <v>3185</v>
      </c>
      <c r="G1154" s="80" t="b">
        <v>0</v>
      </c>
      <c r="H1154" s="80" t="b">
        <v>0</v>
      </c>
      <c r="I1154" s="80" t="b">
        <v>0</v>
      </c>
      <c r="J1154" s="80" t="b">
        <v>0</v>
      </c>
      <c r="K1154" s="80" t="b">
        <v>0</v>
      </c>
      <c r="L1154" s="80" t="b">
        <v>0</v>
      </c>
    </row>
    <row r="1155" spans="1:12" ht="15">
      <c r="A1155" s="81" t="s">
        <v>3429</v>
      </c>
      <c r="B1155" s="80" t="s">
        <v>431</v>
      </c>
      <c r="C1155" s="80">
        <v>5</v>
      </c>
      <c r="D1155" s="105">
        <v>0</v>
      </c>
      <c r="E1155" s="105">
        <v>1.414973347970818</v>
      </c>
      <c r="F1155" s="80" t="s">
        <v>3185</v>
      </c>
      <c r="G1155" s="80" t="b">
        <v>0</v>
      </c>
      <c r="H1155" s="80" t="b">
        <v>0</v>
      </c>
      <c r="I1155" s="80" t="b">
        <v>0</v>
      </c>
      <c r="J1155" s="80" t="b">
        <v>0</v>
      </c>
      <c r="K1155" s="80" t="b">
        <v>0</v>
      </c>
      <c r="L1155" s="80" t="b">
        <v>0</v>
      </c>
    </row>
    <row r="1156" spans="1:12" ht="15">
      <c r="A1156" s="81" t="s">
        <v>431</v>
      </c>
      <c r="B1156" s="80" t="s">
        <v>430</v>
      </c>
      <c r="C1156" s="80">
        <v>5</v>
      </c>
      <c r="D1156" s="105">
        <v>0</v>
      </c>
      <c r="E1156" s="105">
        <v>1.414973347970818</v>
      </c>
      <c r="F1156" s="80" t="s">
        <v>3185</v>
      </c>
      <c r="G1156" s="80" t="b">
        <v>0</v>
      </c>
      <c r="H1156" s="80" t="b">
        <v>0</v>
      </c>
      <c r="I1156" s="80" t="b">
        <v>0</v>
      </c>
      <c r="J1156" s="80" t="b">
        <v>0</v>
      </c>
      <c r="K1156" s="80" t="b">
        <v>0</v>
      </c>
      <c r="L1156" s="80" t="b">
        <v>0</v>
      </c>
    </row>
    <row r="1157" spans="1:12" ht="15">
      <c r="A1157" s="81" t="s">
        <v>430</v>
      </c>
      <c r="B1157" s="80" t="s">
        <v>460</v>
      </c>
      <c r="C1157" s="80">
        <v>5</v>
      </c>
      <c r="D1157" s="105">
        <v>0</v>
      </c>
      <c r="E1157" s="105">
        <v>1.414973347970818</v>
      </c>
      <c r="F1157" s="80" t="s">
        <v>3185</v>
      </c>
      <c r="G1157" s="80" t="b">
        <v>0</v>
      </c>
      <c r="H1157" s="80" t="b">
        <v>0</v>
      </c>
      <c r="I1157" s="80" t="b">
        <v>0</v>
      </c>
      <c r="J1157" s="80" t="b">
        <v>0</v>
      </c>
      <c r="K1157" s="80" t="b">
        <v>0</v>
      </c>
      <c r="L1157" s="80" t="b">
        <v>0</v>
      </c>
    </row>
    <row r="1158" spans="1:12" ht="15">
      <c r="A1158" s="81" t="s">
        <v>3340</v>
      </c>
      <c r="B1158" s="80" t="s">
        <v>3260</v>
      </c>
      <c r="C1158" s="80">
        <v>4</v>
      </c>
      <c r="D1158" s="105">
        <v>0.003177377475673981</v>
      </c>
      <c r="E1158" s="105">
        <v>1.4661258704181992</v>
      </c>
      <c r="F1158" s="80" t="s">
        <v>3186</v>
      </c>
      <c r="G1158" s="80" t="b">
        <v>0</v>
      </c>
      <c r="H1158" s="80" t="b">
        <v>0</v>
      </c>
      <c r="I1158" s="80" t="b">
        <v>0</v>
      </c>
      <c r="J1158" s="80" t="b">
        <v>0</v>
      </c>
      <c r="K1158" s="80" t="b">
        <v>0</v>
      </c>
      <c r="L1158" s="80" t="b">
        <v>0</v>
      </c>
    </row>
    <row r="1159" spans="1:12" ht="15">
      <c r="A1159" s="81" t="s">
        <v>3260</v>
      </c>
      <c r="B1159" s="80" t="s">
        <v>3525</v>
      </c>
      <c r="C1159" s="80">
        <v>4</v>
      </c>
      <c r="D1159" s="105">
        <v>0.003177377475673981</v>
      </c>
      <c r="E1159" s="105">
        <v>1.4661258704181992</v>
      </c>
      <c r="F1159" s="80" t="s">
        <v>3186</v>
      </c>
      <c r="G1159" s="80" t="b">
        <v>0</v>
      </c>
      <c r="H1159" s="80" t="b">
        <v>0</v>
      </c>
      <c r="I1159" s="80" t="b">
        <v>0</v>
      </c>
      <c r="J1159" s="80" t="b">
        <v>0</v>
      </c>
      <c r="K1159" s="80" t="b">
        <v>0</v>
      </c>
      <c r="L1159" s="80" t="b">
        <v>0</v>
      </c>
    </row>
    <row r="1160" spans="1:12" ht="15">
      <c r="A1160" s="81" t="s">
        <v>3525</v>
      </c>
      <c r="B1160" s="80" t="s">
        <v>3526</v>
      </c>
      <c r="C1160" s="80">
        <v>4</v>
      </c>
      <c r="D1160" s="105">
        <v>0.003177377475673981</v>
      </c>
      <c r="E1160" s="105">
        <v>1.4661258704181992</v>
      </c>
      <c r="F1160" s="80" t="s">
        <v>3186</v>
      </c>
      <c r="G1160" s="80" t="b">
        <v>0</v>
      </c>
      <c r="H1160" s="80" t="b">
        <v>0</v>
      </c>
      <c r="I1160" s="80" t="b">
        <v>0</v>
      </c>
      <c r="J1160" s="80" t="b">
        <v>0</v>
      </c>
      <c r="K1160" s="80" t="b">
        <v>0</v>
      </c>
      <c r="L1160" s="80" t="b">
        <v>0</v>
      </c>
    </row>
    <row r="1161" spans="1:12" ht="15">
      <c r="A1161" s="81" t="s">
        <v>3526</v>
      </c>
      <c r="B1161" s="80" t="s">
        <v>3365</v>
      </c>
      <c r="C1161" s="80">
        <v>4</v>
      </c>
      <c r="D1161" s="105">
        <v>0.003177377475673981</v>
      </c>
      <c r="E1161" s="105">
        <v>1.165095874754218</v>
      </c>
      <c r="F1161" s="80" t="s">
        <v>3186</v>
      </c>
      <c r="G1161" s="80" t="b">
        <v>0</v>
      </c>
      <c r="H1161" s="80" t="b">
        <v>0</v>
      </c>
      <c r="I1161" s="80" t="b">
        <v>0</v>
      </c>
      <c r="J1161" s="80" t="b">
        <v>0</v>
      </c>
      <c r="K1161" s="80" t="b">
        <v>0</v>
      </c>
      <c r="L1161" s="80" t="b">
        <v>0</v>
      </c>
    </row>
    <row r="1162" spans="1:12" ht="15">
      <c r="A1162" s="81" t="s">
        <v>3365</v>
      </c>
      <c r="B1162" s="80" t="s">
        <v>3412</v>
      </c>
      <c r="C1162" s="80">
        <v>4</v>
      </c>
      <c r="D1162" s="105">
        <v>0.003177377475673981</v>
      </c>
      <c r="E1162" s="105">
        <v>1.4661258704181992</v>
      </c>
      <c r="F1162" s="80" t="s">
        <v>3186</v>
      </c>
      <c r="G1162" s="80" t="b">
        <v>0</v>
      </c>
      <c r="H1162" s="80" t="b">
        <v>0</v>
      </c>
      <c r="I1162" s="80" t="b">
        <v>0</v>
      </c>
      <c r="J1162" s="80" t="b">
        <v>0</v>
      </c>
      <c r="K1162" s="80" t="b">
        <v>0</v>
      </c>
      <c r="L1162" s="80" t="b">
        <v>0</v>
      </c>
    </row>
    <row r="1163" spans="1:12" ht="15">
      <c r="A1163" s="81" t="s">
        <v>3412</v>
      </c>
      <c r="B1163" s="80" t="s">
        <v>3313</v>
      </c>
      <c r="C1163" s="80">
        <v>4</v>
      </c>
      <c r="D1163" s="105">
        <v>0.003177377475673981</v>
      </c>
      <c r="E1163" s="105">
        <v>1.1139433523068367</v>
      </c>
      <c r="F1163" s="80" t="s">
        <v>3186</v>
      </c>
      <c r="G1163" s="80" t="b">
        <v>0</v>
      </c>
      <c r="H1163" s="80" t="b">
        <v>0</v>
      </c>
      <c r="I1163" s="80" t="b">
        <v>0</v>
      </c>
      <c r="J1163" s="80" t="b">
        <v>0</v>
      </c>
      <c r="K1163" s="80" t="b">
        <v>0</v>
      </c>
      <c r="L1163" s="80" t="b">
        <v>0</v>
      </c>
    </row>
    <row r="1164" spans="1:12" ht="15">
      <c r="A1164" s="81" t="s">
        <v>3313</v>
      </c>
      <c r="B1164" s="80" t="s">
        <v>3527</v>
      </c>
      <c r="C1164" s="80">
        <v>4</v>
      </c>
      <c r="D1164" s="105">
        <v>0.003177377475673981</v>
      </c>
      <c r="E1164" s="105">
        <v>1.1139433523068367</v>
      </c>
      <c r="F1164" s="80" t="s">
        <v>3186</v>
      </c>
      <c r="G1164" s="80" t="b">
        <v>0</v>
      </c>
      <c r="H1164" s="80" t="b">
        <v>0</v>
      </c>
      <c r="I1164" s="80" t="b">
        <v>0</v>
      </c>
      <c r="J1164" s="80" t="b">
        <v>0</v>
      </c>
      <c r="K1164" s="80" t="b">
        <v>0</v>
      </c>
      <c r="L1164" s="80" t="b">
        <v>0</v>
      </c>
    </row>
    <row r="1165" spans="1:12" ht="15">
      <c r="A1165" s="81" t="s">
        <v>3527</v>
      </c>
      <c r="B1165" s="80" t="s">
        <v>3528</v>
      </c>
      <c r="C1165" s="80">
        <v>4</v>
      </c>
      <c r="D1165" s="105">
        <v>0.003177377475673981</v>
      </c>
      <c r="E1165" s="105">
        <v>1.4661258704181992</v>
      </c>
      <c r="F1165" s="80" t="s">
        <v>3186</v>
      </c>
      <c r="G1165" s="80" t="b">
        <v>0</v>
      </c>
      <c r="H1165" s="80" t="b">
        <v>0</v>
      </c>
      <c r="I1165" s="80" t="b">
        <v>0</v>
      </c>
      <c r="J1165" s="80" t="b">
        <v>0</v>
      </c>
      <c r="K1165" s="80" t="b">
        <v>0</v>
      </c>
      <c r="L1165" s="80" t="b">
        <v>0</v>
      </c>
    </row>
    <row r="1166" spans="1:12" ht="15">
      <c r="A1166" s="81" t="s">
        <v>3528</v>
      </c>
      <c r="B1166" s="80" t="s">
        <v>3529</v>
      </c>
      <c r="C1166" s="80">
        <v>4</v>
      </c>
      <c r="D1166" s="105">
        <v>0.003177377475673981</v>
      </c>
      <c r="E1166" s="105">
        <v>1.4661258704181992</v>
      </c>
      <c r="F1166" s="80" t="s">
        <v>3186</v>
      </c>
      <c r="G1166" s="80" t="b">
        <v>0</v>
      </c>
      <c r="H1166" s="80" t="b">
        <v>0</v>
      </c>
      <c r="I1166" s="80" t="b">
        <v>0</v>
      </c>
      <c r="J1166" s="80" t="b">
        <v>0</v>
      </c>
      <c r="K1166" s="80" t="b">
        <v>0</v>
      </c>
      <c r="L1166" s="80" t="b">
        <v>0</v>
      </c>
    </row>
    <row r="1167" spans="1:12" ht="15">
      <c r="A1167" s="81" t="s">
        <v>3529</v>
      </c>
      <c r="B1167" s="80" t="s">
        <v>3530</v>
      </c>
      <c r="C1167" s="80">
        <v>4</v>
      </c>
      <c r="D1167" s="105">
        <v>0.003177377475673981</v>
      </c>
      <c r="E1167" s="105">
        <v>1.4661258704181992</v>
      </c>
      <c r="F1167" s="80" t="s">
        <v>3186</v>
      </c>
      <c r="G1167" s="80" t="b">
        <v>0</v>
      </c>
      <c r="H1167" s="80" t="b">
        <v>0</v>
      </c>
      <c r="I1167" s="80" t="b">
        <v>0</v>
      </c>
      <c r="J1167" s="80" t="b">
        <v>0</v>
      </c>
      <c r="K1167" s="80" t="b">
        <v>0</v>
      </c>
      <c r="L1167" s="80" t="b">
        <v>0</v>
      </c>
    </row>
    <row r="1168" spans="1:12" ht="15">
      <c r="A1168" s="81" t="s">
        <v>3530</v>
      </c>
      <c r="B1168" s="80" t="s">
        <v>3362</v>
      </c>
      <c r="C1168" s="80">
        <v>4</v>
      </c>
      <c r="D1168" s="105">
        <v>0.003177377475673981</v>
      </c>
      <c r="E1168" s="105">
        <v>1.4661258704181992</v>
      </c>
      <c r="F1168" s="80" t="s">
        <v>3186</v>
      </c>
      <c r="G1168" s="80" t="b">
        <v>0</v>
      </c>
      <c r="H1168" s="80" t="b">
        <v>0</v>
      </c>
      <c r="I1168" s="80" t="b">
        <v>0</v>
      </c>
      <c r="J1168" s="80" t="b">
        <v>0</v>
      </c>
      <c r="K1168" s="80" t="b">
        <v>0</v>
      </c>
      <c r="L1168" s="80" t="b">
        <v>0</v>
      </c>
    </row>
    <row r="1169" spans="1:12" ht="15">
      <c r="A1169" s="81" t="s">
        <v>3362</v>
      </c>
      <c r="B1169" s="80" t="s">
        <v>3363</v>
      </c>
      <c r="C1169" s="80">
        <v>4</v>
      </c>
      <c r="D1169" s="105">
        <v>0.003177377475673981</v>
      </c>
      <c r="E1169" s="105">
        <v>1.4661258704181992</v>
      </c>
      <c r="F1169" s="80" t="s">
        <v>3186</v>
      </c>
      <c r="G1169" s="80" t="b">
        <v>0</v>
      </c>
      <c r="H1169" s="80" t="b">
        <v>0</v>
      </c>
      <c r="I1169" s="80" t="b">
        <v>0</v>
      </c>
      <c r="J1169" s="80" t="b">
        <v>0</v>
      </c>
      <c r="K1169" s="80" t="b">
        <v>0</v>
      </c>
      <c r="L1169" s="80" t="b">
        <v>0</v>
      </c>
    </row>
    <row r="1170" spans="1:12" ht="15">
      <c r="A1170" s="81" t="s">
        <v>3363</v>
      </c>
      <c r="B1170" s="80" t="s">
        <v>3407</v>
      </c>
      <c r="C1170" s="80">
        <v>4</v>
      </c>
      <c r="D1170" s="105">
        <v>0.003177377475673981</v>
      </c>
      <c r="E1170" s="105">
        <v>1.4661258704181992</v>
      </c>
      <c r="F1170" s="80" t="s">
        <v>3186</v>
      </c>
      <c r="G1170" s="80" t="b">
        <v>0</v>
      </c>
      <c r="H1170" s="80" t="b">
        <v>0</v>
      </c>
      <c r="I1170" s="80" t="b">
        <v>0</v>
      </c>
      <c r="J1170" s="80" t="b">
        <v>0</v>
      </c>
      <c r="K1170" s="80" t="b">
        <v>0</v>
      </c>
      <c r="L1170" s="80" t="b">
        <v>0</v>
      </c>
    </row>
    <row r="1171" spans="1:12" ht="15">
      <c r="A1171" s="81" t="s">
        <v>3407</v>
      </c>
      <c r="B1171" s="80" t="s">
        <v>3531</v>
      </c>
      <c r="C1171" s="80">
        <v>4</v>
      </c>
      <c r="D1171" s="105">
        <v>0.003177377475673981</v>
      </c>
      <c r="E1171" s="105">
        <v>1.4661258704181992</v>
      </c>
      <c r="F1171" s="80" t="s">
        <v>3186</v>
      </c>
      <c r="G1171" s="80" t="b">
        <v>0</v>
      </c>
      <c r="H1171" s="80" t="b">
        <v>0</v>
      </c>
      <c r="I1171" s="80" t="b">
        <v>0</v>
      </c>
      <c r="J1171" s="80" t="b">
        <v>0</v>
      </c>
      <c r="K1171" s="80" t="b">
        <v>0</v>
      </c>
      <c r="L1171" s="80" t="b">
        <v>0</v>
      </c>
    </row>
    <row r="1172" spans="1:12" ht="15">
      <c r="A1172" s="81" t="s">
        <v>3531</v>
      </c>
      <c r="B1172" s="80" t="s">
        <v>500</v>
      </c>
      <c r="C1172" s="80">
        <v>4</v>
      </c>
      <c r="D1172" s="105">
        <v>0.003177377475673981</v>
      </c>
      <c r="E1172" s="105">
        <v>1.4661258704181992</v>
      </c>
      <c r="F1172" s="80" t="s">
        <v>3186</v>
      </c>
      <c r="G1172" s="80" t="b">
        <v>0</v>
      </c>
      <c r="H1172" s="80" t="b">
        <v>0</v>
      </c>
      <c r="I1172" s="80" t="b">
        <v>0</v>
      </c>
      <c r="J1172" s="80" t="b">
        <v>0</v>
      </c>
      <c r="K1172" s="80" t="b">
        <v>0</v>
      </c>
      <c r="L1172" s="80" t="b">
        <v>0</v>
      </c>
    </row>
    <row r="1173" spans="1:12" ht="15">
      <c r="A1173" s="81" t="s">
        <v>500</v>
      </c>
      <c r="B1173" s="80" t="s">
        <v>3304</v>
      </c>
      <c r="C1173" s="80">
        <v>4</v>
      </c>
      <c r="D1173" s="105">
        <v>0.003177377475673981</v>
      </c>
      <c r="E1173" s="105">
        <v>1.165095874754218</v>
      </c>
      <c r="F1173" s="80" t="s">
        <v>3186</v>
      </c>
      <c r="G1173" s="80" t="b">
        <v>0</v>
      </c>
      <c r="H1173" s="80" t="b">
        <v>0</v>
      </c>
      <c r="I1173" s="80" t="b">
        <v>0</v>
      </c>
      <c r="J1173" s="80" t="b">
        <v>0</v>
      </c>
      <c r="K1173" s="80" t="b">
        <v>0</v>
      </c>
      <c r="L1173" s="80" t="b">
        <v>0</v>
      </c>
    </row>
    <row r="1174" spans="1:12" ht="15">
      <c r="A1174" s="81" t="s">
        <v>3304</v>
      </c>
      <c r="B1174" s="80" t="s">
        <v>3313</v>
      </c>
      <c r="C1174" s="80">
        <v>4</v>
      </c>
      <c r="D1174" s="105">
        <v>0.003177377475673981</v>
      </c>
      <c r="E1174" s="105">
        <v>0.8129133566428555</v>
      </c>
      <c r="F1174" s="80" t="s">
        <v>3186</v>
      </c>
      <c r="G1174" s="80" t="b">
        <v>0</v>
      </c>
      <c r="H1174" s="80" t="b">
        <v>0</v>
      </c>
      <c r="I1174" s="80" t="b">
        <v>0</v>
      </c>
      <c r="J1174" s="80" t="b">
        <v>0</v>
      </c>
      <c r="K1174" s="80" t="b">
        <v>0</v>
      </c>
      <c r="L1174" s="80" t="b">
        <v>0</v>
      </c>
    </row>
    <row r="1175" spans="1:12" ht="15">
      <c r="A1175" s="81" t="s">
        <v>3313</v>
      </c>
      <c r="B1175" s="80" t="s">
        <v>3411</v>
      </c>
      <c r="C1175" s="80">
        <v>4</v>
      </c>
      <c r="D1175" s="105">
        <v>0.003177377475673981</v>
      </c>
      <c r="E1175" s="105">
        <v>1.1139433523068367</v>
      </c>
      <c r="F1175" s="80" t="s">
        <v>3186</v>
      </c>
      <c r="G1175" s="80" t="b">
        <v>0</v>
      </c>
      <c r="H1175" s="80" t="b">
        <v>0</v>
      </c>
      <c r="I1175" s="80" t="b">
        <v>0</v>
      </c>
      <c r="J1175" s="80" t="b">
        <v>0</v>
      </c>
      <c r="K1175" s="80" t="b">
        <v>0</v>
      </c>
      <c r="L1175" s="80" t="b">
        <v>0</v>
      </c>
    </row>
    <row r="1176" spans="1:12" ht="15">
      <c r="A1176" s="81" t="s">
        <v>3411</v>
      </c>
      <c r="B1176" s="80" t="s">
        <v>3386</v>
      </c>
      <c r="C1176" s="80">
        <v>4</v>
      </c>
      <c r="D1176" s="105">
        <v>0.003177377475673981</v>
      </c>
      <c r="E1176" s="105">
        <v>1.4661258704181992</v>
      </c>
      <c r="F1176" s="80" t="s">
        <v>3186</v>
      </c>
      <c r="G1176" s="80" t="b">
        <v>0</v>
      </c>
      <c r="H1176" s="80" t="b">
        <v>0</v>
      </c>
      <c r="I1176" s="80" t="b">
        <v>0</v>
      </c>
      <c r="J1176" s="80" t="b">
        <v>0</v>
      </c>
      <c r="K1176" s="80" t="b">
        <v>0</v>
      </c>
      <c r="L1176" s="80" t="b">
        <v>0</v>
      </c>
    </row>
    <row r="1177" spans="1:12" ht="15">
      <c r="A1177" s="81" t="s">
        <v>3386</v>
      </c>
      <c r="B1177" s="80" t="s">
        <v>3532</v>
      </c>
      <c r="C1177" s="80">
        <v>4</v>
      </c>
      <c r="D1177" s="105">
        <v>0.003177377475673981</v>
      </c>
      <c r="E1177" s="105">
        <v>1.4661258704181992</v>
      </c>
      <c r="F1177" s="80" t="s">
        <v>3186</v>
      </c>
      <c r="G1177" s="80" t="b">
        <v>0</v>
      </c>
      <c r="H1177" s="80" t="b">
        <v>0</v>
      </c>
      <c r="I1177" s="80" t="b">
        <v>0</v>
      </c>
      <c r="J1177" s="80" t="b">
        <v>0</v>
      </c>
      <c r="K1177" s="80" t="b">
        <v>0</v>
      </c>
      <c r="L1177" s="80" t="b">
        <v>0</v>
      </c>
    </row>
    <row r="1178" spans="1:12" ht="15">
      <c r="A1178" s="81" t="s">
        <v>3532</v>
      </c>
      <c r="B1178" s="80" t="s">
        <v>3317</v>
      </c>
      <c r="C1178" s="80">
        <v>4</v>
      </c>
      <c r="D1178" s="105">
        <v>0.003177377475673981</v>
      </c>
      <c r="E1178" s="105">
        <v>1.4661258704181992</v>
      </c>
      <c r="F1178" s="80" t="s">
        <v>3186</v>
      </c>
      <c r="G1178" s="80" t="b">
        <v>0</v>
      </c>
      <c r="H1178" s="80" t="b">
        <v>0</v>
      </c>
      <c r="I1178" s="80" t="b">
        <v>0</v>
      </c>
      <c r="J1178" s="80" t="b">
        <v>0</v>
      </c>
      <c r="K1178" s="80" t="b">
        <v>0</v>
      </c>
      <c r="L1178" s="80" t="b">
        <v>0</v>
      </c>
    </row>
    <row r="1179" spans="1:12" ht="15">
      <c r="A1179" s="81" t="s">
        <v>3317</v>
      </c>
      <c r="B1179" s="80" t="s">
        <v>3304</v>
      </c>
      <c r="C1179" s="80">
        <v>4</v>
      </c>
      <c r="D1179" s="105">
        <v>0.003177377475673981</v>
      </c>
      <c r="E1179" s="105">
        <v>1.165095874754218</v>
      </c>
      <c r="F1179" s="80" t="s">
        <v>3186</v>
      </c>
      <c r="G1179" s="80" t="b">
        <v>0</v>
      </c>
      <c r="H1179" s="80" t="b">
        <v>0</v>
      </c>
      <c r="I1179" s="80" t="b">
        <v>0</v>
      </c>
      <c r="J1179" s="80" t="b">
        <v>0</v>
      </c>
      <c r="K1179" s="80" t="b">
        <v>0</v>
      </c>
      <c r="L1179" s="80" t="b">
        <v>0</v>
      </c>
    </row>
    <row r="1180" spans="1:12" ht="15">
      <c r="A1180" s="81" t="s">
        <v>3304</v>
      </c>
      <c r="B1180" s="80" t="s">
        <v>3533</v>
      </c>
      <c r="C1180" s="80">
        <v>4</v>
      </c>
      <c r="D1180" s="105">
        <v>0.003177377475673981</v>
      </c>
      <c r="E1180" s="105">
        <v>1.165095874754218</v>
      </c>
      <c r="F1180" s="80" t="s">
        <v>3186</v>
      </c>
      <c r="G1180" s="80" t="b">
        <v>0</v>
      </c>
      <c r="H1180" s="80" t="b">
        <v>0</v>
      </c>
      <c r="I1180" s="80" t="b">
        <v>0</v>
      </c>
      <c r="J1180" s="80" t="b">
        <v>0</v>
      </c>
      <c r="K1180" s="80" t="b">
        <v>0</v>
      </c>
      <c r="L1180" s="80" t="b">
        <v>0</v>
      </c>
    </row>
    <row r="1181" spans="1:12" ht="15">
      <c r="A1181" s="81" t="s">
        <v>3533</v>
      </c>
      <c r="B1181" s="80" t="s">
        <v>3365</v>
      </c>
      <c r="C1181" s="80">
        <v>4</v>
      </c>
      <c r="D1181" s="105">
        <v>0.003177377475673981</v>
      </c>
      <c r="E1181" s="105">
        <v>1.165095874754218</v>
      </c>
      <c r="F1181" s="80" t="s">
        <v>3186</v>
      </c>
      <c r="G1181" s="80" t="b">
        <v>0</v>
      </c>
      <c r="H1181" s="80" t="b">
        <v>0</v>
      </c>
      <c r="I1181" s="80" t="b">
        <v>0</v>
      </c>
      <c r="J1181" s="80" t="b">
        <v>0</v>
      </c>
      <c r="K1181" s="80" t="b">
        <v>0</v>
      </c>
      <c r="L1181" s="80" t="b">
        <v>0</v>
      </c>
    </row>
    <row r="1182" spans="1:12" ht="15">
      <c r="A1182" s="81" t="s">
        <v>3408</v>
      </c>
      <c r="B1182" s="80" t="s">
        <v>3260</v>
      </c>
      <c r="C1182" s="80">
        <v>4</v>
      </c>
      <c r="D1182" s="105">
        <v>0.005168534027096342</v>
      </c>
      <c r="E1182" s="105">
        <v>1.0492180226701817</v>
      </c>
      <c r="F1182" s="80" t="s">
        <v>3187</v>
      </c>
      <c r="G1182" s="80" t="b">
        <v>0</v>
      </c>
      <c r="H1182" s="80" t="b">
        <v>0</v>
      </c>
      <c r="I1182" s="80" t="b">
        <v>0</v>
      </c>
      <c r="J1182" s="80" t="b">
        <v>0</v>
      </c>
      <c r="K1182" s="80" t="b">
        <v>0</v>
      </c>
      <c r="L1182" s="80" t="b">
        <v>0</v>
      </c>
    </row>
    <row r="1183" spans="1:12" ht="15">
      <c r="A1183" s="81" t="s">
        <v>3807</v>
      </c>
      <c r="B1183" s="80" t="s">
        <v>3383</v>
      </c>
      <c r="C1183" s="80">
        <v>2</v>
      </c>
      <c r="D1183" s="105">
        <v>0.01061173356458767</v>
      </c>
      <c r="E1183" s="105">
        <v>1.5440680443502757</v>
      </c>
      <c r="F1183" s="80" t="s">
        <v>3187</v>
      </c>
      <c r="G1183" s="80" t="b">
        <v>0</v>
      </c>
      <c r="H1183" s="80" t="b">
        <v>0</v>
      </c>
      <c r="I1183" s="80" t="b">
        <v>0</v>
      </c>
      <c r="J1183" s="80" t="b">
        <v>0</v>
      </c>
      <c r="K1183" s="80" t="b">
        <v>0</v>
      </c>
      <c r="L1183" s="80" t="b">
        <v>0</v>
      </c>
    </row>
    <row r="1184" spans="1:12" ht="15">
      <c r="A1184" s="81" t="s">
        <v>500</v>
      </c>
      <c r="B1184" s="80" t="s">
        <v>3306</v>
      </c>
      <c r="C1184" s="80">
        <v>5</v>
      </c>
      <c r="D1184" s="105">
        <v>0.01121538366241345</v>
      </c>
      <c r="E1184" s="105">
        <v>0.919078092376074</v>
      </c>
      <c r="F1184" s="80" t="s">
        <v>3188</v>
      </c>
      <c r="G1184" s="80" t="b">
        <v>0</v>
      </c>
      <c r="H1184" s="80" t="b">
        <v>0</v>
      </c>
      <c r="I1184" s="80" t="b">
        <v>0</v>
      </c>
      <c r="J1184" s="80" t="b">
        <v>1</v>
      </c>
      <c r="K1184" s="80" t="b">
        <v>0</v>
      </c>
      <c r="L1184" s="80" t="b">
        <v>0</v>
      </c>
    </row>
    <row r="1185" spans="1:12" ht="15">
      <c r="A1185" s="81" t="s">
        <v>3306</v>
      </c>
      <c r="B1185" s="80" t="s">
        <v>500</v>
      </c>
      <c r="C1185" s="80">
        <v>5</v>
      </c>
      <c r="D1185" s="105">
        <v>0.01121538366241345</v>
      </c>
      <c r="E1185" s="105">
        <v>0.919078092376074</v>
      </c>
      <c r="F1185" s="80" t="s">
        <v>3188</v>
      </c>
      <c r="G1185" s="80" t="b">
        <v>1</v>
      </c>
      <c r="H1185" s="80" t="b">
        <v>0</v>
      </c>
      <c r="I1185" s="80" t="b">
        <v>0</v>
      </c>
      <c r="J1185" s="80" t="b">
        <v>0</v>
      </c>
      <c r="K1185" s="80" t="b">
        <v>0</v>
      </c>
      <c r="L1185" s="80" t="b">
        <v>0</v>
      </c>
    </row>
    <row r="1186" spans="1:12" ht="15">
      <c r="A1186" s="81" t="s">
        <v>500</v>
      </c>
      <c r="B1186" s="80" t="s">
        <v>3351</v>
      </c>
      <c r="C1186" s="80">
        <v>5</v>
      </c>
      <c r="D1186" s="105">
        <v>0.01121538366241345</v>
      </c>
      <c r="E1186" s="105">
        <v>0.919078092376074</v>
      </c>
      <c r="F1186" s="80" t="s">
        <v>3188</v>
      </c>
      <c r="G1186" s="80" t="b">
        <v>0</v>
      </c>
      <c r="H1186" s="80" t="b">
        <v>0</v>
      </c>
      <c r="I1186" s="80" t="b">
        <v>0</v>
      </c>
      <c r="J1186" s="80" t="b">
        <v>0</v>
      </c>
      <c r="K1186" s="80" t="b">
        <v>0</v>
      </c>
      <c r="L1186" s="80" t="b">
        <v>0</v>
      </c>
    </row>
    <row r="1187" spans="1:12" ht="15">
      <c r="A1187" s="81" t="s">
        <v>3351</v>
      </c>
      <c r="B1187" s="80" t="s">
        <v>3403</v>
      </c>
      <c r="C1187" s="80">
        <v>5</v>
      </c>
      <c r="D1187" s="105">
        <v>0.01121538366241345</v>
      </c>
      <c r="E1187" s="105">
        <v>1.2201080880400552</v>
      </c>
      <c r="F1187" s="80" t="s">
        <v>3188</v>
      </c>
      <c r="G1187" s="80" t="b">
        <v>0</v>
      </c>
      <c r="H1187" s="80" t="b">
        <v>0</v>
      </c>
      <c r="I1187" s="80" t="b">
        <v>0</v>
      </c>
      <c r="J1187" s="80" t="b">
        <v>0</v>
      </c>
      <c r="K1187" s="80" t="b">
        <v>0</v>
      </c>
      <c r="L1187" s="80" t="b">
        <v>0</v>
      </c>
    </row>
    <row r="1188" spans="1:12" ht="15">
      <c r="A1188" s="81" t="s">
        <v>3403</v>
      </c>
      <c r="B1188" s="80" t="s">
        <v>3404</v>
      </c>
      <c r="C1188" s="80">
        <v>5</v>
      </c>
      <c r="D1188" s="105">
        <v>0.01121538366241345</v>
      </c>
      <c r="E1188" s="105">
        <v>1.2201080880400552</v>
      </c>
      <c r="F1188" s="80" t="s">
        <v>3188</v>
      </c>
      <c r="G1188" s="80" t="b">
        <v>0</v>
      </c>
      <c r="H1188" s="80" t="b">
        <v>0</v>
      </c>
      <c r="I1188" s="80" t="b">
        <v>0</v>
      </c>
      <c r="J1188" s="80" t="b">
        <v>0</v>
      </c>
      <c r="K1188" s="80" t="b">
        <v>0</v>
      </c>
      <c r="L1188" s="80" t="b">
        <v>0</v>
      </c>
    </row>
    <row r="1189" spans="1:12" ht="15">
      <c r="A1189" s="81" t="s">
        <v>3404</v>
      </c>
      <c r="B1189" s="80" t="s">
        <v>3361</v>
      </c>
      <c r="C1189" s="80">
        <v>5</v>
      </c>
      <c r="D1189" s="105">
        <v>0.01121538366241345</v>
      </c>
      <c r="E1189" s="105">
        <v>1.2201080880400552</v>
      </c>
      <c r="F1189" s="80" t="s">
        <v>3188</v>
      </c>
      <c r="G1189" s="80" t="b">
        <v>0</v>
      </c>
      <c r="H1189" s="80" t="b">
        <v>0</v>
      </c>
      <c r="I1189" s="80" t="b">
        <v>0</v>
      </c>
      <c r="J1189" s="80" t="b">
        <v>0</v>
      </c>
      <c r="K1189" s="80" t="b">
        <v>0</v>
      </c>
      <c r="L1189" s="80" t="b">
        <v>0</v>
      </c>
    </row>
    <row r="1190" spans="1:12" ht="15">
      <c r="A1190" s="81" t="s">
        <v>3361</v>
      </c>
      <c r="B1190" s="80" t="s">
        <v>3405</v>
      </c>
      <c r="C1190" s="80">
        <v>5</v>
      </c>
      <c r="D1190" s="105">
        <v>0.01121538366241345</v>
      </c>
      <c r="E1190" s="105">
        <v>1.2201080880400552</v>
      </c>
      <c r="F1190" s="80" t="s">
        <v>3188</v>
      </c>
      <c r="G1190" s="80" t="b">
        <v>0</v>
      </c>
      <c r="H1190" s="80" t="b">
        <v>0</v>
      </c>
      <c r="I1190" s="80" t="b">
        <v>0</v>
      </c>
      <c r="J1190" s="80" t="b">
        <v>0</v>
      </c>
      <c r="K1190" s="80" t="b">
        <v>0</v>
      </c>
      <c r="L1190" s="80" t="b">
        <v>0</v>
      </c>
    </row>
    <row r="1191" spans="1:12" ht="15">
      <c r="A1191" s="81" t="s">
        <v>3405</v>
      </c>
      <c r="B1191" s="80" t="s">
        <v>3260</v>
      </c>
      <c r="C1191" s="80">
        <v>5</v>
      </c>
      <c r="D1191" s="105">
        <v>0.01121538366241345</v>
      </c>
      <c r="E1191" s="105">
        <v>1.0159881053841304</v>
      </c>
      <c r="F1191" s="80" t="s">
        <v>3188</v>
      </c>
      <c r="G1191" s="80" t="b">
        <v>0</v>
      </c>
      <c r="H1191" s="80" t="b">
        <v>0</v>
      </c>
      <c r="I1191" s="80" t="b">
        <v>0</v>
      </c>
      <c r="J1191" s="80" t="b">
        <v>0</v>
      </c>
      <c r="K1191" s="80" t="b">
        <v>0</v>
      </c>
      <c r="L1191" s="80" t="b">
        <v>0</v>
      </c>
    </row>
    <row r="1192" spans="1:12" ht="15">
      <c r="A1192" s="81" t="s">
        <v>378</v>
      </c>
      <c r="B1192" s="80" t="s">
        <v>3476</v>
      </c>
      <c r="C1192" s="80">
        <v>4</v>
      </c>
      <c r="D1192" s="105">
        <v>0.01323208772149368</v>
      </c>
      <c r="E1192" s="105">
        <v>1.3170181010481115</v>
      </c>
      <c r="F1192" s="80" t="s">
        <v>3188</v>
      </c>
      <c r="G1192" s="80" t="b">
        <v>0</v>
      </c>
      <c r="H1192" s="80" t="b">
        <v>0</v>
      </c>
      <c r="I1192" s="80" t="b">
        <v>0</v>
      </c>
      <c r="J1192" s="80" t="b">
        <v>0</v>
      </c>
      <c r="K1192" s="80" t="b">
        <v>0</v>
      </c>
      <c r="L1192" s="80" t="b">
        <v>0</v>
      </c>
    </row>
    <row r="1193" spans="1:12" ht="15">
      <c r="A1193" s="81" t="s">
        <v>3476</v>
      </c>
      <c r="B1193" s="80" t="s">
        <v>526</v>
      </c>
      <c r="C1193" s="80">
        <v>4</v>
      </c>
      <c r="D1193" s="105">
        <v>0.01323208772149368</v>
      </c>
      <c r="E1193" s="105">
        <v>1.3170181010481115</v>
      </c>
      <c r="F1193" s="80" t="s">
        <v>3188</v>
      </c>
      <c r="G1193" s="80" t="b">
        <v>0</v>
      </c>
      <c r="H1193" s="80" t="b">
        <v>0</v>
      </c>
      <c r="I1193" s="80" t="b">
        <v>0</v>
      </c>
      <c r="J1193" s="80" t="b">
        <v>0</v>
      </c>
      <c r="K1193" s="80" t="b">
        <v>0</v>
      </c>
      <c r="L1193" s="80" t="b">
        <v>0</v>
      </c>
    </row>
    <row r="1194" spans="1:12" ht="15">
      <c r="A1194" s="81" t="s">
        <v>526</v>
      </c>
      <c r="B1194" s="80" t="s">
        <v>500</v>
      </c>
      <c r="C1194" s="80">
        <v>4</v>
      </c>
      <c r="D1194" s="105">
        <v>0.01323208772149368</v>
      </c>
      <c r="E1194" s="105">
        <v>0.919078092376074</v>
      </c>
      <c r="F1194" s="80" t="s">
        <v>3188</v>
      </c>
      <c r="G1194" s="80" t="b">
        <v>0</v>
      </c>
      <c r="H1194" s="80" t="b">
        <v>0</v>
      </c>
      <c r="I1194" s="80" t="b">
        <v>0</v>
      </c>
      <c r="J1194" s="80" t="b">
        <v>0</v>
      </c>
      <c r="K1194" s="80" t="b">
        <v>0</v>
      </c>
      <c r="L1194" s="80" t="b">
        <v>0</v>
      </c>
    </row>
    <row r="1195" spans="1:12" ht="15">
      <c r="A1195" s="81" t="s">
        <v>3838</v>
      </c>
      <c r="B1195" s="80" t="s">
        <v>3839</v>
      </c>
      <c r="C1195" s="80">
        <v>2</v>
      </c>
      <c r="D1195" s="105">
        <v>0.01323208772149368</v>
      </c>
      <c r="E1195" s="105">
        <v>1.6180480967120927</v>
      </c>
      <c r="F1195" s="80" t="s">
        <v>3188</v>
      </c>
      <c r="G1195" s="80" t="b">
        <v>0</v>
      </c>
      <c r="H1195" s="80" t="b">
        <v>0</v>
      </c>
      <c r="I1195" s="80" t="b">
        <v>0</v>
      </c>
      <c r="J1195" s="80" t="b">
        <v>0</v>
      </c>
      <c r="K1195" s="80" t="b">
        <v>0</v>
      </c>
      <c r="L1195" s="80" t="b">
        <v>0</v>
      </c>
    </row>
    <row r="1196" spans="1:12" ht="15">
      <c r="A1196" s="81" t="s">
        <v>3839</v>
      </c>
      <c r="B1196" s="80" t="s">
        <v>3406</v>
      </c>
      <c r="C1196" s="80">
        <v>2</v>
      </c>
      <c r="D1196" s="105">
        <v>0.01323208772149368</v>
      </c>
      <c r="E1196" s="105">
        <v>1.6180480967120927</v>
      </c>
      <c r="F1196" s="80" t="s">
        <v>3188</v>
      </c>
      <c r="G1196" s="80" t="b">
        <v>0</v>
      </c>
      <c r="H1196" s="80" t="b">
        <v>0</v>
      </c>
      <c r="I1196" s="80" t="b">
        <v>0</v>
      </c>
      <c r="J1196" s="80" t="b">
        <v>0</v>
      </c>
      <c r="K1196" s="80" t="b">
        <v>0</v>
      </c>
      <c r="L1196" s="80" t="b">
        <v>0</v>
      </c>
    </row>
    <row r="1197" spans="1:12" ht="15">
      <c r="A1197" s="81" t="s">
        <v>3406</v>
      </c>
      <c r="B1197" s="80" t="s">
        <v>3260</v>
      </c>
      <c r="C1197" s="80">
        <v>2</v>
      </c>
      <c r="D1197" s="105">
        <v>0.01323208772149368</v>
      </c>
      <c r="E1197" s="105">
        <v>1.0159881053841304</v>
      </c>
      <c r="F1197" s="80" t="s">
        <v>3188</v>
      </c>
      <c r="G1197" s="80" t="b">
        <v>0</v>
      </c>
      <c r="H1197" s="80" t="b">
        <v>0</v>
      </c>
      <c r="I1197" s="80" t="b">
        <v>0</v>
      </c>
      <c r="J1197" s="80" t="b">
        <v>0</v>
      </c>
      <c r="K1197" s="80" t="b">
        <v>0</v>
      </c>
      <c r="L1197" s="80" t="b">
        <v>0</v>
      </c>
    </row>
    <row r="1198" spans="1:12" ht="15">
      <c r="A1198" s="81" t="s">
        <v>3260</v>
      </c>
      <c r="B1198" s="80" t="s">
        <v>3318</v>
      </c>
      <c r="C1198" s="80">
        <v>2</v>
      </c>
      <c r="D1198" s="105">
        <v>0.01323208772149368</v>
      </c>
      <c r="E1198" s="105">
        <v>1.4419568376564116</v>
      </c>
      <c r="F1198" s="80" t="s">
        <v>3188</v>
      </c>
      <c r="G1198" s="80" t="b">
        <v>0</v>
      </c>
      <c r="H1198" s="80" t="b">
        <v>0</v>
      </c>
      <c r="I1198" s="80" t="b">
        <v>0</v>
      </c>
      <c r="J1198" s="80" t="b">
        <v>0</v>
      </c>
      <c r="K1198" s="80" t="b">
        <v>0</v>
      </c>
      <c r="L1198" s="80" t="b">
        <v>0</v>
      </c>
    </row>
    <row r="1199" spans="1:12" ht="15">
      <c r="A1199" s="81" t="s">
        <v>3318</v>
      </c>
      <c r="B1199" s="80" t="s">
        <v>3625</v>
      </c>
      <c r="C1199" s="80">
        <v>2</v>
      </c>
      <c r="D1199" s="105">
        <v>0.01323208772149368</v>
      </c>
      <c r="E1199" s="105">
        <v>1.6180480967120927</v>
      </c>
      <c r="F1199" s="80" t="s">
        <v>3188</v>
      </c>
      <c r="G1199" s="80" t="b">
        <v>0</v>
      </c>
      <c r="H1199" s="80" t="b">
        <v>0</v>
      </c>
      <c r="I1199" s="80" t="b">
        <v>0</v>
      </c>
      <c r="J1199" s="80" t="b">
        <v>0</v>
      </c>
      <c r="K1199" s="80" t="b">
        <v>1</v>
      </c>
      <c r="L1199" s="80" t="b">
        <v>0</v>
      </c>
    </row>
    <row r="1200" spans="1:12" ht="15">
      <c r="A1200" s="81" t="s">
        <v>3625</v>
      </c>
      <c r="B1200" s="80" t="s">
        <v>3472</v>
      </c>
      <c r="C1200" s="80">
        <v>2</v>
      </c>
      <c r="D1200" s="105">
        <v>0.01323208772149368</v>
      </c>
      <c r="E1200" s="105">
        <v>1.6180480967120927</v>
      </c>
      <c r="F1200" s="80" t="s">
        <v>3188</v>
      </c>
      <c r="G1200" s="80" t="b">
        <v>0</v>
      </c>
      <c r="H1200" s="80" t="b">
        <v>1</v>
      </c>
      <c r="I1200" s="80" t="b">
        <v>0</v>
      </c>
      <c r="J1200" s="80" t="b">
        <v>0</v>
      </c>
      <c r="K1200" s="80" t="b">
        <v>0</v>
      </c>
      <c r="L1200" s="80" t="b">
        <v>0</v>
      </c>
    </row>
    <row r="1201" spans="1:12" ht="15">
      <c r="A1201" s="81" t="s">
        <v>3635</v>
      </c>
      <c r="B1201" s="80" t="s">
        <v>500</v>
      </c>
      <c r="C1201" s="80">
        <v>2</v>
      </c>
      <c r="D1201" s="105">
        <v>0.015437435675075958</v>
      </c>
      <c r="E1201" s="105">
        <v>1.2430380486862944</v>
      </c>
      <c r="F1201" s="80" t="s">
        <v>3189</v>
      </c>
      <c r="G1201" s="80" t="b">
        <v>0</v>
      </c>
      <c r="H1201" s="80" t="b">
        <v>0</v>
      </c>
      <c r="I1201" s="80" t="b">
        <v>0</v>
      </c>
      <c r="J1201" s="80" t="b">
        <v>0</v>
      </c>
      <c r="K1201" s="80" t="b">
        <v>0</v>
      </c>
      <c r="L1201" s="80" t="b">
        <v>0</v>
      </c>
    </row>
    <row r="1202" spans="1:12" ht="15">
      <c r="A1202" s="81" t="s">
        <v>500</v>
      </c>
      <c r="B1202" s="80" t="s">
        <v>3260</v>
      </c>
      <c r="C1202" s="80">
        <v>2</v>
      </c>
      <c r="D1202" s="105">
        <v>0.015437435675075958</v>
      </c>
      <c r="E1202" s="105">
        <v>0.9420080530223133</v>
      </c>
      <c r="F1202" s="80" t="s">
        <v>3189</v>
      </c>
      <c r="G1202" s="80" t="b">
        <v>0</v>
      </c>
      <c r="H1202" s="80" t="b">
        <v>0</v>
      </c>
      <c r="I1202" s="80" t="b">
        <v>0</v>
      </c>
      <c r="J1202" s="80" t="b">
        <v>0</v>
      </c>
      <c r="K1202" s="80" t="b">
        <v>0</v>
      </c>
      <c r="L1202" s="80" t="b">
        <v>0</v>
      </c>
    </row>
    <row r="1203" spans="1:12" ht="15">
      <c r="A1203" s="81" t="s">
        <v>567</v>
      </c>
      <c r="B1203" s="80" t="s">
        <v>3260</v>
      </c>
      <c r="C1203" s="80">
        <v>4</v>
      </c>
      <c r="D1203" s="105">
        <v>0.078262781802525</v>
      </c>
      <c r="E1203" s="105">
        <v>0</v>
      </c>
      <c r="F1203" s="80" t="s">
        <v>3190</v>
      </c>
      <c r="G1203" s="80" t="b">
        <v>0</v>
      </c>
      <c r="H1203" s="80" t="b">
        <v>0</v>
      </c>
      <c r="I1203" s="80" t="b">
        <v>0</v>
      </c>
      <c r="J1203" s="80" t="b">
        <v>0</v>
      </c>
      <c r="K1203" s="80" t="b">
        <v>0</v>
      </c>
      <c r="L1203" s="80" t="b">
        <v>0</v>
      </c>
    </row>
    <row r="1204" spans="1:12" ht="15">
      <c r="A1204" s="81" t="s">
        <v>546</v>
      </c>
      <c r="B1204" s="80" t="s">
        <v>3260</v>
      </c>
      <c r="C1204" s="80">
        <v>4</v>
      </c>
      <c r="D1204" s="105">
        <v>0.078262781802525</v>
      </c>
      <c r="E1204" s="105">
        <v>0</v>
      </c>
      <c r="F1204" s="80" t="s">
        <v>3190</v>
      </c>
      <c r="G1204" s="80" t="b">
        <v>0</v>
      </c>
      <c r="H1204" s="80" t="b">
        <v>0</v>
      </c>
      <c r="I1204" s="80" t="b">
        <v>0</v>
      </c>
      <c r="J1204" s="80" t="b">
        <v>0</v>
      </c>
      <c r="K1204" s="80" t="b">
        <v>0</v>
      </c>
      <c r="L1204" s="80" t="b">
        <v>0</v>
      </c>
    </row>
    <row r="1205" spans="1:12" ht="15">
      <c r="A1205" s="81" t="s">
        <v>459</v>
      </c>
      <c r="B1205" s="80" t="s">
        <v>458</v>
      </c>
      <c r="C1205" s="80">
        <v>2</v>
      </c>
      <c r="D1205" s="105">
        <v>0</v>
      </c>
      <c r="E1205" s="105">
        <v>0.9999999999999999</v>
      </c>
      <c r="F1205" s="80" t="s">
        <v>3191</v>
      </c>
      <c r="G1205" s="80" t="b">
        <v>0</v>
      </c>
      <c r="H1205" s="80" t="b">
        <v>0</v>
      </c>
      <c r="I1205" s="80" t="b">
        <v>0</v>
      </c>
      <c r="J1205" s="80" t="b">
        <v>0</v>
      </c>
      <c r="K1205" s="80" t="b">
        <v>0</v>
      </c>
      <c r="L1205" s="80" t="b">
        <v>0</v>
      </c>
    </row>
    <row r="1206" spans="1:12" ht="15">
      <c r="A1206" s="81" t="s">
        <v>458</v>
      </c>
      <c r="B1206" s="80" t="s">
        <v>457</v>
      </c>
      <c r="C1206" s="80">
        <v>2</v>
      </c>
      <c r="D1206" s="105">
        <v>0</v>
      </c>
      <c r="E1206" s="105">
        <v>0.9999999999999999</v>
      </c>
      <c r="F1206" s="80" t="s">
        <v>3191</v>
      </c>
      <c r="G1206" s="80" t="b">
        <v>0</v>
      </c>
      <c r="H1206" s="80" t="b">
        <v>0</v>
      </c>
      <c r="I1206" s="80" t="b">
        <v>0</v>
      </c>
      <c r="J1206" s="80" t="b">
        <v>0</v>
      </c>
      <c r="K1206" s="80" t="b">
        <v>0</v>
      </c>
      <c r="L1206" s="80" t="b">
        <v>0</v>
      </c>
    </row>
    <row r="1207" spans="1:12" ht="15">
      <c r="A1207" s="81" t="s">
        <v>457</v>
      </c>
      <c r="B1207" s="80" t="s">
        <v>3860</v>
      </c>
      <c r="C1207" s="80">
        <v>2</v>
      </c>
      <c r="D1207" s="105">
        <v>0</v>
      </c>
      <c r="E1207" s="105">
        <v>0.9999999999999999</v>
      </c>
      <c r="F1207" s="80" t="s">
        <v>3191</v>
      </c>
      <c r="G1207" s="80" t="b">
        <v>0</v>
      </c>
      <c r="H1207" s="80" t="b">
        <v>0</v>
      </c>
      <c r="I1207" s="80" t="b">
        <v>0</v>
      </c>
      <c r="J1207" s="80" t="b">
        <v>0</v>
      </c>
      <c r="K1207" s="80" t="b">
        <v>0</v>
      </c>
      <c r="L1207" s="80" t="b">
        <v>0</v>
      </c>
    </row>
    <row r="1208" spans="1:12" ht="15">
      <c r="A1208" s="81" t="s">
        <v>3860</v>
      </c>
      <c r="B1208" s="80" t="s">
        <v>3861</v>
      </c>
      <c r="C1208" s="80">
        <v>2</v>
      </c>
      <c r="D1208" s="105">
        <v>0</v>
      </c>
      <c r="E1208" s="105">
        <v>0.9999999999999999</v>
      </c>
      <c r="F1208" s="80" t="s">
        <v>3191</v>
      </c>
      <c r="G1208" s="80" t="b">
        <v>0</v>
      </c>
      <c r="H1208" s="80" t="b">
        <v>0</v>
      </c>
      <c r="I1208" s="80" t="b">
        <v>0</v>
      </c>
      <c r="J1208" s="80" t="b">
        <v>0</v>
      </c>
      <c r="K1208" s="80" t="b">
        <v>0</v>
      </c>
      <c r="L1208" s="80" t="b">
        <v>0</v>
      </c>
    </row>
    <row r="1209" spans="1:12" ht="15">
      <c r="A1209" s="81" t="s">
        <v>3861</v>
      </c>
      <c r="B1209" s="80" t="s">
        <v>3862</v>
      </c>
      <c r="C1209" s="80">
        <v>2</v>
      </c>
      <c r="D1209" s="105">
        <v>0</v>
      </c>
      <c r="E1209" s="105">
        <v>0.9999999999999999</v>
      </c>
      <c r="F1209" s="80" t="s">
        <v>3191</v>
      </c>
      <c r="G1209" s="80" t="b">
        <v>0</v>
      </c>
      <c r="H1209" s="80" t="b">
        <v>0</v>
      </c>
      <c r="I1209" s="80" t="b">
        <v>0</v>
      </c>
      <c r="J1209" s="80" t="b">
        <v>0</v>
      </c>
      <c r="K1209" s="80" t="b">
        <v>0</v>
      </c>
      <c r="L1209" s="80" t="b">
        <v>0</v>
      </c>
    </row>
    <row r="1210" spans="1:12" ht="15">
      <c r="A1210" s="81" t="s">
        <v>3862</v>
      </c>
      <c r="B1210" s="80" t="s">
        <v>3863</v>
      </c>
      <c r="C1210" s="80">
        <v>2</v>
      </c>
      <c r="D1210" s="105">
        <v>0</v>
      </c>
      <c r="E1210" s="105">
        <v>0.9999999999999999</v>
      </c>
      <c r="F1210" s="80" t="s">
        <v>3191</v>
      </c>
      <c r="G1210" s="80" t="b">
        <v>0</v>
      </c>
      <c r="H1210" s="80" t="b">
        <v>0</v>
      </c>
      <c r="I1210" s="80" t="b">
        <v>0</v>
      </c>
      <c r="J1210" s="80" t="b">
        <v>0</v>
      </c>
      <c r="K1210" s="80" t="b">
        <v>0</v>
      </c>
      <c r="L1210" s="80" t="b">
        <v>0</v>
      </c>
    </row>
    <row r="1211" spans="1:12" ht="15">
      <c r="A1211" s="81" t="s">
        <v>3863</v>
      </c>
      <c r="B1211" s="80" t="s">
        <v>3864</v>
      </c>
      <c r="C1211" s="80">
        <v>2</v>
      </c>
      <c r="D1211" s="105">
        <v>0</v>
      </c>
      <c r="E1211" s="105">
        <v>0.9999999999999999</v>
      </c>
      <c r="F1211" s="80" t="s">
        <v>3191</v>
      </c>
      <c r="G1211" s="80" t="b">
        <v>0</v>
      </c>
      <c r="H1211" s="80" t="b">
        <v>0</v>
      </c>
      <c r="I1211" s="80" t="b">
        <v>0</v>
      </c>
      <c r="J1211" s="80" t="b">
        <v>0</v>
      </c>
      <c r="K1211" s="80" t="b">
        <v>1</v>
      </c>
      <c r="L1211" s="80" t="b">
        <v>0</v>
      </c>
    </row>
    <row r="1212" spans="1:12" ht="15">
      <c r="A1212" s="81" t="s">
        <v>3864</v>
      </c>
      <c r="B1212" s="80" t="s">
        <v>3308</v>
      </c>
      <c r="C1212" s="80">
        <v>2</v>
      </c>
      <c r="D1212" s="105">
        <v>0</v>
      </c>
      <c r="E1212" s="105">
        <v>0.9999999999999999</v>
      </c>
      <c r="F1212" s="80" t="s">
        <v>3191</v>
      </c>
      <c r="G1212" s="80" t="b">
        <v>0</v>
      </c>
      <c r="H1212" s="80" t="b">
        <v>1</v>
      </c>
      <c r="I1212" s="80" t="b">
        <v>0</v>
      </c>
      <c r="J1212" s="80" t="b">
        <v>0</v>
      </c>
      <c r="K1212" s="80" t="b">
        <v>0</v>
      </c>
      <c r="L1212" s="80" t="b">
        <v>0</v>
      </c>
    </row>
    <row r="1213" spans="1:12" ht="15">
      <c r="A1213" s="81" t="s">
        <v>3308</v>
      </c>
      <c r="B1213" s="80" t="s">
        <v>3385</v>
      </c>
      <c r="C1213" s="80">
        <v>2</v>
      </c>
      <c r="D1213" s="105">
        <v>0</v>
      </c>
      <c r="E1213" s="105">
        <v>0.9999999999999999</v>
      </c>
      <c r="F1213" s="80" t="s">
        <v>3191</v>
      </c>
      <c r="G1213" s="80" t="b">
        <v>0</v>
      </c>
      <c r="H1213" s="80" t="b">
        <v>0</v>
      </c>
      <c r="I1213" s="80" t="b">
        <v>0</v>
      </c>
      <c r="J1213" s="80" t="b">
        <v>0</v>
      </c>
      <c r="K1213" s="80" t="b">
        <v>0</v>
      </c>
      <c r="L1213" s="80" t="b">
        <v>0</v>
      </c>
    </row>
    <row r="1214" spans="1:12" ht="15">
      <c r="A1214" s="81" t="s">
        <v>3385</v>
      </c>
      <c r="B1214" s="80" t="s">
        <v>3260</v>
      </c>
      <c r="C1214" s="80">
        <v>2</v>
      </c>
      <c r="D1214" s="105">
        <v>0</v>
      </c>
      <c r="E1214" s="105">
        <v>0.9999999999999999</v>
      </c>
      <c r="F1214" s="80" t="s">
        <v>3191</v>
      </c>
      <c r="G1214" s="80" t="b">
        <v>0</v>
      </c>
      <c r="H1214" s="80" t="b">
        <v>0</v>
      </c>
      <c r="I1214" s="80" t="b">
        <v>0</v>
      </c>
      <c r="J1214" s="80" t="b">
        <v>0</v>
      </c>
      <c r="K1214" s="80" t="b">
        <v>0</v>
      </c>
      <c r="L1214" s="80" t="b">
        <v>0</v>
      </c>
    </row>
    <row r="1215" spans="1:12" ht="15">
      <c r="A1215" s="81" t="s">
        <v>3384</v>
      </c>
      <c r="B1215" s="80" t="s">
        <v>3480</v>
      </c>
      <c r="C1215" s="80">
        <v>4</v>
      </c>
      <c r="D1215" s="105">
        <v>0.004307111689246952</v>
      </c>
      <c r="E1215" s="105">
        <v>1.3273589343863303</v>
      </c>
      <c r="F1215" s="80" t="s">
        <v>3192</v>
      </c>
      <c r="G1215" s="80" t="b">
        <v>0</v>
      </c>
      <c r="H1215" s="80" t="b">
        <v>0</v>
      </c>
      <c r="I1215" s="80" t="b">
        <v>0</v>
      </c>
      <c r="J1215" s="80" t="b">
        <v>0</v>
      </c>
      <c r="K1215" s="80" t="b">
        <v>0</v>
      </c>
      <c r="L1215" s="80" t="b">
        <v>0</v>
      </c>
    </row>
    <row r="1216" spans="1:12" ht="15">
      <c r="A1216" s="81" t="s">
        <v>3480</v>
      </c>
      <c r="B1216" s="80" t="s">
        <v>3481</v>
      </c>
      <c r="C1216" s="80">
        <v>4</v>
      </c>
      <c r="D1216" s="105">
        <v>0.004307111689246952</v>
      </c>
      <c r="E1216" s="105">
        <v>1.3273589343863303</v>
      </c>
      <c r="F1216" s="80" t="s">
        <v>3192</v>
      </c>
      <c r="G1216" s="80" t="b">
        <v>0</v>
      </c>
      <c r="H1216" s="80" t="b">
        <v>0</v>
      </c>
      <c r="I1216" s="80" t="b">
        <v>0</v>
      </c>
      <c r="J1216" s="80" t="b">
        <v>0</v>
      </c>
      <c r="K1216" s="80" t="b">
        <v>0</v>
      </c>
      <c r="L1216" s="80" t="b">
        <v>0</v>
      </c>
    </row>
    <row r="1217" spans="1:12" ht="15">
      <c r="A1217" s="81" t="s">
        <v>3481</v>
      </c>
      <c r="B1217" s="80" t="s">
        <v>3482</v>
      </c>
      <c r="C1217" s="80">
        <v>4</v>
      </c>
      <c r="D1217" s="105">
        <v>0.004307111689246952</v>
      </c>
      <c r="E1217" s="105">
        <v>1.3273589343863303</v>
      </c>
      <c r="F1217" s="80" t="s">
        <v>3192</v>
      </c>
      <c r="G1217" s="80" t="b">
        <v>0</v>
      </c>
      <c r="H1217" s="80" t="b">
        <v>0</v>
      </c>
      <c r="I1217" s="80" t="b">
        <v>0</v>
      </c>
      <c r="J1217" s="80" t="b">
        <v>0</v>
      </c>
      <c r="K1217" s="80" t="b">
        <v>0</v>
      </c>
      <c r="L1217" s="80" t="b">
        <v>0</v>
      </c>
    </row>
    <row r="1218" spans="1:12" ht="15">
      <c r="A1218" s="81" t="s">
        <v>3482</v>
      </c>
      <c r="B1218" s="80" t="s">
        <v>3483</v>
      </c>
      <c r="C1218" s="80">
        <v>4</v>
      </c>
      <c r="D1218" s="105">
        <v>0.004307111689246952</v>
      </c>
      <c r="E1218" s="105">
        <v>1.3273589343863303</v>
      </c>
      <c r="F1218" s="80" t="s">
        <v>3192</v>
      </c>
      <c r="G1218" s="80" t="b">
        <v>0</v>
      </c>
      <c r="H1218" s="80" t="b">
        <v>0</v>
      </c>
      <c r="I1218" s="80" t="b">
        <v>0</v>
      </c>
      <c r="J1218" s="80" t="b">
        <v>1</v>
      </c>
      <c r="K1218" s="80" t="b">
        <v>0</v>
      </c>
      <c r="L1218" s="80" t="b">
        <v>0</v>
      </c>
    </row>
    <row r="1219" spans="1:12" ht="15">
      <c r="A1219" s="81" t="s">
        <v>3483</v>
      </c>
      <c r="B1219" s="80" t="s">
        <v>3484</v>
      </c>
      <c r="C1219" s="80">
        <v>4</v>
      </c>
      <c r="D1219" s="105">
        <v>0.004307111689246952</v>
      </c>
      <c r="E1219" s="105">
        <v>1.3273589343863303</v>
      </c>
      <c r="F1219" s="80" t="s">
        <v>3192</v>
      </c>
      <c r="G1219" s="80" t="b">
        <v>1</v>
      </c>
      <c r="H1219" s="80" t="b">
        <v>0</v>
      </c>
      <c r="I1219" s="80" t="b">
        <v>0</v>
      </c>
      <c r="J1219" s="80" t="b">
        <v>0</v>
      </c>
      <c r="K1219" s="80" t="b">
        <v>0</v>
      </c>
      <c r="L1219" s="80" t="b">
        <v>0</v>
      </c>
    </row>
    <row r="1220" spans="1:12" ht="15">
      <c r="A1220" s="81" t="s">
        <v>3484</v>
      </c>
      <c r="B1220" s="80" t="s">
        <v>3485</v>
      </c>
      <c r="C1220" s="80">
        <v>4</v>
      </c>
      <c r="D1220" s="105">
        <v>0.004307111689246952</v>
      </c>
      <c r="E1220" s="105">
        <v>1.3273589343863303</v>
      </c>
      <c r="F1220" s="80" t="s">
        <v>3192</v>
      </c>
      <c r="G1220" s="80" t="b">
        <v>0</v>
      </c>
      <c r="H1220" s="80" t="b">
        <v>0</v>
      </c>
      <c r="I1220" s="80" t="b">
        <v>0</v>
      </c>
      <c r="J1220" s="80" t="b">
        <v>0</v>
      </c>
      <c r="K1220" s="80" t="b">
        <v>0</v>
      </c>
      <c r="L1220" s="80" t="b">
        <v>0</v>
      </c>
    </row>
    <row r="1221" spans="1:12" ht="15">
      <c r="A1221" s="81" t="s">
        <v>3485</v>
      </c>
      <c r="B1221" s="80" t="s">
        <v>3364</v>
      </c>
      <c r="C1221" s="80">
        <v>4</v>
      </c>
      <c r="D1221" s="105">
        <v>0.004307111689246952</v>
      </c>
      <c r="E1221" s="105">
        <v>1.0263289387223493</v>
      </c>
      <c r="F1221" s="80" t="s">
        <v>3192</v>
      </c>
      <c r="G1221" s="80" t="b">
        <v>0</v>
      </c>
      <c r="H1221" s="80" t="b">
        <v>0</v>
      </c>
      <c r="I1221" s="80" t="b">
        <v>0</v>
      </c>
      <c r="J1221" s="80" t="b">
        <v>0</v>
      </c>
      <c r="K1221" s="80" t="b">
        <v>0</v>
      </c>
      <c r="L1221" s="80" t="b">
        <v>0</v>
      </c>
    </row>
    <row r="1222" spans="1:12" ht="15">
      <c r="A1222" s="81" t="s">
        <v>3364</v>
      </c>
      <c r="B1222" s="80" t="s">
        <v>3486</v>
      </c>
      <c r="C1222" s="80">
        <v>4</v>
      </c>
      <c r="D1222" s="105">
        <v>0.004307111689246952</v>
      </c>
      <c r="E1222" s="105">
        <v>1.0263289387223493</v>
      </c>
      <c r="F1222" s="80" t="s">
        <v>3192</v>
      </c>
      <c r="G1222" s="80" t="b">
        <v>0</v>
      </c>
      <c r="H1222" s="80" t="b">
        <v>0</v>
      </c>
      <c r="I1222" s="80" t="b">
        <v>0</v>
      </c>
      <c r="J1222" s="80" t="b">
        <v>0</v>
      </c>
      <c r="K1222" s="80" t="b">
        <v>0</v>
      </c>
      <c r="L1222" s="80" t="b">
        <v>0</v>
      </c>
    </row>
    <row r="1223" spans="1:12" ht="15">
      <c r="A1223" s="81" t="s">
        <v>3486</v>
      </c>
      <c r="B1223" s="80" t="s">
        <v>3377</v>
      </c>
      <c r="C1223" s="80">
        <v>4</v>
      </c>
      <c r="D1223" s="105">
        <v>0.004307111689246952</v>
      </c>
      <c r="E1223" s="105">
        <v>1.3273589343863303</v>
      </c>
      <c r="F1223" s="80" t="s">
        <v>3192</v>
      </c>
      <c r="G1223" s="80" t="b">
        <v>0</v>
      </c>
      <c r="H1223" s="80" t="b">
        <v>0</v>
      </c>
      <c r="I1223" s="80" t="b">
        <v>0</v>
      </c>
      <c r="J1223" s="80" t="b">
        <v>0</v>
      </c>
      <c r="K1223" s="80" t="b">
        <v>0</v>
      </c>
      <c r="L1223" s="80" t="b">
        <v>0</v>
      </c>
    </row>
    <row r="1224" spans="1:12" ht="15">
      <c r="A1224" s="81" t="s">
        <v>3377</v>
      </c>
      <c r="B1224" s="80" t="s">
        <v>3385</v>
      </c>
      <c r="C1224" s="80">
        <v>4</v>
      </c>
      <c r="D1224" s="105">
        <v>0.004307111689246952</v>
      </c>
      <c r="E1224" s="105">
        <v>1.3273589343863303</v>
      </c>
      <c r="F1224" s="80" t="s">
        <v>3192</v>
      </c>
      <c r="G1224" s="80" t="b">
        <v>0</v>
      </c>
      <c r="H1224" s="80" t="b">
        <v>0</v>
      </c>
      <c r="I1224" s="80" t="b">
        <v>0</v>
      </c>
      <c r="J1224" s="80" t="b">
        <v>0</v>
      </c>
      <c r="K1224" s="80" t="b">
        <v>0</v>
      </c>
      <c r="L1224" s="80" t="b">
        <v>0</v>
      </c>
    </row>
    <row r="1225" spans="1:12" ht="15">
      <c r="A1225" s="81" t="s">
        <v>3385</v>
      </c>
      <c r="B1225" s="80" t="s">
        <v>3260</v>
      </c>
      <c r="C1225" s="80">
        <v>4</v>
      </c>
      <c r="D1225" s="105">
        <v>0.004307111689246952</v>
      </c>
      <c r="E1225" s="105">
        <v>1.2304489213782739</v>
      </c>
      <c r="F1225" s="80" t="s">
        <v>3192</v>
      </c>
      <c r="G1225" s="80" t="b">
        <v>0</v>
      </c>
      <c r="H1225" s="80" t="b">
        <v>0</v>
      </c>
      <c r="I1225" s="80" t="b">
        <v>0</v>
      </c>
      <c r="J1225" s="80" t="b">
        <v>0</v>
      </c>
      <c r="K1225" s="80" t="b">
        <v>0</v>
      </c>
      <c r="L1225" s="80" t="b">
        <v>0</v>
      </c>
    </row>
    <row r="1226" spans="1:12" ht="15">
      <c r="A1226" s="81" t="s">
        <v>3260</v>
      </c>
      <c r="B1226" s="80" t="s">
        <v>3487</v>
      </c>
      <c r="C1226" s="80">
        <v>4</v>
      </c>
      <c r="D1226" s="105">
        <v>0.004307111689246952</v>
      </c>
      <c r="E1226" s="105">
        <v>1.3273589343863303</v>
      </c>
      <c r="F1226" s="80" t="s">
        <v>3192</v>
      </c>
      <c r="G1226" s="80" t="b">
        <v>0</v>
      </c>
      <c r="H1226" s="80" t="b">
        <v>0</v>
      </c>
      <c r="I1226" s="80" t="b">
        <v>0</v>
      </c>
      <c r="J1226" s="80" t="b">
        <v>0</v>
      </c>
      <c r="K1226" s="80" t="b">
        <v>0</v>
      </c>
      <c r="L1226" s="80" t="b">
        <v>0</v>
      </c>
    </row>
    <row r="1227" spans="1:12" ht="15">
      <c r="A1227" s="81" t="s">
        <v>3487</v>
      </c>
      <c r="B1227" s="80" t="s">
        <v>3488</v>
      </c>
      <c r="C1227" s="80">
        <v>4</v>
      </c>
      <c r="D1227" s="105">
        <v>0.004307111689246952</v>
      </c>
      <c r="E1227" s="105">
        <v>1.3273589343863303</v>
      </c>
      <c r="F1227" s="80" t="s">
        <v>3192</v>
      </c>
      <c r="G1227" s="80" t="b">
        <v>0</v>
      </c>
      <c r="H1227" s="80" t="b">
        <v>0</v>
      </c>
      <c r="I1227" s="80" t="b">
        <v>0</v>
      </c>
      <c r="J1227" s="80" t="b">
        <v>0</v>
      </c>
      <c r="K1227" s="80" t="b">
        <v>0</v>
      </c>
      <c r="L1227" s="80" t="b">
        <v>0</v>
      </c>
    </row>
    <row r="1228" spans="1:12" ht="15">
      <c r="A1228" s="81" t="s">
        <v>3488</v>
      </c>
      <c r="B1228" s="80" t="s">
        <v>3489</v>
      </c>
      <c r="C1228" s="80">
        <v>4</v>
      </c>
      <c r="D1228" s="105">
        <v>0.004307111689246952</v>
      </c>
      <c r="E1228" s="105">
        <v>1.3273589343863303</v>
      </c>
      <c r="F1228" s="80" t="s">
        <v>3192</v>
      </c>
      <c r="G1228" s="80" t="b">
        <v>0</v>
      </c>
      <c r="H1228" s="80" t="b">
        <v>0</v>
      </c>
      <c r="I1228" s="80" t="b">
        <v>0</v>
      </c>
      <c r="J1228" s="80" t="b">
        <v>0</v>
      </c>
      <c r="K1228" s="80" t="b">
        <v>1</v>
      </c>
      <c r="L1228" s="80" t="b">
        <v>0</v>
      </c>
    </row>
    <row r="1229" spans="1:12" ht="15">
      <c r="A1229" s="81" t="s">
        <v>3489</v>
      </c>
      <c r="B1229" s="80" t="s">
        <v>3490</v>
      </c>
      <c r="C1229" s="80">
        <v>4</v>
      </c>
      <c r="D1229" s="105">
        <v>0.004307111689246952</v>
      </c>
      <c r="E1229" s="105">
        <v>1.3273589343863303</v>
      </c>
      <c r="F1229" s="80" t="s">
        <v>3192</v>
      </c>
      <c r="G1229" s="80" t="b">
        <v>0</v>
      </c>
      <c r="H1229" s="80" t="b">
        <v>1</v>
      </c>
      <c r="I1229" s="80" t="b">
        <v>0</v>
      </c>
      <c r="J1229" s="80" t="b">
        <v>0</v>
      </c>
      <c r="K1229" s="80" t="b">
        <v>0</v>
      </c>
      <c r="L1229" s="80" t="b">
        <v>0</v>
      </c>
    </row>
    <row r="1230" spans="1:12" ht="15">
      <c r="A1230" s="81" t="s">
        <v>3490</v>
      </c>
      <c r="B1230" s="80" t="s">
        <v>3364</v>
      </c>
      <c r="C1230" s="80">
        <v>4</v>
      </c>
      <c r="D1230" s="105">
        <v>0.004307111689246952</v>
      </c>
      <c r="E1230" s="105">
        <v>1.0263289387223493</v>
      </c>
      <c r="F1230" s="80" t="s">
        <v>3192</v>
      </c>
      <c r="G1230" s="80" t="b">
        <v>0</v>
      </c>
      <c r="H1230" s="80" t="b">
        <v>0</v>
      </c>
      <c r="I1230" s="80" t="b">
        <v>0</v>
      </c>
      <c r="J1230" s="80" t="b">
        <v>0</v>
      </c>
      <c r="K1230" s="80" t="b">
        <v>0</v>
      </c>
      <c r="L1230" s="80" t="b">
        <v>0</v>
      </c>
    </row>
    <row r="1231" spans="1:12" ht="15">
      <c r="A1231" s="81" t="s">
        <v>3364</v>
      </c>
      <c r="B1231" s="80" t="s">
        <v>3491</v>
      </c>
      <c r="C1231" s="80">
        <v>4</v>
      </c>
      <c r="D1231" s="105">
        <v>0.004307111689246952</v>
      </c>
      <c r="E1231" s="105">
        <v>1.0263289387223493</v>
      </c>
      <c r="F1231" s="80" t="s">
        <v>3192</v>
      </c>
      <c r="G1231" s="80" t="b">
        <v>0</v>
      </c>
      <c r="H1231" s="80" t="b">
        <v>0</v>
      </c>
      <c r="I1231" s="80" t="b">
        <v>0</v>
      </c>
      <c r="J1231" s="80" t="b">
        <v>0</v>
      </c>
      <c r="K1231" s="80" t="b">
        <v>0</v>
      </c>
      <c r="L1231" s="80" t="b">
        <v>0</v>
      </c>
    </row>
    <row r="1232" spans="1:12" ht="15">
      <c r="A1232" s="81" t="s">
        <v>3491</v>
      </c>
      <c r="B1232" s="80" t="s">
        <v>3492</v>
      </c>
      <c r="C1232" s="80">
        <v>4</v>
      </c>
      <c r="D1232" s="105">
        <v>0.004307111689246952</v>
      </c>
      <c r="E1232" s="105">
        <v>1.3273589343863303</v>
      </c>
      <c r="F1232" s="80" t="s">
        <v>3192</v>
      </c>
      <c r="G1232" s="80" t="b">
        <v>0</v>
      </c>
      <c r="H1232" s="80" t="b">
        <v>0</v>
      </c>
      <c r="I1232" s="80" t="b">
        <v>0</v>
      </c>
      <c r="J1232" s="80" t="b">
        <v>0</v>
      </c>
      <c r="K1232" s="80" t="b">
        <v>0</v>
      </c>
      <c r="L1232" s="80" t="b">
        <v>0</v>
      </c>
    </row>
    <row r="1233" spans="1:12" ht="15">
      <c r="A1233" s="81" t="s">
        <v>3492</v>
      </c>
      <c r="B1233" s="80" t="s">
        <v>500</v>
      </c>
      <c r="C1233" s="80">
        <v>4</v>
      </c>
      <c r="D1233" s="105">
        <v>0.004307111689246952</v>
      </c>
      <c r="E1233" s="105">
        <v>1.3273589343863303</v>
      </c>
      <c r="F1233" s="80" t="s">
        <v>3192</v>
      </c>
      <c r="G1233" s="80" t="b">
        <v>0</v>
      </c>
      <c r="H1233" s="80" t="b">
        <v>0</v>
      </c>
      <c r="I1233" s="80" t="b">
        <v>0</v>
      </c>
      <c r="J1233" s="80" t="b">
        <v>0</v>
      </c>
      <c r="K1233" s="80" t="b">
        <v>0</v>
      </c>
      <c r="L1233" s="80" t="b">
        <v>0</v>
      </c>
    </row>
    <row r="1234" spans="1:12" ht="15">
      <c r="A1234" s="81" t="s">
        <v>500</v>
      </c>
      <c r="B1234" s="80" t="s">
        <v>3493</v>
      </c>
      <c r="C1234" s="80">
        <v>4</v>
      </c>
      <c r="D1234" s="105">
        <v>0.004307111689246952</v>
      </c>
      <c r="E1234" s="105">
        <v>1.3273589343863303</v>
      </c>
      <c r="F1234" s="80" t="s">
        <v>3192</v>
      </c>
      <c r="G1234" s="80" t="b">
        <v>0</v>
      </c>
      <c r="H1234" s="80" t="b">
        <v>0</v>
      </c>
      <c r="I1234" s="80" t="b">
        <v>0</v>
      </c>
      <c r="J1234" s="80" t="b">
        <v>0</v>
      </c>
      <c r="K1234" s="80" t="b">
        <v>0</v>
      </c>
      <c r="L1234" s="80" t="b">
        <v>0</v>
      </c>
    </row>
    <row r="1235" spans="1:12" ht="15">
      <c r="A1235" s="81" t="s">
        <v>3493</v>
      </c>
      <c r="B1235" s="80" t="s">
        <v>3494</v>
      </c>
      <c r="C1235" s="80">
        <v>4</v>
      </c>
      <c r="D1235" s="105">
        <v>0.004307111689246952</v>
      </c>
      <c r="E1235" s="105">
        <v>1.3273589343863303</v>
      </c>
      <c r="F1235" s="80" t="s">
        <v>3192</v>
      </c>
      <c r="G1235" s="80" t="b">
        <v>0</v>
      </c>
      <c r="H1235" s="80" t="b">
        <v>0</v>
      </c>
      <c r="I1235" s="80" t="b">
        <v>0</v>
      </c>
      <c r="J1235" s="80" t="b">
        <v>0</v>
      </c>
      <c r="K1235" s="80" t="b">
        <v>0</v>
      </c>
      <c r="L1235" s="80" t="b">
        <v>0</v>
      </c>
    </row>
    <row r="1236" spans="1:12" ht="15">
      <c r="A1236" s="81" t="s">
        <v>3836</v>
      </c>
      <c r="B1236" s="80" t="s">
        <v>3633</v>
      </c>
      <c r="C1236" s="80">
        <v>2</v>
      </c>
      <c r="D1236" s="105">
        <v>0</v>
      </c>
      <c r="E1236" s="105">
        <v>1.3979400086720377</v>
      </c>
      <c r="F1236" s="80" t="s">
        <v>3193</v>
      </c>
      <c r="G1236" s="80" t="b">
        <v>0</v>
      </c>
      <c r="H1236" s="80" t="b">
        <v>0</v>
      </c>
      <c r="I1236" s="80" t="b">
        <v>0</v>
      </c>
      <c r="J1236" s="80" t="b">
        <v>0</v>
      </c>
      <c r="K1236" s="80" t="b">
        <v>0</v>
      </c>
      <c r="L1236" s="80" t="b">
        <v>0</v>
      </c>
    </row>
    <row r="1237" spans="1:12" ht="15">
      <c r="A1237" s="81" t="s">
        <v>3479</v>
      </c>
      <c r="B1237" s="80" t="s">
        <v>3262</v>
      </c>
      <c r="C1237" s="80">
        <v>2</v>
      </c>
      <c r="D1237" s="105">
        <v>0</v>
      </c>
      <c r="E1237" s="105">
        <v>0.619788758288394</v>
      </c>
      <c r="F1237" s="80" t="s">
        <v>3193</v>
      </c>
      <c r="G1237" s="80" t="b">
        <v>0</v>
      </c>
      <c r="H1237" s="80" t="b">
        <v>0</v>
      </c>
      <c r="I1237" s="80" t="b">
        <v>0</v>
      </c>
      <c r="J1237" s="80" t="b">
        <v>0</v>
      </c>
      <c r="K1237" s="80" t="b">
        <v>0</v>
      </c>
      <c r="L1237" s="80" t="b">
        <v>0</v>
      </c>
    </row>
    <row r="1238" spans="1:12" ht="15">
      <c r="A1238" s="81" t="s">
        <v>3262</v>
      </c>
      <c r="B1238" s="80" t="s">
        <v>3322</v>
      </c>
      <c r="C1238" s="80">
        <v>2</v>
      </c>
      <c r="D1238" s="105">
        <v>0</v>
      </c>
      <c r="E1238" s="105">
        <v>0.619788758288394</v>
      </c>
      <c r="F1238" s="80" t="s">
        <v>3193</v>
      </c>
      <c r="G1238" s="80" t="b">
        <v>0</v>
      </c>
      <c r="H1238" s="80" t="b">
        <v>0</v>
      </c>
      <c r="I1238" s="80" t="b">
        <v>0</v>
      </c>
      <c r="J1238" s="80" t="b">
        <v>0</v>
      </c>
      <c r="K1238" s="80" t="b">
        <v>0</v>
      </c>
      <c r="L1238" s="80" t="b">
        <v>0</v>
      </c>
    </row>
    <row r="1239" spans="1:12" ht="15">
      <c r="A1239" s="81" t="s">
        <v>3322</v>
      </c>
      <c r="B1239" s="80" t="s">
        <v>3262</v>
      </c>
      <c r="C1239" s="80">
        <v>2</v>
      </c>
      <c r="D1239" s="105">
        <v>0</v>
      </c>
      <c r="E1239" s="105">
        <v>0.619788758288394</v>
      </c>
      <c r="F1239" s="80" t="s">
        <v>3193</v>
      </c>
      <c r="G1239" s="80" t="b">
        <v>0</v>
      </c>
      <c r="H1239" s="80" t="b">
        <v>0</v>
      </c>
      <c r="I1239" s="80" t="b">
        <v>0</v>
      </c>
      <c r="J1239" s="80" t="b">
        <v>0</v>
      </c>
      <c r="K1239" s="80" t="b">
        <v>0</v>
      </c>
      <c r="L1239" s="80" t="b">
        <v>0</v>
      </c>
    </row>
    <row r="1240" spans="1:12" ht="15">
      <c r="A1240" s="81" t="s">
        <v>3262</v>
      </c>
      <c r="B1240" s="80" t="s">
        <v>795</v>
      </c>
      <c r="C1240" s="80">
        <v>2</v>
      </c>
      <c r="D1240" s="105">
        <v>0</v>
      </c>
      <c r="E1240" s="105">
        <v>0.619788758288394</v>
      </c>
      <c r="F1240" s="80" t="s">
        <v>3193</v>
      </c>
      <c r="G1240" s="80" t="b">
        <v>0</v>
      </c>
      <c r="H1240" s="80" t="b">
        <v>0</v>
      </c>
      <c r="I1240" s="80" t="b">
        <v>0</v>
      </c>
      <c r="J1240" s="80" t="b">
        <v>0</v>
      </c>
      <c r="K1240" s="80" t="b">
        <v>0</v>
      </c>
      <c r="L1240" s="80" t="b">
        <v>0</v>
      </c>
    </row>
    <row r="1241" spans="1:12" ht="15">
      <c r="A1241" s="81" t="s">
        <v>795</v>
      </c>
      <c r="B1241" s="80" t="s">
        <v>3262</v>
      </c>
      <c r="C1241" s="80">
        <v>2</v>
      </c>
      <c r="D1241" s="105">
        <v>0</v>
      </c>
      <c r="E1241" s="105">
        <v>0.619788758288394</v>
      </c>
      <c r="F1241" s="80" t="s">
        <v>3193</v>
      </c>
      <c r="G1241" s="80" t="b">
        <v>0</v>
      </c>
      <c r="H1241" s="80" t="b">
        <v>0</v>
      </c>
      <c r="I1241" s="80" t="b">
        <v>0</v>
      </c>
      <c r="J1241" s="80" t="b">
        <v>0</v>
      </c>
      <c r="K1241" s="80" t="b">
        <v>0</v>
      </c>
      <c r="L1241" s="80" t="b">
        <v>0</v>
      </c>
    </row>
    <row r="1242" spans="1:12" ht="15">
      <c r="A1242" s="81" t="s">
        <v>3262</v>
      </c>
      <c r="B1242" s="80" t="s">
        <v>3320</v>
      </c>
      <c r="C1242" s="80">
        <v>2</v>
      </c>
      <c r="D1242" s="105">
        <v>0</v>
      </c>
      <c r="E1242" s="105">
        <v>0.619788758288394</v>
      </c>
      <c r="F1242" s="80" t="s">
        <v>3193</v>
      </c>
      <c r="G1242" s="80" t="b">
        <v>0</v>
      </c>
      <c r="H1242" s="80" t="b">
        <v>0</v>
      </c>
      <c r="I1242" s="80" t="b">
        <v>0</v>
      </c>
      <c r="J1242" s="80" t="b">
        <v>0</v>
      </c>
      <c r="K1242" s="80" t="b">
        <v>0</v>
      </c>
      <c r="L1242" s="80" t="b">
        <v>0</v>
      </c>
    </row>
    <row r="1243" spans="1:12" ht="15">
      <c r="A1243" s="81" t="s">
        <v>3320</v>
      </c>
      <c r="B1243" s="80" t="s">
        <v>3262</v>
      </c>
      <c r="C1243" s="80">
        <v>2</v>
      </c>
      <c r="D1243" s="105">
        <v>0</v>
      </c>
      <c r="E1243" s="105">
        <v>0.619788758288394</v>
      </c>
      <c r="F1243" s="80" t="s">
        <v>3193</v>
      </c>
      <c r="G1243" s="80" t="b">
        <v>0</v>
      </c>
      <c r="H1243" s="80" t="b">
        <v>0</v>
      </c>
      <c r="I1243" s="80" t="b">
        <v>0</v>
      </c>
      <c r="J1243" s="80" t="b">
        <v>0</v>
      </c>
      <c r="K1243" s="80" t="b">
        <v>0</v>
      </c>
      <c r="L1243" s="80" t="b">
        <v>0</v>
      </c>
    </row>
    <row r="1244" spans="1:12" ht="15">
      <c r="A1244" s="81" t="s">
        <v>3262</v>
      </c>
      <c r="B1244" s="80" t="s">
        <v>3323</v>
      </c>
      <c r="C1244" s="80">
        <v>2</v>
      </c>
      <c r="D1244" s="105">
        <v>0</v>
      </c>
      <c r="E1244" s="105">
        <v>0.619788758288394</v>
      </c>
      <c r="F1244" s="80" t="s">
        <v>3193</v>
      </c>
      <c r="G1244" s="80" t="b">
        <v>0</v>
      </c>
      <c r="H1244" s="80" t="b">
        <v>0</v>
      </c>
      <c r="I1244" s="80" t="b">
        <v>0</v>
      </c>
      <c r="J1244" s="80" t="b">
        <v>0</v>
      </c>
      <c r="K1244" s="80" t="b">
        <v>0</v>
      </c>
      <c r="L1244" s="80" t="b">
        <v>0</v>
      </c>
    </row>
    <row r="1245" spans="1:12" ht="15">
      <c r="A1245" s="81" t="s">
        <v>3323</v>
      </c>
      <c r="B1245" s="80" t="s">
        <v>3262</v>
      </c>
      <c r="C1245" s="80">
        <v>2</v>
      </c>
      <c r="D1245" s="105">
        <v>0</v>
      </c>
      <c r="E1245" s="105">
        <v>0.619788758288394</v>
      </c>
      <c r="F1245" s="80" t="s">
        <v>3193</v>
      </c>
      <c r="G1245" s="80" t="b">
        <v>0</v>
      </c>
      <c r="H1245" s="80" t="b">
        <v>0</v>
      </c>
      <c r="I1245" s="80" t="b">
        <v>0</v>
      </c>
      <c r="J1245" s="80" t="b">
        <v>0</v>
      </c>
      <c r="K1245" s="80" t="b">
        <v>0</v>
      </c>
      <c r="L1245" s="80" t="b">
        <v>0</v>
      </c>
    </row>
    <row r="1246" spans="1:12" ht="15">
      <c r="A1246" s="81" t="s">
        <v>3262</v>
      </c>
      <c r="B1246" s="80" t="s">
        <v>3358</v>
      </c>
      <c r="C1246" s="80">
        <v>2</v>
      </c>
      <c r="D1246" s="105">
        <v>0</v>
      </c>
      <c r="E1246" s="105">
        <v>0.619788758288394</v>
      </c>
      <c r="F1246" s="80" t="s">
        <v>3193</v>
      </c>
      <c r="G1246" s="80" t="b">
        <v>0</v>
      </c>
      <c r="H1246" s="80" t="b">
        <v>0</v>
      </c>
      <c r="I1246" s="80" t="b">
        <v>0</v>
      </c>
      <c r="J1246" s="80" t="b">
        <v>0</v>
      </c>
      <c r="K1246" s="80" t="b">
        <v>0</v>
      </c>
      <c r="L1246" s="80" t="b">
        <v>0</v>
      </c>
    </row>
    <row r="1247" spans="1:12" ht="15">
      <c r="A1247" s="81" t="s">
        <v>3358</v>
      </c>
      <c r="B1247" s="80" t="s">
        <v>3262</v>
      </c>
      <c r="C1247" s="80">
        <v>2</v>
      </c>
      <c r="D1247" s="105">
        <v>0</v>
      </c>
      <c r="E1247" s="105">
        <v>0.619788758288394</v>
      </c>
      <c r="F1247" s="80" t="s">
        <v>3193</v>
      </c>
      <c r="G1247" s="80" t="b">
        <v>0</v>
      </c>
      <c r="H1247" s="80" t="b">
        <v>0</v>
      </c>
      <c r="I1247" s="80" t="b">
        <v>0</v>
      </c>
      <c r="J1247" s="80" t="b">
        <v>0</v>
      </c>
      <c r="K1247" s="80" t="b">
        <v>0</v>
      </c>
      <c r="L1247" s="80" t="b">
        <v>0</v>
      </c>
    </row>
    <row r="1248" spans="1:12" ht="15">
      <c r="A1248" s="81" t="s">
        <v>3262</v>
      </c>
      <c r="B1248" s="80" t="s">
        <v>3359</v>
      </c>
      <c r="C1248" s="80">
        <v>2</v>
      </c>
      <c r="D1248" s="105">
        <v>0</v>
      </c>
      <c r="E1248" s="105">
        <v>0.619788758288394</v>
      </c>
      <c r="F1248" s="80" t="s">
        <v>3193</v>
      </c>
      <c r="G1248" s="80" t="b">
        <v>0</v>
      </c>
      <c r="H1248" s="80" t="b">
        <v>0</v>
      </c>
      <c r="I1248" s="80" t="b">
        <v>0</v>
      </c>
      <c r="J1248" s="80" t="b">
        <v>0</v>
      </c>
      <c r="K1248" s="80" t="b">
        <v>0</v>
      </c>
      <c r="L1248" s="80" t="b">
        <v>0</v>
      </c>
    </row>
    <row r="1249" spans="1:12" ht="15">
      <c r="A1249" s="81" t="s">
        <v>3636</v>
      </c>
      <c r="B1249" s="80" t="s">
        <v>3637</v>
      </c>
      <c r="C1249" s="80">
        <v>3</v>
      </c>
      <c r="D1249" s="105">
        <v>0.006689555459199583</v>
      </c>
      <c r="E1249" s="105">
        <v>1.6334684555795866</v>
      </c>
      <c r="F1249" s="80" t="s">
        <v>3194</v>
      </c>
      <c r="G1249" s="80" t="b">
        <v>0</v>
      </c>
      <c r="H1249" s="80" t="b">
        <v>0</v>
      </c>
      <c r="I1249" s="80" t="b">
        <v>0</v>
      </c>
      <c r="J1249" s="80" t="b">
        <v>0</v>
      </c>
      <c r="K1249" s="80" t="b">
        <v>0</v>
      </c>
      <c r="L1249" s="80" t="b">
        <v>0</v>
      </c>
    </row>
    <row r="1250" spans="1:12" ht="15">
      <c r="A1250" s="81" t="s">
        <v>3637</v>
      </c>
      <c r="B1250" s="80" t="s">
        <v>3638</v>
      </c>
      <c r="C1250" s="80">
        <v>3</v>
      </c>
      <c r="D1250" s="105">
        <v>0.006689555459199583</v>
      </c>
      <c r="E1250" s="105">
        <v>1.6334684555795866</v>
      </c>
      <c r="F1250" s="80" t="s">
        <v>3194</v>
      </c>
      <c r="G1250" s="80" t="b">
        <v>0</v>
      </c>
      <c r="H1250" s="80" t="b">
        <v>0</v>
      </c>
      <c r="I1250" s="80" t="b">
        <v>0</v>
      </c>
      <c r="J1250" s="80" t="b">
        <v>0</v>
      </c>
      <c r="K1250" s="80" t="b">
        <v>0</v>
      </c>
      <c r="L1250" s="80" t="b">
        <v>0</v>
      </c>
    </row>
    <row r="1251" spans="1:12" ht="15">
      <c r="A1251" s="81" t="s">
        <v>3638</v>
      </c>
      <c r="B1251" s="80" t="s">
        <v>3639</v>
      </c>
      <c r="C1251" s="80">
        <v>3</v>
      </c>
      <c r="D1251" s="105">
        <v>0.006689555459199583</v>
      </c>
      <c r="E1251" s="105">
        <v>1.6334684555795866</v>
      </c>
      <c r="F1251" s="80" t="s">
        <v>3194</v>
      </c>
      <c r="G1251" s="80" t="b">
        <v>0</v>
      </c>
      <c r="H1251" s="80" t="b">
        <v>0</v>
      </c>
      <c r="I1251" s="80" t="b">
        <v>0</v>
      </c>
      <c r="J1251" s="80" t="b">
        <v>0</v>
      </c>
      <c r="K1251" s="80" t="b">
        <v>0</v>
      </c>
      <c r="L1251" s="80" t="b">
        <v>0</v>
      </c>
    </row>
    <row r="1252" spans="1:12" ht="15">
      <c r="A1252" s="81" t="s">
        <v>3639</v>
      </c>
      <c r="B1252" s="80" t="s">
        <v>3640</v>
      </c>
      <c r="C1252" s="80">
        <v>3</v>
      </c>
      <c r="D1252" s="105">
        <v>0.006689555459199583</v>
      </c>
      <c r="E1252" s="105">
        <v>1.6334684555795866</v>
      </c>
      <c r="F1252" s="80" t="s">
        <v>3194</v>
      </c>
      <c r="G1252" s="80" t="b">
        <v>0</v>
      </c>
      <c r="H1252" s="80" t="b">
        <v>0</v>
      </c>
      <c r="I1252" s="80" t="b">
        <v>0</v>
      </c>
      <c r="J1252" s="80" t="b">
        <v>0</v>
      </c>
      <c r="K1252" s="80" t="b">
        <v>0</v>
      </c>
      <c r="L1252" s="80" t="b">
        <v>0</v>
      </c>
    </row>
    <row r="1253" spans="1:12" ht="15">
      <c r="A1253" s="81" t="s">
        <v>3640</v>
      </c>
      <c r="B1253" s="80" t="s">
        <v>3641</v>
      </c>
      <c r="C1253" s="80">
        <v>3</v>
      </c>
      <c r="D1253" s="105">
        <v>0.006689555459199583</v>
      </c>
      <c r="E1253" s="105">
        <v>1.6334684555795866</v>
      </c>
      <c r="F1253" s="80" t="s">
        <v>3194</v>
      </c>
      <c r="G1253" s="80" t="b">
        <v>0</v>
      </c>
      <c r="H1253" s="80" t="b">
        <v>0</v>
      </c>
      <c r="I1253" s="80" t="b">
        <v>0</v>
      </c>
      <c r="J1253" s="80" t="b">
        <v>0</v>
      </c>
      <c r="K1253" s="80" t="b">
        <v>0</v>
      </c>
      <c r="L1253" s="80" t="b">
        <v>0</v>
      </c>
    </row>
    <row r="1254" spans="1:12" ht="15">
      <c r="A1254" s="81" t="s">
        <v>3641</v>
      </c>
      <c r="B1254" s="80" t="s">
        <v>3642</v>
      </c>
      <c r="C1254" s="80">
        <v>3</v>
      </c>
      <c r="D1254" s="105">
        <v>0.006689555459199583</v>
      </c>
      <c r="E1254" s="105">
        <v>1.6334684555795866</v>
      </c>
      <c r="F1254" s="80" t="s">
        <v>3194</v>
      </c>
      <c r="G1254" s="80" t="b">
        <v>0</v>
      </c>
      <c r="H1254" s="80" t="b">
        <v>0</v>
      </c>
      <c r="I1254" s="80" t="b">
        <v>0</v>
      </c>
      <c r="J1254" s="80" t="b">
        <v>0</v>
      </c>
      <c r="K1254" s="80" t="b">
        <v>0</v>
      </c>
      <c r="L1254" s="80" t="b">
        <v>0</v>
      </c>
    </row>
    <row r="1255" spans="1:12" ht="15">
      <c r="A1255" s="81" t="s">
        <v>3642</v>
      </c>
      <c r="B1255" s="80" t="s">
        <v>3389</v>
      </c>
      <c r="C1255" s="80">
        <v>3</v>
      </c>
      <c r="D1255" s="105">
        <v>0.006689555459199583</v>
      </c>
      <c r="E1255" s="105">
        <v>1.3324384599156054</v>
      </c>
      <c r="F1255" s="80" t="s">
        <v>3194</v>
      </c>
      <c r="G1255" s="80" t="b">
        <v>0</v>
      </c>
      <c r="H1255" s="80" t="b">
        <v>0</v>
      </c>
      <c r="I1255" s="80" t="b">
        <v>0</v>
      </c>
      <c r="J1255" s="80" t="b">
        <v>0</v>
      </c>
      <c r="K1255" s="80" t="b">
        <v>0</v>
      </c>
      <c r="L1255" s="80" t="b">
        <v>0</v>
      </c>
    </row>
    <row r="1256" spans="1:12" ht="15">
      <c r="A1256" s="81" t="s">
        <v>3389</v>
      </c>
      <c r="B1256" s="80" t="s">
        <v>3643</v>
      </c>
      <c r="C1256" s="80">
        <v>3</v>
      </c>
      <c r="D1256" s="105">
        <v>0.006689555459199583</v>
      </c>
      <c r="E1256" s="105">
        <v>1.3324384599156054</v>
      </c>
      <c r="F1256" s="80" t="s">
        <v>3194</v>
      </c>
      <c r="G1256" s="80" t="b">
        <v>0</v>
      </c>
      <c r="H1256" s="80" t="b">
        <v>0</v>
      </c>
      <c r="I1256" s="80" t="b">
        <v>0</v>
      </c>
      <c r="J1256" s="80" t="b">
        <v>0</v>
      </c>
      <c r="K1256" s="80" t="b">
        <v>0</v>
      </c>
      <c r="L1256" s="80" t="b">
        <v>0</v>
      </c>
    </row>
    <row r="1257" spans="1:12" ht="15">
      <c r="A1257" s="81" t="s">
        <v>3643</v>
      </c>
      <c r="B1257" s="80" t="s">
        <v>3473</v>
      </c>
      <c r="C1257" s="80">
        <v>3</v>
      </c>
      <c r="D1257" s="105">
        <v>0.006689555459199583</v>
      </c>
      <c r="E1257" s="105">
        <v>1.6334684555795866</v>
      </c>
      <c r="F1257" s="80" t="s">
        <v>3194</v>
      </c>
      <c r="G1257" s="80" t="b">
        <v>0</v>
      </c>
      <c r="H1257" s="80" t="b">
        <v>0</v>
      </c>
      <c r="I1257" s="80" t="b">
        <v>0</v>
      </c>
      <c r="J1257" s="80" t="b">
        <v>0</v>
      </c>
      <c r="K1257" s="80" t="b">
        <v>0</v>
      </c>
      <c r="L1257" s="80" t="b">
        <v>0</v>
      </c>
    </row>
    <row r="1258" spans="1:12" ht="15">
      <c r="A1258" s="81" t="s">
        <v>3473</v>
      </c>
      <c r="B1258" s="80" t="s">
        <v>3496</v>
      </c>
      <c r="C1258" s="80">
        <v>3</v>
      </c>
      <c r="D1258" s="105">
        <v>0.006689555459199583</v>
      </c>
      <c r="E1258" s="105">
        <v>1.6334684555795866</v>
      </c>
      <c r="F1258" s="80" t="s">
        <v>3194</v>
      </c>
      <c r="G1258" s="80" t="b">
        <v>0</v>
      </c>
      <c r="H1258" s="80" t="b">
        <v>0</v>
      </c>
      <c r="I1258" s="80" t="b">
        <v>0</v>
      </c>
      <c r="J1258" s="80" t="b">
        <v>0</v>
      </c>
      <c r="K1258" s="80" t="b">
        <v>0</v>
      </c>
      <c r="L1258" s="80" t="b">
        <v>0</v>
      </c>
    </row>
    <row r="1259" spans="1:12" ht="15">
      <c r="A1259" s="81" t="s">
        <v>3496</v>
      </c>
      <c r="B1259" s="80" t="s">
        <v>3644</v>
      </c>
      <c r="C1259" s="80">
        <v>3</v>
      </c>
      <c r="D1259" s="105">
        <v>0.006689555459199583</v>
      </c>
      <c r="E1259" s="105">
        <v>1.6334684555795866</v>
      </c>
      <c r="F1259" s="80" t="s">
        <v>3194</v>
      </c>
      <c r="G1259" s="80" t="b">
        <v>0</v>
      </c>
      <c r="H1259" s="80" t="b">
        <v>0</v>
      </c>
      <c r="I1259" s="80" t="b">
        <v>0</v>
      </c>
      <c r="J1259" s="80" t="b">
        <v>0</v>
      </c>
      <c r="K1259" s="80" t="b">
        <v>0</v>
      </c>
      <c r="L1259" s="80" t="b">
        <v>0</v>
      </c>
    </row>
    <row r="1260" spans="1:12" ht="15">
      <c r="A1260" s="81" t="s">
        <v>3644</v>
      </c>
      <c r="B1260" s="80" t="s">
        <v>3645</v>
      </c>
      <c r="C1260" s="80">
        <v>3</v>
      </c>
      <c r="D1260" s="105">
        <v>0.006689555459199583</v>
      </c>
      <c r="E1260" s="105">
        <v>1.6334684555795866</v>
      </c>
      <c r="F1260" s="80" t="s">
        <v>3194</v>
      </c>
      <c r="G1260" s="80" t="b">
        <v>0</v>
      </c>
      <c r="H1260" s="80" t="b">
        <v>0</v>
      </c>
      <c r="I1260" s="80" t="b">
        <v>0</v>
      </c>
      <c r="J1260" s="80" t="b">
        <v>0</v>
      </c>
      <c r="K1260" s="80" t="b">
        <v>0</v>
      </c>
      <c r="L1260" s="80" t="b">
        <v>0</v>
      </c>
    </row>
    <row r="1261" spans="1:12" ht="15">
      <c r="A1261" s="81" t="s">
        <v>3645</v>
      </c>
      <c r="B1261" s="80" t="s">
        <v>3390</v>
      </c>
      <c r="C1261" s="80">
        <v>3</v>
      </c>
      <c r="D1261" s="105">
        <v>0.006689555459199583</v>
      </c>
      <c r="E1261" s="105">
        <v>1.3324384599156054</v>
      </c>
      <c r="F1261" s="80" t="s">
        <v>3194</v>
      </c>
      <c r="G1261" s="80" t="b">
        <v>0</v>
      </c>
      <c r="H1261" s="80" t="b">
        <v>0</v>
      </c>
      <c r="I1261" s="80" t="b">
        <v>0</v>
      </c>
      <c r="J1261" s="80" t="b">
        <v>0</v>
      </c>
      <c r="K1261" s="80" t="b">
        <v>0</v>
      </c>
      <c r="L1261" s="80" t="b">
        <v>0</v>
      </c>
    </row>
    <row r="1262" spans="1:12" ht="15">
      <c r="A1262" s="81" t="s">
        <v>3390</v>
      </c>
      <c r="B1262" s="80" t="s">
        <v>3646</v>
      </c>
      <c r="C1262" s="80">
        <v>3</v>
      </c>
      <c r="D1262" s="105">
        <v>0.006689555459199583</v>
      </c>
      <c r="E1262" s="105">
        <v>1.3324384599156054</v>
      </c>
      <c r="F1262" s="80" t="s">
        <v>3194</v>
      </c>
      <c r="G1262" s="80" t="b">
        <v>0</v>
      </c>
      <c r="H1262" s="80" t="b">
        <v>0</v>
      </c>
      <c r="I1262" s="80" t="b">
        <v>0</v>
      </c>
      <c r="J1262" s="80" t="b">
        <v>0</v>
      </c>
      <c r="K1262" s="80" t="b">
        <v>0</v>
      </c>
      <c r="L1262" s="80" t="b">
        <v>0</v>
      </c>
    </row>
    <row r="1263" spans="1:12" ht="15">
      <c r="A1263" s="81" t="s">
        <v>3646</v>
      </c>
      <c r="B1263" s="80" t="s">
        <v>3647</v>
      </c>
      <c r="C1263" s="80">
        <v>3</v>
      </c>
      <c r="D1263" s="105">
        <v>0.006689555459199583</v>
      </c>
      <c r="E1263" s="105">
        <v>1.6334684555795866</v>
      </c>
      <c r="F1263" s="80" t="s">
        <v>3194</v>
      </c>
      <c r="G1263" s="80" t="b">
        <v>0</v>
      </c>
      <c r="H1263" s="80" t="b">
        <v>0</v>
      </c>
      <c r="I1263" s="80" t="b">
        <v>0</v>
      </c>
      <c r="J1263" s="80" t="b">
        <v>0</v>
      </c>
      <c r="K1263" s="80" t="b">
        <v>0</v>
      </c>
      <c r="L1263" s="80" t="b">
        <v>0</v>
      </c>
    </row>
    <row r="1264" spans="1:12" ht="15">
      <c r="A1264" s="81" t="s">
        <v>3647</v>
      </c>
      <c r="B1264" s="80" t="s">
        <v>3317</v>
      </c>
      <c r="C1264" s="80">
        <v>3</v>
      </c>
      <c r="D1264" s="105">
        <v>0.006689555459199583</v>
      </c>
      <c r="E1264" s="105">
        <v>1.3324384599156054</v>
      </c>
      <c r="F1264" s="80" t="s">
        <v>3194</v>
      </c>
      <c r="G1264" s="80" t="b">
        <v>0</v>
      </c>
      <c r="H1264" s="80" t="b">
        <v>0</v>
      </c>
      <c r="I1264" s="80" t="b">
        <v>0</v>
      </c>
      <c r="J1264" s="80" t="b">
        <v>0</v>
      </c>
      <c r="K1264" s="80" t="b">
        <v>0</v>
      </c>
      <c r="L1264" s="80" t="b">
        <v>0</v>
      </c>
    </row>
    <row r="1265" spans="1:12" ht="15">
      <c r="A1265" s="81" t="s">
        <v>3317</v>
      </c>
      <c r="B1265" s="80" t="s">
        <v>3648</v>
      </c>
      <c r="C1265" s="80">
        <v>3</v>
      </c>
      <c r="D1265" s="105">
        <v>0.006689555459199583</v>
      </c>
      <c r="E1265" s="105">
        <v>1.3324384599156054</v>
      </c>
      <c r="F1265" s="80" t="s">
        <v>3194</v>
      </c>
      <c r="G1265" s="80" t="b">
        <v>0</v>
      </c>
      <c r="H1265" s="80" t="b">
        <v>0</v>
      </c>
      <c r="I1265" s="80" t="b">
        <v>0</v>
      </c>
      <c r="J1265" s="80" t="b">
        <v>0</v>
      </c>
      <c r="K1265" s="80" t="b">
        <v>0</v>
      </c>
      <c r="L1265" s="80" t="b">
        <v>0</v>
      </c>
    </row>
    <row r="1266" spans="1:12" ht="15">
      <c r="A1266" s="81" t="s">
        <v>3648</v>
      </c>
      <c r="B1266" s="80" t="s">
        <v>3477</v>
      </c>
      <c r="C1266" s="80">
        <v>3</v>
      </c>
      <c r="D1266" s="105">
        <v>0.006689555459199583</v>
      </c>
      <c r="E1266" s="105">
        <v>1.6334684555795866</v>
      </c>
      <c r="F1266" s="80" t="s">
        <v>3194</v>
      </c>
      <c r="G1266" s="80" t="b">
        <v>0</v>
      </c>
      <c r="H1266" s="80" t="b">
        <v>0</v>
      </c>
      <c r="I1266" s="80" t="b">
        <v>0</v>
      </c>
      <c r="J1266" s="80" t="b">
        <v>0</v>
      </c>
      <c r="K1266" s="80" t="b">
        <v>0</v>
      </c>
      <c r="L1266" s="80" t="b">
        <v>0</v>
      </c>
    </row>
    <row r="1267" spans="1:12" ht="15">
      <c r="A1267" s="81" t="s">
        <v>3477</v>
      </c>
      <c r="B1267" s="80" t="s">
        <v>3649</v>
      </c>
      <c r="C1267" s="80">
        <v>3</v>
      </c>
      <c r="D1267" s="105">
        <v>0.006689555459199583</v>
      </c>
      <c r="E1267" s="105">
        <v>1.6334684555795866</v>
      </c>
      <c r="F1267" s="80" t="s">
        <v>3194</v>
      </c>
      <c r="G1267" s="80" t="b">
        <v>0</v>
      </c>
      <c r="H1267" s="80" t="b">
        <v>0</v>
      </c>
      <c r="I1267" s="80" t="b">
        <v>0</v>
      </c>
      <c r="J1267" s="80" t="b">
        <v>0</v>
      </c>
      <c r="K1267" s="80" t="b">
        <v>0</v>
      </c>
      <c r="L1267" s="80" t="b">
        <v>0</v>
      </c>
    </row>
    <row r="1268" spans="1:12" ht="15">
      <c r="A1268" s="81" t="s">
        <v>3649</v>
      </c>
      <c r="B1268" s="80" t="s">
        <v>3390</v>
      </c>
      <c r="C1268" s="80">
        <v>3</v>
      </c>
      <c r="D1268" s="105">
        <v>0.006689555459199583</v>
      </c>
      <c r="E1268" s="105">
        <v>1.3324384599156054</v>
      </c>
      <c r="F1268" s="80" t="s">
        <v>3194</v>
      </c>
      <c r="G1268" s="80" t="b">
        <v>0</v>
      </c>
      <c r="H1268" s="80" t="b">
        <v>0</v>
      </c>
      <c r="I1268" s="80" t="b">
        <v>0</v>
      </c>
      <c r="J1268" s="80" t="b">
        <v>0</v>
      </c>
      <c r="K1268" s="80" t="b">
        <v>0</v>
      </c>
      <c r="L1268" s="80" t="b">
        <v>0</v>
      </c>
    </row>
    <row r="1269" spans="1:12" ht="15">
      <c r="A1269" s="81" t="s">
        <v>3390</v>
      </c>
      <c r="B1269" s="80" t="s">
        <v>3650</v>
      </c>
      <c r="C1269" s="80">
        <v>3</v>
      </c>
      <c r="D1269" s="105">
        <v>0.006689555459199583</v>
      </c>
      <c r="E1269" s="105">
        <v>1.3324384599156054</v>
      </c>
      <c r="F1269" s="80" t="s">
        <v>3194</v>
      </c>
      <c r="G1269" s="80" t="b">
        <v>0</v>
      </c>
      <c r="H1269" s="80" t="b">
        <v>0</v>
      </c>
      <c r="I1269" s="80" t="b">
        <v>0</v>
      </c>
      <c r="J1269" s="80" t="b">
        <v>0</v>
      </c>
      <c r="K1269" s="80" t="b">
        <v>0</v>
      </c>
      <c r="L1269" s="80" t="b">
        <v>0</v>
      </c>
    </row>
    <row r="1270" spans="1:12" ht="15">
      <c r="A1270" s="81" t="s">
        <v>3650</v>
      </c>
      <c r="B1270" s="80" t="s">
        <v>3260</v>
      </c>
      <c r="C1270" s="80">
        <v>3</v>
      </c>
      <c r="D1270" s="105">
        <v>0.006689555459199583</v>
      </c>
      <c r="E1270" s="105">
        <v>1.3324384599156054</v>
      </c>
      <c r="F1270" s="80" t="s">
        <v>3194</v>
      </c>
      <c r="G1270" s="80" t="b">
        <v>0</v>
      </c>
      <c r="H1270" s="80" t="b">
        <v>0</v>
      </c>
      <c r="I1270" s="80" t="b">
        <v>0</v>
      </c>
      <c r="J1270" s="80" t="b">
        <v>0</v>
      </c>
      <c r="K1270" s="80" t="b">
        <v>0</v>
      </c>
      <c r="L1270" s="80" t="b">
        <v>0</v>
      </c>
    </row>
    <row r="1271" spans="1:12" ht="15">
      <c r="A1271" s="81" t="s">
        <v>3260</v>
      </c>
      <c r="B1271" s="80" t="s">
        <v>3651</v>
      </c>
      <c r="C1271" s="80">
        <v>3</v>
      </c>
      <c r="D1271" s="105">
        <v>0.006689555459199583</v>
      </c>
      <c r="E1271" s="105">
        <v>1.6334684555795866</v>
      </c>
      <c r="F1271" s="80" t="s">
        <v>3194</v>
      </c>
      <c r="G1271" s="80" t="b">
        <v>0</v>
      </c>
      <c r="H1271" s="80" t="b">
        <v>0</v>
      </c>
      <c r="I1271" s="80" t="b">
        <v>0</v>
      </c>
      <c r="J1271" s="80" t="b">
        <v>0</v>
      </c>
      <c r="K1271" s="80" t="b">
        <v>0</v>
      </c>
      <c r="L1271" s="80" t="b">
        <v>0</v>
      </c>
    </row>
    <row r="1272" spans="1:12" ht="15">
      <c r="A1272" s="81" t="s">
        <v>3651</v>
      </c>
      <c r="B1272" s="80" t="s">
        <v>3652</v>
      </c>
      <c r="C1272" s="80">
        <v>3</v>
      </c>
      <c r="D1272" s="105">
        <v>0.006689555459199583</v>
      </c>
      <c r="E1272" s="105">
        <v>1.6334684555795866</v>
      </c>
      <c r="F1272" s="80" t="s">
        <v>3194</v>
      </c>
      <c r="G1272" s="80" t="b">
        <v>0</v>
      </c>
      <c r="H1272" s="80" t="b">
        <v>0</v>
      </c>
      <c r="I1272" s="80" t="b">
        <v>0</v>
      </c>
      <c r="J1272" s="80" t="b">
        <v>0</v>
      </c>
      <c r="K1272" s="80" t="b">
        <v>0</v>
      </c>
      <c r="L1272" s="80" t="b">
        <v>0</v>
      </c>
    </row>
    <row r="1273" spans="1:12" ht="15">
      <c r="A1273" s="81" t="s">
        <v>3653</v>
      </c>
      <c r="B1273" s="80" t="s">
        <v>3389</v>
      </c>
      <c r="C1273" s="80">
        <v>3</v>
      </c>
      <c r="D1273" s="105">
        <v>0.006689555459199583</v>
      </c>
      <c r="E1273" s="105">
        <v>1.3324384599156054</v>
      </c>
      <c r="F1273" s="80" t="s">
        <v>3194</v>
      </c>
      <c r="G1273" s="80" t="b">
        <v>0</v>
      </c>
      <c r="H1273" s="80" t="b">
        <v>0</v>
      </c>
      <c r="I1273" s="80" t="b">
        <v>0</v>
      </c>
      <c r="J1273" s="80" t="b">
        <v>0</v>
      </c>
      <c r="K1273" s="80" t="b">
        <v>0</v>
      </c>
      <c r="L1273" s="80" t="b">
        <v>0</v>
      </c>
    </row>
    <row r="1274" spans="1:12" ht="15">
      <c r="A1274" s="81" t="s">
        <v>3389</v>
      </c>
      <c r="B1274" s="80" t="s">
        <v>3289</v>
      </c>
      <c r="C1274" s="80">
        <v>3</v>
      </c>
      <c r="D1274" s="105">
        <v>0.006689555459199583</v>
      </c>
      <c r="E1274" s="105">
        <v>1.0314084642516241</v>
      </c>
      <c r="F1274" s="80" t="s">
        <v>3194</v>
      </c>
      <c r="G1274" s="80" t="b">
        <v>0</v>
      </c>
      <c r="H1274" s="80" t="b">
        <v>0</v>
      </c>
      <c r="I1274" s="80" t="b">
        <v>0</v>
      </c>
      <c r="J1274" s="80" t="b">
        <v>0</v>
      </c>
      <c r="K1274" s="80" t="b">
        <v>1</v>
      </c>
      <c r="L1274" s="80" t="b">
        <v>0</v>
      </c>
    </row>
    <row r="1275" spans="1:12" ht="15">
      <c r="A1275" s="81" t="s">
        <v>3289</v>
      </c>
      <c r="B1275" s="80" t="s">
        <v>1783</v>
      </c>
      <c r="C1275" s="80">
        <v>3</v>
      </c>
      <c r="D1275" s="105">
        <v>0.006689555459199583</v>
      </c>
      <c r="E1275" s="105">
        <v>1.3324384599156054</v>
      </c>
      <c r="F1275" s="80" t="s">
        <v>3194</v>
      </c>
      <c r="G1275" s="80" t="b">
        <v>0</v>
      </c>
      <c r="H1275" s="80" t="b">
        <v>1</v>
      </c>
      <c r="I1275" s="80" t="b">
        <v>0</v>
      </c>
      <c r="J1275" s="80" t="b">
        <v>0</v>
      </c>
      <c r="K1275" s="80" t="b">
        <v>0</v>
      </c>
      <c r="L1275" s="80" t="b">
        <v>0</v>
      </c>
    </row>
    <row r="1276" spans="1:12" ht="15">
      <c r="A1276" s="81" t="s">
        <v>1783</v>
      </c>
      <c r="B1276" s="80" t="s">
        <v>3654</v>
      </c>
      <c r="C1276" s="80">
        <v>3</v>
      </c>
      <c r="D1276" s="105">
        <v>0.006689555459199583</v>
      </c>
      <c r="E1276" s="105">
        <v>1.6334684555795866</v>
      </c>
      <c r="F1276" s="80" t="s">
        <v>3194</v>
      </c>
      <c r="G1276" s="80" t="b">
        <v>0</v>
      </c>
      <c r="H1276" s="80" t="b">
        <v>0</v>
      </c>
      <c r="I1276" s="80" t="b">
        <v>0</v>
      </c>
      <c r="J1276" s="80" t="b">
        <v>0</v>
      </c>
      <c r="K1276" s="80" t="b">
        <v>0</v>
      </c>
      <c r="L1276" s="80" t="b">
        <v>0</v>
      </c>
    </row>
    <row r="1277" spans="1:12" ht="15">
      <c r="A1277" s="81" t="s">
        <v>3654</v>
      </c>
      <c r="B1277" s="80" t="s">
        <v>3655</v>
      </c>
      <c r="C1277" s="80">
        <v>3</v>
      </c>
      <c r="D1277" s="105">
        <v>0.006689555459199583</v>
      </c>
      <c r="E1277" s="105">
        <v>1.6334684555795866</v>
      </c>
      <c r="F1277" s="80" t="s">
        <v>3194</v>
      </c>
      <c r="G1277" s="80" t="b">
        <v>0</v>
      </c>
      <c r="H1277" s="80" t="b">
        <v>0</v>
      </c>
      <c r="I1277" s="80" t="b">
        <v>0</v>
      </c>
      <c r="J1277" s="80" t="b">
        <v>0</v>
      </c>
      <c r="K1277" s="80" t="b">
        <v>0</v>
      </c>
      <c r="L1277" s="80" t="b">
        <v>0</v>
      </c>
    </row>
    <row r="1278" spans="1:12" ht="15">
      <c r="A1278" s="81" t="s">
        <v>3655</v>
      </c>
      <c r="B1278" s="80" t="s">
        <v>3656</v>
      </c>
      <c r="C1278" s="80">
        <v>3</v>
      </c>
      <c r="D1278" s="105">
        <v>0.006689555459199583</v>
      </c>
      <c r="E1278" s="105">
        <v>1.6334684555795866</v>
      </c>
      <c r="F1278" s="80" t="s">
        <v>3194</v>
      </c>
      <c r="G1278" s="80" t="b">
        <v>0</v>
      </c>
      <c r="H1278" s="80" t="b">
        <v>0</v>
      </c>
      <c r="I1278" s="80" t="b">
        <v>0</v>
      </c>
      <c r="J1278" s="80" t="b">
        <v>0</v>
      </c>
      <c r="K1278" s="80" t="b">
        <v>0</v>
      </c>
      <c r="L1278" s="80" t="b">
        <v>0</v>
      </c>
    </row>
    <row r="1279" spans="1:12" ht="15">
      <c r="A1279" s="81" t="s">
        <v>3656</v>
      </c>
      <c r="B1279" s="80" t="s">
        <v>3657</v>
      </c>
      <c r="C1279" s="80">
        <v>3</v>
      </c>
      <c r="D1279" s="105">
        <v>0.006689555459199583</v>
      </c>
      <c r="E1279" s="105">
        <v>1.6334684555795866</v>
      </c>
      <c r="F1279" s="80" t="s">
        <v>3194</v>
      </c>
      <c r="G1279" s="80" t="b">
        <v>0</v>
      </c>
      <c r="H1279" s="80" t="b">
        <v>0</v>
      </c>
      <c r="I1279" s="80" t="b">
        <v>0</v>
      </c>
      <c r="J1279" s="80" t="b">
        <v>0</v>
      </c>
      <c r="K1279" s="80" t="b">
        <v>0</v>
      </c>
      <c r="L1279" s="80" t="b">
        <v>0</v>
      </c>
    </row>
    <row r="1280" spans="1:12" ht="15">
      <c r="A1280" s="81" t="s">
        <v>3657</v>
      </c>
      <c r="B1280" s="80" t="s">
        <v>3658</v>
      </c>
      <c r="C1280" s="80">
        <v>3</v>
      </c>
      <c r="D1280" s="105">
        <v>0.006689555459199583</v>
      </c>
      <c r="E1280" s="105">
        <v>1.6334684555795866</v>
      </c>
      <c r="F1280" s="80" t="s">
        <v>3194</v>
      </c>
      <c r="G1280" s="80" t="b">
        <v>0</v>
      </c>
      <c r="H1280" s="80" t="b">
        <v>0</v>
      </c>
      <c r="I1280" s="80" t="b">
        <v>0</v>
      </c>
      <c r="J1280" s="80" t="b">
        <v>0</v>
      </c>
      <c r="K1280" s="80" t="b">
        <v>0</v>
      </c>
      <c r="L1280" s="80" t="b">
        <v>0</v>
      </c>
    </row>
    <row r="1281" spans="1:12" ht="15">
      <c r="A1281" s="81" t="s">
        <v>3658</v>
      </c>
      <c r="B1281" s="80" t="s">
        <v>3659</v>
      </c>
      <c r="C1281" s="80">
        <v>3</v>
      </c>
      <c r="D1281" s="105">
        <v>0.006689555459199583</v>
      </c>
      <c r="E1281" s="105">
        <v>1.6334684555795866</v>
      </c>
      <c r="F1281" s="80" t="s">
        <v>3194</v>
      </c>
      <c r="G1281" s="80" t="b">
        <v>0</v>
      </c>
      <c r="H1281" s="80" t="b">
        <v>0</v>
      </c>
      <c r="I1281" s="80" t="b">
        <v>0</v>
      </c>
      <c r="J1281" s="80" t="b">
        <v>0</v>
      </c>
      <c r="K1281" s="80" t="b">
        <v>0</v>
      </c>
      <c r="L1281" s="80" t="b">
        <v>0</v>
      </c>
    </row>
    <row r="1282" spans="1:12" ht="15">
      <c r="A1282" s="81" t="s">
        <v>3659</v>
      </c>
      <c r="B1282" s="80" t="s">
        <v>3660</v>
      </c>
      <c r="C1282" s="80">
        <v>3</v>
      </c>
      <c r="D1282" s="105">
        <v>0.006689555459199583</v>
      </c>
      <c r="E1282" s="105">
        <v>1.6334684555795866</v>
      </c>
      <c r="F1282" s="80" t="s">
        <v>3194</v>
      </c>
      <c r="G1282" s="80" t="b">
        <v>0</v>
      </c>
      <c r="H1282" s="80" t="b">
        <v>0</v>
      </c>
      <c r="I1282" s="80" t="b">
        <v>0</v>
      </c>
      <c r="J1282" s="80" t="b">
        <v>0</v>
      </c>
      <c r="K1282" s="80" t="b">
        <v>0</v>
      </c>
      <c r="L1282" s="80" t="b">
        <v>0</v>
      </c>
    </row>
    <row r="1283" spans="1:12" ht="15">
      <c r="A1283" s="81" t="s">
        <v>3660</v>
      </c>
      <c r="B1283" s="80" t="s">
        <v>3661</v>
      </c>
      <c r="C1283" s="80">
        <v>3</v>
      </c>
      <c r="D1283" s="105">
        <v>0.006689555459199583</v>
      </c>
      <c r="E1283" s="105">
        <v>1.6334684555795866</v>
      </c>
      <c r="F1283" s="80" t="s">
        <v>3194</v>
      </c>
      <c r="G1283" s="80" t="b">
        <v>0</v>
      </c>
      <c r="H1283" s="80" t="b">
        <v>0</v>
      </c>
      <c r="I1283" s="80" t="b">
        <v>0</v>
      </c>
      <c r="J1283" s="80" t="b">
        <v>0</v>
      </c>
      <c r="K1283" s="80" t="b">
        <v>0</v>
      </c>
      <c r="L1283" s="80" t="b">
        <v>0</v>
      </c>
    </row>
    <row r="1284" spans="1:12" ht="15">
      <c r="A1284" s="81" t="s">
        <v>3661</v>
      </c>
      <c r="B1284" s="80" t="s">
        <v>3662</v>
      </c>
      <c r="C1284" s="80">
        <v>3</v>
      </c>
      <c r="D1284" s="105">
        <v>0.006689555459199583</v>
      </c>
      <c r="E1284" s="105">
        <v>1.6334684555795866</v>
      </c>
      <c r="F1284" s="80" t="s">
        <v>3194</v>
      </c>
      <c r="G1284" s="80" t="b">
        <v>0</v>
      </c>
      <c r="H1284" s="80" t="b">
        <v>0</v>
      </c>
      <c r="I1284" s="80" t="b">
        <v>0</v>
      </c>
      <c r="J1284" s="80" t="b">
        <v>0</v>
      </c>
      <c r="K1284" s="80" t="b">
        <v>0</v>
      </c>
      <c r="L1284" s="80" t="b">
        <v>0</v>
      </c>
    </row>
    <row r="1285" spans="1:12" ht="15">
      <c r="A1285" s="81" t="s">
        <v>3662</v>
      </c>
      <c r="B1285" s="80" t="s">
        <v>3289</v>
      </c>
      <c r="C1285" s="80">
        <v>3</v>
      </c>
      <c r="D1285" s="105">
        <v>0.006689555459199583</v>
      </c>
      <c r="E1285" s="105">
        <v>1.3324384599156054</v>
      </c>
      <c r="F1285" s="80" t="s">
        <v>3194</v>
      </c>
      <c r="G1285" s="80" t="b">
        <v>0</v>
      </c>
      <c r="H1285" s="80" t="b">
        <v>0</v>
      </c>
      <c r="I1285" s="80" t="b">
        <v>0</v>
      </c>
      <c r="J1285" s="80" t="b">
        <v>0</v>
      </c>
      <c r="K1285" s="80" t="b">
        <v>1</v>
      </c>
      <c r="L1285" s="80" t="b">
        <v>0</v>
      </c>
    </row>
    <row r="1286" spans="1:12" ht="15">
      <c r="A1286" s="81" t="s">
        <v>3289</v>
      </c>
      <c r="B1286" s="80" t="s">
        <v>3663</v>
      </c>
      <c r="C1286" s="80">
        <v>3</v>
      </c>
      <c r="D1286" s="105">
        <v>0.006689555459199583</v>
      </c>
      <c r="E1286" s="105">
        <v>1.3324384599156054</v>
      </c>
      <c r="F1286" s="80" t="s">
        <v>3194</v>
      </c>
      <c r="G1286" s="80" t="b">
        <v>0</v>
      </c>
      <c r="H1286" s="80" t="b">
        <v>1</v>
      </c>
      <c r="I1286" s="80" t="b">
        <v>0</v>
      </c>
      <c r="J1286" s="80" t="b">
        <v>0</v>
      </c>
      <c r="K1286" s="80" t="b">
        <v>0</v>
      </c>
      <c r="L1286" s="80" t="b">
        <v>0</v>
      </c>
    </row>
    <row r="1287" spans="1:12" ht="15">
      <c r="A1287" s="81" t="s">
        <v>3663</v>
      </c>
      <c r="B1287" s="80" t="s">
        <v>3317</v>
      </c>
      <c r="C1287" s="80">
        <v>3</v>
      </c>
      <c r="D1287" s="105">
        <v>0.006689555459199583</v>
      </c>
      <c r="E1287" s="105">
        <v>1.3324384599156054</v>
      </c>
      <c r="F1287" s="80" t="s">
        <v>3194</v>
      </c>
      <c r="G1287" s="80" t="b">
        <v>0</v>
      </c>
      <c r="H1287" s="80" t="b">
        <v>0</v>
      </c>
      <c r="I1287" s="80" t="b">
        <v>0</v>
      </c>
      <c r="J1287" s="80" t="b">
        <v>0</v>
      </c>
      <c r="K1287" s="80" t="b">
        <v>0</v>
      </c>
      <c r="L1287" s="80" t="b">
        <v>0</v>
      </c>
    </row>
    <row r="1288" spans="1:12" ht="15">
      <c r="A1288" s="81" t="s">
        <v>3317</v>
      </c>
      <c r="B1288" s="80" t="s">
        <v>3664</v>
      </c>
      <c r="C1288" s="80">
        <v>3</v>
      </c>
      <c r="D1288" s="105">
        <v>0.006689555459199583</v>
      </c>
      <c r="E1288" s="105">
        <v>1.3324384599156054</v>
      </c>
      <c r="F1288" s="80" t="s">
        <v>3194</v>
      </c>
      <c r="G1288" s="80" t="b">
        <v>0</v>
      </c>
      <c r="H1288" s="80" t="b">
        <v>0</v>
      </c>
      <c r="I1288" s="80" t="b">
        <v>0</v>
      </c>
      <c r="J1288" s="80" t="b">
        <v>0</v>
      </c>
      <c r="K1288" s="80" t="b">
        <v>0</v>
      </c>
      <c r="L1288" s="80" t="b">
        <v>0</v>
      </c>
    </row>
    <row r="1289" spans="1:12" ht="15">
      <c r="A1289" s="81" t="s">
        <v>3664</v>
      </c>
      <c r="B1289" s="80" t="s">
        <v>3665</v>
      </c>
      <c r="C1289" s="80">
        <v>3</v>
      </c>
      <c r="D1289" s="105">
        <v>0.006689555459199583</v>
      </c>
      <c r="E1289" s="105">
        <v>1.6334684555795866</v>
      </c>
      <c r="F1289" s="80" t="s">
        <v>3194</v>
      </c>
      <c r="G1289" s="80" t="b">
        <v>0</v>
      </c>
      <c r="H1289" s="80" t="b">
        <v>0</v>
      </c>
      <c r="I1289" s="80" t="b">
        <v>0</v>
      </c>
      <c r="J1289" s="80" t="b">
        <v>0</v>
      </c>
      <c r="K1289" s="80" t="b">
        <v>0</v>
      </c>
      <c r="L1289" s="80" t="b">
        <v>0</v>
      </c>
    </row>
    <row r="1290" spans="1:12" ht="15">
      <c r="A1290" s="81" t="s">
        <v>3665</v>
      </c>
      <c r="B1290" s="80" t="s">
        <v>3666</v>
      </c>
      <c r="C1290" s="80">
        <v>3</v>
      </c>
      <c r="D1290" s="105">
        <v>0.006689555459199583</v>
      </c>
      <c r="E1290" s="105">
        <v>1.6334684555795866</v>
      </c>
      <c r="F1290" s="80" t="s">
        <v>3194</v>
      </c>
      <c r="G1290" s="80" t="b">
        <v>0</v>
      </c>
      <c r="H1290" s="80" t="b">
        <v>0</v>
      </c>
      <c r="I1290" s="80" t="b">
        <v>0</v>
      </c>
      <c r="J1290" s="80" t="b">
        <v>0</v>
      </c>
      <c r="K1290" s="80" t="b">
        <v>0</v>
      </c>
      <c r="L1290" s="80" t="b">
        <v>0</v>
      </c>
    </row>
    <row r="1291" spans="1:12" ht="15">
      <c r="A1291" s="81" t="s">
        <v>3666</v>
      </c>
      <c r="B1291" s="80" t="s">
        <v>3260</v>
      </c>
      <c r="C1291" s="80">
        <v>3</v>
      </c>
      <c r="D1291" s="105">
        <v>0.006689555459199583</v>
      </c>
      <c r="E1291" s="105">
        <v>1.3324384599156054</v>
      </c>
      <c r="F1291" s="80" t="s">
        <v>3194</v>
      </c>
      <c r="G1291" s="80" t="b">
        <v>0</v>
      </c>
      <c r="H1291" s="80" t="b">
        <v>0</v>
      </c>
      <c r="I1291" s="80" t="b">
        <v>0</v>
      </c>
      <c r="J1291" s="80" t="b">
        <v>0</v>
      </c>
      <c r="K1291" s="80" t="b">
        <v>0</v>
      </c>
      <c r="L1291" s="80" t="b">
        <v>0</v>
      </c>
    </row>
    <row r="1292" spans="1:12" ht="15">
      <c r="A1292" s="81" t="s">
        <v>3438</v>
      </c>
      <c r="B1292" s="80" t="s">
        <v>3439</v>
      </c>
      <c r="C1292" s="80">
        <v>4</v>
      </c>
      <c r="D1292" s="105">
        <v>0</v>
      </c>
      <c r="E1292" s="105">
        <v>1.0791812460476249</v>
      </c>
      <c r="F1292" s="80" t="s">
        <v>3195</v>
      </c>
      <c r="G1292" s="80" t="b">
        <v>0</v>
      </c>
      <c r="H1292" s="80" t="b">
        <v>0</v>
      </c>
      <c r="I1292" s="80" t="b">
        <v>0</v>
      </c>
      <c r="J1292" s="80" t="b">
        <v>0</v>
      </c>
      <c r="K1292" s="80" t="b">
        <v>0</v>
      </c>
      <c r="L1292" s="80" t="b">
        <v>0</v>
      </c>
    </row>
    <row r="1293" spans="1:12" ht="15">
      <c r="A1293" s="81" t="s">
        <v>3439</v>
      </c>
      <c r="B1293" s="80" t="s">
        <v>3440</v>
      </c>
      <c r="C1293" s="80">
        <v>4</v>
      </c>
      <c r="D1293" s="105">
        <v>0</v>
      </c>
      <c r="E1293" s="105">
        <v>1.0791812460476249</v>
      </c>
      <c r="F1293" s="80" t="s">
        <v>3195</v>
      </c>
      <c r="G1293" s="80" t="b">
        <v>0</v>
      </c>
      <c r="H1293" s="80" t="b">
        <v>0</v>
      </c>
      <c r="I1293" s="80" t="b">
        <v>0</v>
      </c>
      <c r="J1293" s="80" t="b">
        <v>0</v>
      </c>
      <c r="K1293" s="80" t="b">
        <v>0</v>
      </c>
      <c r="L1293" s="80" t="b">
        <v>0</v>
      </c>
    </row>
    <row r="1294" spans="1:12" ht="15">
      <c r="A1294" s="81" t="s">
        <v>3440</v>
      </c>
      <c r="B1294" s="80" t="s">
        <v>3441</v>
      </c>
      <c r="C1294" s="80">
        <v>4</v>
      </c>
      <c r="D1294" s="105">
        <v>0</v>
      </c>
      <c r="E1294" s="105">
        <v>1.0791812460476249</v>
      </c>
      <c r="F1294" s="80" t="s">
        <v>3195</v>
      </c>
      <c r="G1294" s="80" t="b">
        <v>0</v>
      </c>
      <c r="H1294" s="80" t="b">
        <v>0</v>
      </c>
      <c r="I1294" s="80" t="b">
        <v>0</v>
      </c>
      <c r="J1294" s="80" t="b">
        <v>0</v>
      </c>
      <c r="K1294" s="80" t="b">
        <v>0</v>
      </c>
      <c r="L1294" s="80" t="b">
        <v>0</v>
      </c>
    </row>
    <row r="1295" spans="1:12" ht="15">
      <c r="A1295" s="81" t="s">
        <v>3441</v>
      </c>
      <c r="B1295" s="80" t="s">
        <v>3442</v>
      </c>
      <c r="C1295" s="80">
        <v>4</v>
      </c>
      <c r="D1295" s="105">
        <v>0</v>
      </c>
      <c r="E1295" s="105">
        <v>1.0791812460476249</v>
      </c>
      <c r="F1295" s="80" t="s">
        <v>3195</v>
      </c>
      <c r="G1295" s="80" t="b">
        <v>0</v>
      </c>
      <c r="H1295" s="80" t="b">
        <v>0</v>
      </c>
      <c r="I1295" s="80" t="b">
        <v>0</v>
      </c>
      <c r="J1295" s="80" t="b">
        <v>0</v>
      </c>
      <c r="K1295" s="80" t="b">
        <v>0</v>
      </c>
      <c r="L1295" s="80" t="b">
        <v>0</v>
      </c>
    </row>
    <row r="1296" spans="1:12" ht="15">
      <c r="A1296" s="81" t="s">
        <v>3442</v>
      </c>
      <c r="B1296" s="80" t="s">
        <v>3443</v>
      </c>
      <c r="C1296" s="80">
        <v>4</v>
      </c>
      <c r="D1296" s="105">
        <v>0</v>
      </c>
      <c r="E1296" s="105">
        <v>1.0791812460476249</v>
      </c>
      <c r="F1296" s="80" t="s">
        <v>3195</v>
      </c>
      <c r="G1296" s="80" t="b">
        <v>0</v>
      </c>
      <c r="H1296" s="80" t="b">
        <v>0</v>
      </c>
      <c r="I1296" s="80" t="b">
        <v>0</v>
      </c>
      <c r="J1296" s="80" t="b">
        <v>0</v>
      </c>
      <c r="K1296" s="80" t="b">
        <v>0</v>
      </c>
      <c r="L1296" s="80" t="b">
        <v>0</v>
      </c>
    </row>
    <row r="1297" spans="1:12" ht="15">
      <c r="A1297" s="81" t="s">
        <v>3443</v>
      </c>
      <c r="B1297" s="80" t="s">
        <v>3444</v>
      </c>
      <c r="C1297" s="80">
        <v>4</v>
      </c>
      <c r="D1297" s="105">
        <v>0</v>
      </c>
      <c r="E1297" s="105">
        <v>1.0791812460476249</v>
      </c>
      <c r="F1297" s="80" t="s">
        <v>3195</v>
      </c>
      <c r="G1297" s="80" t="b">
        <v>0</v>
      </c>
      <c r="H1297" s="80" t="b">
        <v>0</v>
      </c>
      <c r="I1297" s="80" t="b">
        <v>0</v>
      </c>
      <c r="J1297" s="80" t="b">
        <v>0</v>
      </c>
      <c r="K1297" s="80" t="b">
        <v>0</v>
      </c>
      <c r="L1297" s="80" t="b">
        <v>0</v>
      </c>
    </row>
    <row r="1298" spans="1:12" ht="15">
      <c r="A1298" s="81" t="s">
        <v>3444</v>
      </c>
      <c r="B1298" s="80" t="s">
        <v>3445</v>
      </c>
      <c r="C1298" s="80">
        <v>4</v>
      </c>
      <c r="D1298" s="105">
        <v>0</v>
      </c>
      <c r="E1298" s="105">
        <v>1.0791812460476249</v>
      </c>
      <c r="F1298" s="80" t="s">
        <v>3195</v>
      </c>
      <c r="G1298" s="80" t="b">
        <v>0</v>
      </c>
      <c r="H1298" s="80" t="b">
        <v>0</v>
      </c>
      <c r="I1298" s="80" t="b">
        <v>0</v>
      </c>
      <c r="J1298" s="80" t="b">
        <v>0</v>
      </c>
      <c r="K1298" s="80" t="b">
        <v>0</v>
      </c>
      <c r="L1298" s="80" t="b">
        <v>0</v>
      </c>
    </row>
    <row r="1299" spans="1:12" ht="15">
      <c r="A1299" s="81" t="s">
        <v>3445</v>
      </c>
      <c r="B1299" s="80" t="s">
        <v>3446</v>
      </c>
      <c r="C1299" s="80">
        <v>4</v>
      </c>
      <c r="D1299" s="105">
        <v>0</v>
      </c>
      <c r="E1299" s="105">
        <v>1.0791812460476249</v>
      </c>
      <c r="F1299" s="80" t="s">
        <v>3195</v>
      </c>
      <c r="G1299" s="80" t="b">
        <v>0</v>
      </c>
      <c r="H1299" s="80" t="b">
        <v>0</v>
      </c>
      <c r="I1299" s="80" t="b">
        <v>0</v>
      </c>
      <c r="J1299" s="80" t="b">
        <v>0</v>
      </c>
      <c r="K1299" s="80" t="b">
        <v>0</v>
      </c>
      <c r="L1299" s="80" t="b">
        <v>0</v>
      </c>
    </row>
    <row r="1300" spans="1:12" ht="15">
      <c r="A1300" s="81" t="s">
        <v>3446</v>
      </c>
      <c r="B1300" s="80" t="s">
        <v>3447</v>
      </c>
      <c r="C1300" s="80">
        <v>4</v>
      </c>
      <c r="D1300" s="105">
        <v>0</v>
      </c>
      <c r="E1300" s="105">
        <v>1.0791812460476249</v>
      </c>
      <c r="F1300" s="80" t="s">
        <v>3195</v>
      </c>
      <c r="G1300" s="80" t="b">
        <v>0</v>
      </c>
      <c r="H1300" s="80" t="b">
        <v>0</v>
      </c>
      <c r="I1300" s="80" t="b">
        <v>0</v>
      </c>
      <c r="J1300" s="80" t="b">
        <v>0</v>
      </c>
      <c r="K1300" s="80" t="b">
        <v>0</v>
      </c>
      <c r="L1300" s="80" t="b">
        <v>0</v>
      </c>
    </row>
    <row r="1301" spans="1:12" ht="15">
      <c r="A1301" s="81" t="s">
        <v>3447</v>
      </c>
      <c r="B1301" s="80" t="s">
        <v>3448</v>
      </c>
      <c r="C1301" s="80">
        <v>4</v>
      </c>
      <c r="D1301" s="105">
        <v>0</v>
      </c>
      <c r="E1301" s="105">
        <v>1.0791812460476249</v>
      </c>
      <c r="F1301" s="80" t="s">
        <v>3195</v>
      </c>
      <c r="G1301" s="80" t="b">
        <v>0</v>
      </c>
      <c r="H1301" s="80" t="b">
        <v>0</v>
      </c>
      <c r="I1301" s="80" t="b">
        <v>0</v>
      </c>
      <c r="J1301" s="80" t="b">
        <v>0</v>
      </c>
      <c r="K1301" s="80" t="b">
        <v>0</v>
      </c>
      <c r="L1301" s="80" t="b">
        <v>0</v>
      </c>
    </row>
    <row r="1302" spans="1:12" ht="15">
      <c r="A1302" s="81" t="s">
        <v>3448</v>
      </c>
      <c r="B1302" s="80" t="s">
        <v>3449</v>
      </c>
      <c r="C1302" s="80">
        <v>4</v>
      </c>
      <c r="D1302" s="105">
        <v>0</v>
      </c>
      <c r="E1302" s="105">
        <v>1.0791812460476249</v>
      </c>
      <c r="F1302" s="80" t="s">
        <v>3195</v>
      </c>
      <c r="G1302" s="80" t="b">
        <v>0</v>
      </c>
      <c r="H1302" s="80" t="b">
        <v>0</v>
      </c>
      <c r="I1302" s="80" t="b">
        <v>0</v>
      </c>
      <c r="J1302" s="80" t="b">
        <v>0</v>
      </c>
      <c r="K1302" s="80" t="b">
        <v>0</v>
      </c>
      <c r="L1302" s="80" t="b">
        <v>0</v>
      </c>
    </row>
    <row r="1303" spans="1:12" ht="15">
      <c r="A1303" s="81" t="s">
        <v>3449</v>
      </c>
      <c r="B1303" s="80" t="s">
        <v>3260</v>
      </c>
      <c r="C1303" s="80">
        <v>4</v>
      </c>
      <c r="D1303" s="105">
        <v>0</v>
      </c>
      <c r="E1303" s="105">
        <v>1.0791812460476249</v>
      </c>
      <c r="F1303" s="80" t="s">
        <v>3195</v>
      </c>
      <c r="G1303" s="80" t="b">
        <v>0</v>
      </c>
      <c r="H1303" s="80" t="b">
        <v>0</v>
      </c>
      <c r="I1303" s="80" t="b">
        <v>0</v>
      </c>
      <c r="J1303" s="80" t="b">
        <v>0</v>
      </c>
      <c r="K1303" s="80" t="b">
        <v>0</v>
      </c>
      <c r="L1303" s="80" t="b">
        <v>0</v>
      </c>
    </row>
    <row r="1304" spans="1:12" ht="15">
      <c r="A1304" s="81" t="s">
        <v>3813</v>
      </c>
      <c r="B1304" s="80" t="s">
        <v>501</v>
      </c>
      <c r="C1304" s="80">
        <v>2</v>
      </c>
      <c r="D1304" s="105">
        <v>0</v>
      </c>
      <c r="E1304" s="105">
        <v>0.9030899869919435</v>
      </c>
      <c r="F1304" s="80" t="s">
        <v>3198</v>
      </c>
      <c r="G1304" s="80" t="b">
        <v>0</v>
      </c>
      <c r="H1304" s="80" t="b">
        <v>0</v>
      </c>
      <c r="I1304" s="80" t="b">
        <v>0</v>
      </c>
      <c r="J1304" s="80" t="b">
        <v>0</v>
      </c>
      <c r="K1304" s="80" t="b">
        <v>0</v>
      </c>
      <c r="L1304" s="80" t="b">
        <v>0</v>
      </c>
    </row>
    <row r="1305" spans="1:12" ht="15">
      <c r="A1305" s="81" t="s">
        <v>501</v>
      </c>
      <c r="B1305" s="80" t="s">
        <v>500</v>
      </c>
      <c r="C1305" s="80">
        <v>2</v>
      </c>
      <c r="D1305" s="105">
        <v>0</v>
      </c>
      <c r="E1305" s="105">
        <v>0.9030899869919435</v>
      </c>
      <c r="F1305" s="80" t="s">
        <v>3198</v>
      </c>
      <c r="G1305" s="80" t="b">
        <v>0</v>
      </c>
      <c r="H1305" s="80" t="b">
        <v>0</v>
      </c>
      <c r="I1305" s="80" t="b">
        <v>0</v>
      </c>
      <c r="J1305" s="80" t="b">
        <v>0</v>
      </c>
      <c r="K1305" s="80" t="b">
        <v>0</v>
      </c>
      <c r="L1305" s="80" t="b">
        <v>0</v>
      </c>
    </row>
    <row r="1306" spans="1:12" ht="15">
      <c r="A1306" s="81" t="s">
        <v>500</v>
      </c>
      <c r="B1306" s="80" t="s">
        <v>3814</v>
      </c>
      <c r="C1306" s="80">
        <v>2</v>
      </c>
      <c r="D1306" s="105">
        <v>0</v>
      </c>
      <c r="E1306" s="105">
        <v>0.9030899869919435</v>
      </c>
      <c r="F1306" s="80" t="s">
        <v>3198</v>
      </c>
      <c r="G1306" s="80" t="b">
        <v>0</v>
      </c>
      <c r="H1306" s="80" t="b">
        <v>0</v>
      </c>
      <c r="I1306" s="80" t="b">
        <v>0</v>
      </c>
      <c r="J1306" s="80" t="b">
        <v>0</v>
      </c>
      <c r="K1306" s="80" t="b">
        <v>0</v>
      </c>
      <c r="L1306" s="80" t="b">
        <v>0</v>
      </c>
    </row>
    <row r="1307" spans="1:12" ht="15">
      <c r="A1307" s="81" t="s">
        <v>3814</v>
      </c>
      <c r="B1307" s="80" t="s">
        <v>3260</v>
      </c>
      <c r="C1307" s="80">
        <v>2</v>
      </c>
      <c r="D1307" s="105">
        <v>0</v>
      </c>
      <c r="E1307" s="105">
        <v>0.9030899869919435</v>
      </c>
      <c r="F1307" s="80" t="s">
        <v>3198</v>
      </c>
      <c r="G1307" s="80" t="b">
        <v>0</v>
      </c>
      <c r="H1307" s="80" t="b">
        <v>0</v>
      </c>
      <c r="I1307" s="80" t="b">
        <v>0</v>
      </c>
      <c r="J1307" s="80" t="b">
        <v>0</v>
      </c>
      <c r="K1307" s="80" t="b">
        <v>0</v>
      </c>
      <c r="L1307" s="80" t="b">
        <v>0</v>
      </c>
    </row>
    <row r="1308" spans="1:12" ht="15">
      <c r="A1308" s="81" t="s">
        <v>3260</v>
      </c>
      <c r="B1308" s="80" t="s">
        <v>3815</v>
      </c>
      <c r="C1308" s="80">
        <v>2</v>
      </c>
      <c r="D1308" s="105">
        <v>0</v>
      </c>
      <c r="E1308" s="105">
        <v>0.9030899869919435</v>
      </c>
      <c r="F1308" s="80" t="s">
        <v>3198</v>
      </c>
      <c r="G1308" s="80" t="b">
        <v>0</v>
      </c>
      <c r="H1308" s="80" t="b">
        <v>0</v>
      </c>
      <c r="I1308" s="80" t="b">
        <v>0</v>
      </c>
      <c r="J1308" s="80" t="b">
        <v>0</v>
      </c>
      <c r="K1308" s="80" t="b">
        <v>0</v>
      </c>
      <c r="L1308" s="80" t="b">
        <v>0</v>
      </c>
    </row>
    <row r="1309" spans="1:12" ht="15">
      <c r="A1309" s="81" t="s">
        <v>3815</v>
      </c>
      <c r="B1309" s="80" t="s">
        <v>3305</v>
      </c>
      <c r="C1309" s="80">
        <v>2</v>
      </c>
      <c r="D1309" s="105">
        <v>0</v>
      </c>
      <c r="E1309" s="105">
        <v>0.9030899869919435</v>
      </c>
      <c r="F1309" s="80" t="s">
        <v>3198</v>
      </c>
      <c r="G1309" s="80" t="b">
        <v>0</v>
      </c>
      <c r="H1309" s="80" t="b">
        <v>0</v>
      </c>
      <c r="I1309" s="80" t="b">
        <v>0</v>
      </c>
      <c r="J1309" s="80" t="b">
        <v>0</v>
      </c>
      <c r="K1309" s="80" t="b">
        <v>0</v>
      </c>
      <c r="L1309" s="80" t="b">
        <v>0</v>
      </c>
    </row>
    <row r="1310" spans="1:12" ht="15">
      <c r="A1310" s="81" t="s">
        <v>3305</v>
      </c>
      <c r="B1310" s="80" t="s">
        <v>3816</v>
      </c>
      <c r="C1310" s="80">
        <v>2</v>
      </c>
      <c r="D1310" s="105">
        <v>0</v>
      </c>
      <c r="E1310" s="105">
        <v>0.9030899869919435</v>
      </c>
      <c r="F1310" s="80" t="s">
        <v>3198</v>
      </c>
      <c r="G1310" s="80" t="b">
        <v>0</v>
      </c>
      <c r="H1310" s="80" t="b">
        <v>0</v>
      </c>
      <c r="I1310" s="80" t="b">
        <v>0</v>
      </c>
      <c r="J1310" s="80" t="b">
        <v>0</v>
      </c>
      <c r="K1310" s="80" t="b">
        <v>0</v>
      </c>
      <c r="L1310" s="80" t="b">
        <v>0</v>
      </c>
    </row>
    <row r="1311" spans="1:12" ht="15">
      <c r="A1311" s="81" t="s">
        <v>3816</v>
      </c>
      <c r="B1311" s="80" t="s">
        <v>3817</v>
      </c>
      <c r="C1311" s="80">
        <v>2</v>
      </c>
      <c r="D1311" s="105">
        <v>0</v>
      </c>
      <c r="E1311" s="105">
        <v>0.9030899869919435</v>
      </c>
      <c r="F1311" s="80" t="s">
        <v>3198</v>
      </c>
      <c r="G1311" s="80" t="b">
        <v>0</v>
      </c>
      <c r="H1311" s="80" t="b">
        <v>0</v>
      </c>
      <c r="I1311" s="80" t="b">
        <v>0</v>
      </c>
      <c r="J1311" s="80" t="b">
        <v>0</v>
      </c>
      <c r="K1311" s="80" t="b">
        <v>0</v>
      </c>
      <c r="L1311" s="80" t="b">
        <v>0</v>
      </c>
    </row>
    <row r="1312" spans="1:12" ht="15">
      <c r="A1312" s="81" t="s">
        <v>3751</v>
      </c>
      <c r="B1312" s="80" t="s">
        <v>3752</v>
      </c>
      <c r="C1312" s="80">
        <v>2</v>
      </c>
      <c r="D1312" s="105">
        <v>0.010380344678068316</v>
      </c>
      <c r="E1312" s="105">
        <v>1.4313637641589874</v>
      </c>
      <c r="F1312" s="80" t="s">
        <v>3199</v>
      </c>
      <c r="G1312" s="80" t="b">
        <v>0</v>
      </c>
      <c r="H1312" s="80" t="b">
        <v>0</v>
      </c>
      <c r="I1312" s="80" t="b">
        <v>0</v>
      </c>
      <c r="J1312" s="80" t="b">
        <v>0</v>
      </c>
      <c r="K1312" s="80" t="b">
        <v>0</v>
      </c>
      <c r="L1312" s="80" t="b">
        <v>0</v>
      </c>
    </row>
    <row r="1313" spans="1:12" ht="15">
      <c r="A1313" s="81" t="s">
        <v>3752</v>
      </c>
      <c r="B1313" s="80" t="s">
        <v>3753</v>
      </c>
      <c r="C1313" s="80">
        <v>2</v>
      </c>
      <c r="D1313" s="105">
        <v>0.010380344678068316</v>
      </c>
      <c r="E1313" s="105">
        <v>1.4313637641589874</v>
      </c>
      <c r="F1313" s="80" t="s">
        <v>3199</v>
      </c>
      <c r="G1313" s="80" t="b">
        <v>0</v>
      </c>
      <c r="H1313" s="80" t="b">
        <v>0</v>
      </c>
      <c r="I1313" s="80" t="b">
        <v>0</v>
      </c>
      <c r="J1313" s="80" t="b">
        <v>0</v>
      </c>
      <c r="K1313" s="80" t="b">
        <v>0</v>
      </c>
      <c r="L1313" s="80" t="b">
        <v>0</v>
      </c>
    </row>
    <row r="1314" spans="1:12" ht="15">
      <c r="A1314" s="81" t="s">
        <v>3753</v>
      </c>
      <c r="B1314" s="80" t="s">
        <v>3474</v>
      </c>
      <c r="C1314" s="80">
        <v>2</v>
      </c>
      <c r="D1314" s="105">
        <v>0.010380344678068316</v>
      </c>
      <c r="E1314" s="105">
        <v>1.4313637641589874</v>
      </c>
      <c r="F1314" s="80" t="s">
        <v>3199</v>
      </c>
      <c r="G1314" s="80" t="b">
        <v>0</v>
      </c>
      <c r="H1314" s="80" t="b">
        <v>0</v>
      </c>
      <c r="I1314" s="80" t="b">
        <v>0</v>
      </c>
      <c r="J1314" s="80" t="b">
        <v>0</v>
      </c>
      <c r="K1314" s="80" t="b">
        <v>0</v>
      </c>
      <c r="L1314" s="80" t="b">
        <v>0</v>
      </c>
    </row>
    <row r="1315" spans="1:12" ht="15">
      <c r="A1315" s="81" t="s">
        <v>3474</v>
      </c>
      <c r="B1315" s="80" t="s">
        <v>3754</v>
      </c>
      <c r="C1315" s="80">
        <v>2</v>
      </c>
      <c r="D1315" s="105">
        <v>0.010380344678068316</v>
      </c>
      <c r="E1315" s="105">
        <v>1.4313637641589874</v>
      </c>
      <c r="F1315" s="80" t="s">
        <v>3199</v>
      </c>
      <c r="G1315" s="80" t="b">
        <v>0</v>
      </c>
      <c r="H1315" s="80" t="b">
        <v>0</v>
      </c>
      <c r="I1315" s="80" t="b">
        <v>0</v>
      </c>
      <c r="J1315" s="80" t="b">
        <v>0</v>
      </c>
      <c r="K1315" s="80" t="b">
        <v>0</v>
      </c>
      <c r="L1315" s="80" t="b">
        <v>0</v>
      </c>
    </row>
    <row r="1316" spans="1:12" ht="15">
      <c r="A1316" s="81" t="s">
        <v>3754</v>
      </c>
      <c r="B1316" s="80" t="s">
        <v>3755</v>
      </c>
      <c r="C1316" s="80">
        <v>2</v>
      </c>
      <c r="D1316" s="105">
        <v>0.010380344678068316</v>
      </c>
      <c r="E1316" s="105">
        <v>1.4313637641589874</v>
      </c>
      <c r="F1316" s="80" t="s">
        <v>3199</v>
      </c>
      <c r="G1316" s="80" t="b">
        <v>0</v>
      </c>
      <c r="H1316" s="80" t="b">
        <v>0</v>
      </c>
      <c r="I1316" s="80" t="b">
        <v>0</v>
      </c>
      <c r="J1316" s="80" t="b">
        <v>0</v>
      </c>
      <c r="K1316" s="80" t="b">
        <v>0</v>
      </c>
      <c r="L1316" s="80" t="b">
        <v>0</v>
      </c>
    </row>
    <row r="1317" spans="1:12" ht="15">
      <c r="A1317" s="81" t="s">
        <v>3755</v>
      </c>
      <c r="B1317" s="80" t="s">
        <v>3756</v>
      </c>
      <c r="C1317" s="80">
        <v>2</v>
      </c>
      <c r="D1317" s="105">
        <v>0.010380344678068316</v>
      </c>
      <c r="E1317" s="105">
        <v>1.4313637641589874</v>
      </c>
      <c r="F1317" s="80" t="s">
        <v>3199</v>
      </c>
      <c r="G1317" s="80" t="b">
        <v>0</v>
      </c>
      <c r="H1317" s="80" t="b">
        <v>0</v>
      </c>
      <c r="I1317" s="80" t="b">
        <v>0</v>
      </c>
      <c r="J1317" s="80" t="b">
        <v>0</v>
      </c>
      <c r="K1317" s="80" t="b">
        <v>0</v>
      </c>
      <c r="L1317" s="80" t="b">
        <v>0</v>
      </c>
    </row>
    <row r="1318" spans="1:12" ht="15">
      <c r="A1318" s="81" t="s">
        <v>3756</v>
      </c>
      <c r="B1318" s="80" t="s">
        <v>3757</v>
      </c>
      <c r="C1318" s="80">
        <v>2</v>
      </c>
      <c r="D1318" s="105">
        <v>0.010380344678068316</v>
      </c>
      <c r="E1318" s="105">
        <v>1.4313637641589874</v>
      </c>
      <c r="F1318" s="80" t="s">
        <v>3199</v>
      </c>
      <c r="G1318" s="80" t="b">
        <v>0</v>
      </c>
      <c r="H1318" s="80" t="b">
        <v>0</v>
      </c>
      <c r="I1318" s="80" t="b">
        <v>0</v>
      </c>
      <c r="J1318" s="80" t="b">
        <v>0</v>
      </c>
      <c r="K1318" s="80" t="b">
        <v>0</v>
      </c>
      <c r="L1318" s="80" t="b">
        <v>0</v>
      </c>
    </row>
    <row r="1319" spans="1:12" ht="15">
      <c r="A1319" s="81" t="s">
        <v>3757</v>
      </c>
      <c r="B1319" s="80" t="s">
        <v>3758</v>
      </c>
      <c r="C1319" s="80">
        <v>2</v>
      </c>
      <c r="D1319" s="105">
        <v>0.010380344678068316</v>
      </c>
      <c r="E1319" s="105">
        <v>1.4313637641589874</v>
      </c>
      <c r="F1319" s="80" t="s">
        <v>3199</v>
      </c>
      <c r="G1319" s="80" t="b">
        <v>0</v>
      </c>
      <c r="H1319" s="80" t="b">
        <v>0</v>
      </c>
      <c r="I1319" s="80" t="b">
        <v>0</v>
      </c>
      <c r="J1319" s="80" t="b">
        <v>0</v>
      </c>
      <c r="K1319" s="80" t="b">
        <v>0</v>
      </c>
      <c r="L1319" s="80" t="b">
        <v>0</v>
      </c>
    </row>
    <row r="1320" spans="1:12" ht="15">
      <c r="A1320" s="81" t="s">
        <v>3758</v>
      </c>
      <c r="B1320" s="80" t="s">
        <v>3759</v>
      </c>
      <c r="C1320" s="80">
        <v>2</v>
      </c>
      <c r="D1320" s="105">
        <v>0.010380344678068316</v>
      </c>
      <c r="E1320" s="105">
        <v>1.4313637641589874</v>
      </c>
      <c r="F1320" s="80" t="s">
        <v>3199</v>
      </c>
      <c r="G1320" s="80" t="b">
        <v>0</v>
      </c>
      <c r="H1320" s="80" t="b">
        <v>0</v>
      </c>
      <c r="I1320" s="80" t="b">
        <v>0</v>
      </c>
      <c r="J1320" s="80" t="b">
        <v>0</v>
      </c>
      <c r="K1320" s="80" t="b">
        <v>0</v>
      </c>
      <c r="L1320" s="80" t="b">
        <v>0</v>
      </c>
    </row>
    <row r="1321" spans="1:12" ht="15">
      <c r="A1321" s="81" t="s">
        <v>3759</v>
      </c>
      <c r="B1321" s="80" t="s">
        <v>3760</v>
      </c>
      <c r="C1321" s="80">
        <v>2</v>
      </c>
      <c r="D1321" s="105">
        <v>0.010380344678068316</v>
      </c>
      <c r="E1321" s="105">
        <v>1.4313637641589874</v>
      </c>
      <c r="F1321" s="80" t="s">
        <v>3199</v>
      </c>
      <c r="G1321" s="80" t="b">
        <v>0</v>
      </c>
      <c r="H1321" s="80" t="b">
        <v>0</v>
      </c>
      <c r="I1321" s="80" t="b">
        <v>0</v>
      </c>
      <c r="J1321" s="80" t="b">
        <v>0</v>
      </c>
      <c r="K1321" s="80" t="b">
        <v>0</v>
      </c>
      <c r="L1321" s="80" t="b">
        <v>0</v>
      </c>
    </row>
    <row r="1322" spans="1:12" ht="15">
      <c r="A1322" s="81" t="s">
        <v>3760</v>
      </c>
      <c r="B1322" s="80" t="s">
        <v>3383</v>
      </c>
      <c r="C1322" s="80">
        <v>2</v>
      </c>
      <c r="D1322" s="105">
        <v>0.010380344678068316</v>
      </c>
      <c r="E1322" s="105">
        <v>1.4313637641589874</v>
      </c>
      <c r="F1322" s="80" t="s">
        <v>3199</v>
      </c>
      <c r="G1322" s="80" t="b">
        <v>0</v>
      </c>
      <c r="H1322" s="80" t="b">
        <v>0</v>
      </c>
      <c r="I1322" s="80" t="b">
        <v>0</v>
      </c>
      <c r="J1322" s="80" t="b">
        <v>0</v>
      </c>
      <c r="K1322" s="80" t="b">
        <v>0</v>
      </c>
      <c r="L1322" s="80" t="b">
        <v>0</v>
      </c>
    </row>
    <row r="1323" spans="1:12" ht="15">
      <c r="A1323" s="81" t="s">
        <v>3383</v>
      </c>
      <c r="B1323" s="80" t="s">
        <v>3475</v>
      </c>
      <c r="C1323" s="80">
        <v>2</v>
      </c>
      <c r="D1323" s="105">
        <v>0.010380344678068316</v>
      </c>
      <c r="E1323" s="105">
        <v>1.4313637641589874</v>
      </c>
      <c r="F1323" s="80" t="s">
        <v>3199</v>
      </c>
      <c r="G1323" s="80" t="b">
        <v>0</v>
      </c>
      <c r="H1323" s="80" t="b">
        <v>0</v>
      </c>
      <c r="I1323" s="80" t="b">
        <v>0</v>
      </c>
      <c r="J1323" s="80" t="b">
        <v>0</v>
      </c>
      <c r="K1323" s="80" t="b">
        <v>0</v>
      </c>
      <c r="L1323" s="80" t="b">
        <v>0</v>
      </c>
    </row>
    <row r="1324" spans="1:12" ht="15">
      <c r="A1324" s="81" t="s">
        <v>3475</v>
      </c>
      <c r="B1324" s="80" t="s">
        <v>3761</v>
      </c>
      <c r="C1324" s="80">
        <v>2</v>
      </c>
      <c r="D1324" s="105">
        <v>0.010380344678068316</v>
      </c>
      <c r="E1324" s="105">
        <v>1.4313637641589874</v>
      </c>
      <c r="F1324" s="80" t="s">
        <v>3199</v>
      </c>
      <c r="G1324" s="80" t="b">
        <v>0</v>
      </c>
      <c r="H1324" s="80" t="b">
        <v>0</v>
      </c>
      <c r="I1324" s="80" t="b">
        <v>0</v>
      </c>
      <c r="J1324" s="80" t="b">
        <v>0</v>
      </c>
      <c r="K1324" s="80" t="b">
        <v>0</v>
      </c>
      <c r="L1324" s="80" t="b">
        <v>0</v>
      </c>
    </row>
    <row r="1325" spans="1:12" ht="15">
      <c r="A1325" s="81" t="s">
        <v>3761</v>
      </c>
      <c r="B1325" s="80" t="s">
        <v>3762</v>
      </c>
      <c r="C1325" s="80">
        <v>2</v>
      </c>
      <c r="D1325" s="105">
        <v>0.010380344678068316</v>
      </c>
      <c r="E1325" s="105">
        <v>1.4313637641589874</v>
      </c>
      <c r="F1325" s="80" t="s">
        <v>3199</v>
      </c>
      <c r="G1325" s="80" t="b">
        <v>0</v>
      </c>
      <c r="H1325" s="80" t="b">
        <v>0</v>
      </c>
      <c r="I1325" s="80" t="b">
        <v>0</v>
      </c>
      <c r="J1325" s="80" t="b">
        <v>0</v>
      </c>
      <c r="K1325" s="80" t="b">
        <v>0</v>
      </c>
      <c r="L1325" s="80" t="b">
        <v>0</v>
      </c>
    </row>
    <row r="1326" spans="1:12" ht="15">
      <c r="A1326" s="81" t="s">
        <v>3762</v>
      </c>
      <c r="B1326" s="80" t="s">
        <v>3763</v>
      </c>
      <c r="C1326" s="80">
        <v>2</v>
      </c>
      <c r="D1326" s="105">
        <v>0.010380344678068316</v>
      </c>
      <c r="E1326" s="105">
        <v>1.4313637641589874</v>
      </c>
      <c r="F1326" s="80" t="s">
        <v>3199</v>
      </c>
      <c r="G1326" s="80" t="b">
        <v>0</v>
      </c>
      <c r="H1326" s="80" t="b">
        <v>0</v>
      </c>
      <c r="I1326" s="80" t="b">
        <v>0</v>
      </c>
      <c r="J1326" s="80" t="b">
        <v>0</v>
      </c>
      <c r="K1326" s="80" t="b">
        <v>0</v>
      </c>
      <c r="L1326" s="80" t="b">
        <v>0</v>
      </c>
    </row>
    <row r="1327" spans="1:12" ht="15">
      <c r="A1327" s="81" t="s">
        <v>3763</v>
      </c>
      <c r="B1327" s="80" t="s">
        <v>3764</v>
      </c>
      <c r="C1327" s="80">
        <v>2</v>
      </c>
      <c r="D1327" s="105">
        <v>0.010380344678068316</v>
      </c>
      <c r="E1327" s="105">
        <v>1.4313637641589874</v>
      </c>
      <c r="F1327" s="80" t="s">
        <v>3199</v>
      </c>
      <c r="G1327" s="80" t="b">
        <v>0</v>
      </c>
      <c r="H1327" s="80" t="b">
        <v>0</v>
      </c>
      <c r="I1327" s="80" t="b">
        <v>0</v>
      </c>
      <c r="J1327" s="80" t="b">
        <v>0</v>
      </c>
      <c r="K1327" s="80" t="b">
        <v>0</v>
      </c>
      <c r="L1327" s="80" t="b">
        <v>0</v>
      </c>
    </row>
    <row r="1328" spans="1:12" ht="15">
      <c r="A1328" s="81" t="s">
        <v>3764</v>
      </c>
      <c r="B1328" s="80" t="s">
        <v>3290</v>
      </c>
      <c r="C1328" s="80">
        <v>2</v>
      </c>
      <c r="D1328" s="105">
        <v>0.010380344678068316</v>
      </c>
      <c r="E1328" s="105">
        <v>1.4313637641589874</v>
      </c>
      <c r="F1328" s="80" t="s">
        <v>3199</v>
      </c>
      <c r="G1328" s="80" t="b">
        <v>0</v>
      </c>
      <c r="H1328" s="80" t="b">
        <v>0</v>
      </c>
      <c r="I1328" s="80" t="b">
        <v>0</v>
      </c>
      <c r="J1328" s="80" t="b">
        <v>0</v>
      </c>
      <c r="K1328" s="80" t="b">
        <v>0</v>
      </c>
      <c r="L1328" s="80" t="b">
        <v>0</v>
      </c>
    </row>
    <row r="1329" spans="1:12" ht="15">
      <c r="A1329" s="81" t="s">
        <v>3290</v>
      </c>
      <c r="B1329" s="80" t="s">
        <v>3765</v>
      </c>
      <c r="C1329" s="80">
        <v>2</v>
      </c>
      <c r="D1329" s="105">
        <v>0.010380344678068316</v>
      </c>
      <c r="E1329" s="105">
        <v>1.4313637641589874</v>
      </c>
      <c r="F1329" s="80" t="s">
        <v>3199</v>
      </c>
      <c r="G1329" s="80" t="b">
        <v>0</v>
      </c>
      <c r="H1329" s="80" t="b">
        <v>0</v>
      </c>
      <c r="I1329" s="80" t="b">
        <v>0</v>
      </c>
      <c r="J1329" s="80" t="b">
        <v>0</v>
      </c>
      <c r="K1329" s="80" t="b">
        <v>0</v>
      </c>
      <c r="L1329" s="80" t="b">
        <v>0</v>
      </c>
    </row>
    <row r="1330" spans="1:12" ht="15">
      <c r="A1330" s="81" t="s">
        <v>3765</v>
      </c>
      <c r="B1330" s="80" t="s">
        <v>3766</v>
      </c>
      <c r="C1330" s="80">
        <v>2</v>
      </c>
      <c r="D1330" s="105">
        <v>0.010380344678068316</v>
      </c>
      <c r="E1330" s="105">
        <v>1.4313637641589874</v>
      </c>
      <c r="F1330" s="80" t="s">
        <v>3199</v>
      </c>
      <c r="G1330" s="80" t="b">
        <v>0</v>
      </c>
      <c r="H1330" s="80" t="b">
        <v>0</v>
      </c>
      <c r="I1330" s="80" t="b">
        <v>0</v>
      </c>
      <c r="J1330" s="80" t="b">
        <v>0</v>
      </c>
      <c r="K1330" s="80" t="b">
        <v>0</v>
      </c>
      <c r="L1330" s="80" t="b">
        <v>0</v>
      </c>
    </row>
    <row r="1331" spans="1:12" ht="15">
      <c r="A1331" s="81" t="s">
        <v>3766</v>
      </c>
      <c r="B1331" s="80" t="s">
        <v>3767</v>
      </c>
      <c r="C1331" s="80">
        <v>2</v>
      </c>
      <c r="D1331" s="105">
        <v>0.010380344678068316</v>
      </c>
      <c r="E1331" s="105">
        <v>1.4313637641589874</v>
      </c>
      <c r="F1331" s="80" t="s">
        <v>3199</v>
      </c>
      <c r="G1331" s="80" t="b">
        <v>0</v>
      </c>
      <c r="H1331" s="80" t="b">
        <v>0</v>
      </c>
      <c r="I1331" s="80" t="b">
        <v>0</v>
      </c>
      <c r="J1331" s="80" t="b">
        <v>0</v>
      </c>
      <c r="K1331" s="80" t="b">
        <v>0</v>
      </c>
      <c r="L1331" s="80" t="b">
        <v>0</v>
      </c>
    </row>
    <row r="1332" spans="1:12" ht="15">
      <c r="A1332" s="81" t="s">
        <v>3767</v>
      </c>
      <c r="B1332" s="80" t="s">
        <v>3260</v>
      </c>
      <c r="C1332" s="80">
        <v>2</v>
      </c>
      <c r="D1332" s="105">
        <v>0.010380344678068316</v>
      </c>
      <c r="E1332" s="105">
        <v>1.130333768495006</v>
      </c>
      <c r="F1332" s="80" t="s">
        <v>3199</v>
      </c>
      <c r="G1332" s="80" t="b">
        <v>0</v>
      </c>
      <c r="H1332" s="80" t="b">
        <v>0</v>
      </c>
      <c r="I1332" s="80" t="b">
        <v>0</v>
      </c>
      <c r="J1332" s="80" t="b">
        <v>0</v>
      </c>
      <c r="K1332" s="80" t="b">
        <v>0</v>
      </c>
      <c r="L1332" s="80" t="b">
        <v>0</v>
      </c>
    </row>
    <row r="1333" spans="1:12" ht="15">
      <c r="A1333" s="81" t="s">
        <v>3497</v>
      </c>
      <c r="B1333" s="80" t="s">
        <v>3312</v>
      </c>
      <c r="C1333" s="80">
        <v>4</v>
      </c>
      <c r="D1333" s="105">
        <v>0.004507442465490996</v>
      </c>
      <c r="E1333" s="105">
        <v>1.3064250275506875</v>
      </c>
      <c r="F1333" s="80" t="s">
        <v>3202</v>
      </c>
      <c r="G1333" s="80" t="b">
        <v>0</v>
      </c>
      <c r="H1333" s="80" t="b">
        <v>0</v>
      </c>
      <c r="I1333" s="80" t="b">
        <v>0</v>
      </c>
      <c r="J1333" s="80" t="b">
        <v>0</v>
      </c>
      <c r="K1333" s="80" t="b">
        <v>0</v>
      </c>
      <c r="L1333" s="80" t="b">
        <v>0</v>
      </c>
    </row>
    <row r="1334" spans="1:12" ht="15">
      <c r="A1334" s="81" t="s">
        <v>3312</v>
      </c>
      <c r="B1334" s="80" t="s">
        <v>3498</v>
      </c>
      <c r="C1334" s="80">
        <v>4</v>
      </c>
      <c r="D1334" s="105">
        <v>0.004507442465490996</v>
      </c>
      <c r="E1334" s="105">
        <v>1.3064250275506875</v>
      </c>
      <c r="F1334" s="80" t="s">
        <v>3202</v>
      </c>
      <c r="G1334" s="80" t="b">
        <v>0</v>
      </c>
      <c r="H1334" s="80" t="b">
        <v>0</v>
      </c>
      <c r="I1334" s="80" t="b">
        <v>0</v>
      </c>
      <c r="J1334" s="80" t="b">
        <v>0</v>
      </c>
      <c r="K1334" s="80" t="b">
        <v>0</v>
      </c>
      <c r="L1334" s="80" t="b">
        <v>0</v>
      </c>
    </row>
    <row r="1335" spans="1:12" ht="15">
      <c r="A1335" s="81" t="s">
        <v>3498</v>
      </c>
      <c r="B1335" s="80" t="s">
        <v>3499</v>
      </c>
      <c r="C1335" s="80">
        <v>4</v>
      </c>
      <c r="D1335" s="105">
        <v>0.004507442465490996</v>
      </c>
      <c r="E1335" s="105">
        <v>1.3064250275506875</v>
      </c>
      <c r="F1335" s="80" t="s">
        <v>3202</v>
      </c>
      <c r="G1335" s="80" t="b">
        <v>0</v>
      </c>
      <c r="H1335" s="80" t="b">
        <v>0</v>
      </c>
      <c r="I1335" s="80" t="b">
        <v>0</v>
      </c>
      <c r="J1335" s="80" t="b">
        <v>0</v>
      </c>
      <c r="K1335" s="80" t="b">
        <v>0</v>
      </c>
      <c r="L1335" s="80" t="b">
        <v>0</v>
      </c>
    </row>
    <row r="1336" spans="1:12" ht="15">
      <c r="A1336" s="81" t="s">
        <v>3499</v>
      </c>
      <c r="B1336" s="80" t="s">
        <v>3500</v>
      </c>
      <c r="C1336" s="80">
        <v>4</v>
      </c>
      <c r="D1336" s="105">
        <v>0.004507442465490996</v>
      </c>
      <c r="E1336" s="105">
        <v>1.3064250275506875</v>
      </c>
      <c r="F1336" s="80" t="s">
        <v>3202</v>
      </c>
      <c r="G1336" s="80" t="b">
        <v>0</v>
      </c>
      <c r="H1336" s="80" t="b">
        <v>0</v>
      </c>
      <c r="I1336" s="80" t="b">
        <v>0</v>
      </c>
      <c r="J1336" s="80" t="b">
        <v>0</v>
      </c>
      <c r="K1336" s="80" t="b">
        <v>0</v>
      </c>
      <c r="L1336" s="80" t="b">
        <v>0</v>
      </c>
    </row>
    <row r="1337" spans="1:12" ht="15">
      <c r="A1337" s="81" t="s">
        <v>3500</v>
      </c>
      <c r="B1337" s="80" t="s">
        <v>3501</v>
      </c>
      <c r="C1337" s="80">
        <v>4</v>
      </c>
      <c r="D1337" s="105">
        <v>0.004507442465490996</v>
      </c>
      <c r="E1337" s="105">
        <v>1.3064250275506875</v>
      </c>
      <c r="F1337" s="80" t="s">
        <v>3202</v>
      </c>
      <c r="G1337" s="80" t="b">
        <v>0</v>
      </c>
      <c r="H1337" s="80" t="b">
        <v>0</v>
      </c>
      <c r="I1337" s="80" t="b">
        <v>0</v>
      </c>
      <c r="J1337" s="80" t="b">
        <v>0</v>
      </c>
      <c r="K1337" s="80" t="b">
        <v>0</v>
      </c>
      <c r="L1337" s="80" t="b">
        <v>0</v>
      </c>
    </row>
    <row r="1338" spans="1:12" ht="15">
      <c r="A1338" s="81" t="s">
        <v>3501</v>
      </c>
      <c r="B1338" s="80" t="s">
        <v>3502</v>
      </c>
      <c r="C1338" s="80">
        <v>4</v>
      </c>
      <c r="D1338" s="105">
        <v>0.004507442465490996</v>
      </c>
      <c r="E1338" s="105">
        <v>1.3064250275506875</v>
      </c>
      <c r="F1338" s="80" t="s">
        <v>3202</v>
      </c>
      <c r="G1338" s="80" t="b">
        <v>0</v>
      </c>
      <c r="H1338" s="80" t="b">
        <v>0</v>
      </c>
      <c r="I1338" s="80" t="b">
        <v>0</v>
      </c>
      <c r="J1338" s="80" t="b">
        <v>0</v>
      </c>
      <c r="K1338" s="80" t="b">
        <v>0</v>
      </c>
      <c r="L1338" s="80" t="b">
        <v>0</v>
      </c>
    </row>
    <row r="1339" spans="1:12" ht="15">
      <c r="A1339" s="81" t="s">
        <v>3502</v>
      </c>
      <c r="B1339" s="80" t="s">
        <v>3375</v>
      </c>
      <c r="C1339" s="80">
        <v>4</v>
      </c>
      <c r="D1339" s="105">
        <v>0.004507442465490996</v>
      </c>
      <c r="E1339" s="105">
        <v>1.3064250275506875</v>
      </c>
      <c r="F1339" s="80" t="s">
        <v>3202</v>
      </c>
      <c r="G1339" s="80" t="b">
        <v>0</v>
      </c>
      <c r="H1339" s="80" t="b">
        <v>0</v>
      </c>
      <c r="I1339" s="80" t="b">
        <v>0</v>
      </c>
      <c r="J1339" s="80" t="b">
        <v>0</v>
      </c>
      <c r="K1339" s="80" t="b">
        <v>0</v>
      </c>
      <c r="L1339" s="80" t="b">
        <v>0</v>
      </c>
    </row>
    <row r="1340" spans="1:12" ht="15">
      <c r="A1340" s="81" t="s">
        <v>3375</v>
      </c>
      <c r="B1340" s="80" t="s">
        <v>3400</v>
      </c>
      <c r="C1340" s="80">
        <v>4</v>
      </c>
      <c r="D1340" s="105">
        <v>0.004507442465490996</v>
      </c>
      <c r="E1340" s="105">
        <v>1.3064250275506875</v>
      </c>
      <c r="F1340" s="80" t="s">
        <v>3202</v>
      </c>
      <c r="G1340" s="80" t="b">
        <v>0</v>
      </c>
      <c r="H1340" s="80" t="b">
        <v>0</v>
      </c>
      <c r="I1340" s="80" t="b">
        <v>0</v>
      </c>
      <c r="J1340" s="80" t="b">
        <v>0</v>
      </c>
      <c r="K1340" s="80" t="b">
        <v>0</v>
      </c>
      <c r="L1340" s="80" t="b">
        <v>0</v>
      </c>
    </row>
    <row r="1341" spans="1:12" ht="15">
      <c r="A1341" s="81" t="s">
        <v>3400</v>
      </c>
      <c r="B1341" s="80" t="s">
        <v>3503</v>
      </c>
      <c r="C1341" s="80">
        <v>4</v>
      </c>
      <c r="D1341" s="105">
        <v>0.004507442465490996</v>
      </c>
      <c r="E1341" s="105">
        <v>1.3064250275506875</v>
      </c>
      <c r="F1341" s="80" t="s">
        <v>3202</v>
      </c>
      <c r="G1341" s="80" t="b">
        <v>0</v>
      </c>
      <c r="H1341" s="80" t="b">
        <v>0</v>
      </c>
      <c r="I1341" s="80" t="b">
        <v>0</v>
      </c>
      <c r="J1341" s="80" t="b">
        <v>0</v>
      </c>
      <c r="K1341" s="80" t="b">
        <v>0</v>
      </c>
      <c r="L1341" s="80" t="b">
        <v>0</v>
      </c>
    </row>
    <row r="1342" spans="1:12" ht="15">
      <c r="A1342" s="81" t="s">
        <v>3503</v>
      </c>
      <c r="B1342" s="80" t="s">
        <v>3504</v>
      </c>
      <c r="C1342" s="80">
        <v>4</v>
      </c>
      <c r="D1342" s="105">
        <v>0.004507442465490996</v>
      </c>
      <c r="E1342" s="105">
        <v>1.3064250275506875</v>
      </c>
      <c r="F1342" s="80" t="s">
        <v>3202</v>
      </c>
      <c r="G1342" s="80" t="b">
        <v>0</v>
      </c>
      <c r="H1342" s="80" t="b">
        <v>0</v>
      </c>
      <c r="I1342" s="80" t="b">
        <v>0</v>
      </c>
      <c r="J1342" s="80" t="b">
        <v>0</v>
      </c>
      <c r="K1342" s="80" t="b">
        <v>0</v>
      </c>
      <c r="L1342" s="80" t="b">
        <v>0</v>
      </c>
    </row>
    <row r="1343" spans="1:12" ht="15">
      <c r="A1343" s="81" t="s">
        <v>3504</v>
      </c>
      <c r="B1343" s="80" t="s">
        <v>3505</v>
      </c>
      <c r="C1343" s="80">
        <v>4</v>
      </c>
      <c r="D1343" s="105">
        <v>0.004507442465490996</v>
      </c>
      <c r="E1343" s="105">
        <v>1.3064250275506875</v>
      </c>
      <c r="F1343" s="80" t="s">
        <v>3202</v>
      </c>
      <c r="G1343" s="80" t="b">
        <v>0</v>
      </c>
      <c r="H1343" s="80" t="b">
        <v>0</v>
      </c>
      <c r="I1343" s="80" t="b">
        <v>0</v>
      </c>
      <c r="J1343" s="80" t="b">
        <v>0</v>
      </c>
      <c r="K1343" s="80" t="b">
        <v>0</v>
      </c>
      <c r="L1343" s="80" t="b">
        <v>0</v>
      </c>
    </row>
    <row r="1344" spans="1:12" ht="15">
      <c r="A1344" s="81" t="s">
        <v>3505</v>
      </c>
      <c r="B1344" s="80" t="s">
        <v>3506</v>
      </c>
      <c r="C1344" s="80">
        <v>4</v>
      </c>
      <c r="D1344" s="105">
        <v>0.004507442465490996</v>
      </c>
      <c r="E1344" s="105">
        <v>1.3064250275506875</v>
      </c>
      <c r="F1344" s="80" t="s">
        <v>3202</v>
      </c>
      <c r="G1344" s="80" t="b">
        <v>0</v>
      </c>
      <c r="H1344" s="80" t="b">
        <v>0</v>
      </c>
      <c r="I1344" s="80" t="b">
        <v>0</v>
      </c>
      <c r="J1344" s="80" t="b">
        <v>0</v>
      </c>
      <c r="K1344" s="80" t="b">
        <v>0</v>
      </c>
      <c r="L1344" s="80" t="b">
        <v>0</v>
      </c>
    </row>
    <row r="1345" spans="1:12" ht="15">
      <c r="A1345" s="81" t="s">
        <v>3506</v>
      </c>
      <c r="B1345" s="80" t="s">
        <v>3507</v>
      </c>
      <c r="C1345" s="80">
        <v>4</v>
      </c>
      <c r="D1345" s="105">
        <v>0.004507442465490996</v>
      </c>
      <c r="E1345" s="105">
        <v>1.3064250275506875</v>
      </c>
      <c r="F1345" s="80" t="s">
        <v>3202</v>
      </c>
      <c r="G1345" s="80" t="b">
        <v>0</v>
      </c>
      <c r="H1345" s="80" t="b">
        <v>0</v>
      </c>
      <c r="I1345" s="80" t="b">
        <v>0</v>
      </c>
      <c r="J1345" s="80" t="b">
        <v>0</v>
      </c>
      <c r="K1345" s="80" t="b">
        <v>0</v>
      </c>
      <c r="L1345" s="80" t="b">
        <v>0</v>
      </c>
    </row>
    <row r="1346" spans="1:12" ht="15">
      <c r="A1346" s="81" t="s">
        <v>3507</v>
      </c>
      <c r="B1346" s="80" t="s">
        <v>3508</v>
      </c>
      <c r="C1346" s="80">
        <v>4</v>
      </c>
      <c r="D1346" s="105">
        <v>0.004507442465490996</v>
      </c>
      <c r="E1346" s="105">
        <v>1.3064250275506875</v>
      </c>
      <c r="F1346" s="80" t="s">
        <v>3202</v>
      </c>
      <c r="G1346" s="80" t="b">
        <v>0</v>
      </c>
      <c r="H1346" s="80" t="b">
        <v>0</v>
      </c>
      <c r="I1346" s="80" t="b">
        <v>0</v>
      </c>
      <c r="J1346" s="80" t="b">
        <v>0</v>
      </c>
      <c r="K1346" s="80" t="b">
        <v>0</v>
      </c>
      <c r="L1346" s="80" t="b">
        <v>0</v>
      </c>
    </row>
    <row r="1347" spans="1:12" ht="15">
      <c r="A1347" s="81" t="s">
        <v>3508</v>
      </c>
      <c r="B1347" s="80" t="s">
        <v>3509</v>
      </c>
      <c r="C1347" s="80">
        <v>4</v>
      </c>
      <c r="D1347" s="105">
        <v>0.004507442465490996</v>
      </c>
      <c r="E1347" s="105">
        <v>1.3064250275506875</v>
      </c>
      <c r="F1347" s="80" t="s">
        <v>3202</v>
      </c>
      <c r="G1347" s="80" t="b">
        <v>0</v>
      </c>
      <c r="H1347" s="80" t="b">
        <v>0</v>
      </c>
      <c r="I1347" s="80" t="b">
        <v>0</v>
      </c>
      <c r="J1347" s="80" t="b">
        <v>0</v>
      </c>
      <c r="K1347" s="80" t="b">
        <v>0</v>
      </c>
      <c r="L1347" s="80" t="b">
        <v>0</v>
      </c>
    </row>
    <row r="1348" spans="1:12" ht="15">
      <c r="A1348" s="81" t="s">
        <v>3509</v>
      </c>
      <c r="B1348" s="80" t="s">
        <v>3510</v>
      </c>
      <c r="C1348" s="80">
        <v>4</v>
      </c>
      <c r="D1348" s="105">
        <v>0.004507442465490996</v>
      </c>
      <c r="E1348" s="105">
        <v>1.3064250275506875</v>
      </c>
      <c r="F1348" s="80" t="s">
        <v>3202</v>
      </c>
      <c r="G1348" s="80" t="b">
        <v>0</v>
      </c>
      <c r="H1348" s="80" t="b">
        <v>0</v>
      </c>
      <c r="I1348" s="80" t="b">
        <v>0</v>
      </c>
      <c r="J1348" s="80" t="b">
        <v>0</v>
      </c>
      <c r="K1348" s="80" t="b">
        <v>0</v>
      </c>
      <c r="L1348" s="80" t="b">
        <v>0</v>
      </c>
    </row>
    <row r="1349" spans="1:12" ht="15">
      <c r="A1349" s="81" t="s">
        <v>3510</v>
      </c>
      <c r="B1349" s="80" t="s">
        <v>3511</v>
      </c>
      <c r="C1349" s="80">
        <v>4</v>
      </c>
      <c r="D1349" s="105">
        <v>0.004507442465490996</v>
      </c>
      <c r="E1349" s="105">
        <v>1.3064250275506875</v>
      </c>
      <c r="F1349" s="80" t="s">
        <v>3202</v>
      </c>
      <c r="G1349" s="80" t="b">
        <v>0</v>
      </c>
      <c r="H1349" s="80" t="b">
        <v>0</v>
      </c>
      <c r="I1349" s="80" t="b">
        <v>0</v>
      </c>
      <c r="J1349" s="80" t="b">
        <v>0</v>
      </c>
      <c r="K1349" s="80" t="b">
        <v>0</v>
      </c>
      <c r="L1349" s="80" t="b">
        <v>0</v>
      </c>
    </row>
    <row r="1350" spans="1:12" ht="15">
      <c r="A1350" s="81" t="s">
        <v>3511</v>
      </c>
      <c r="B1350" s="80" t="s">
        <v>3512</v>
      </c>
      <c r="C1350" s="80">
        <v>4</v>
      </c>
      <c r="D1350" s="105">
        <v>0.004507442465490996</v>
      </c>
      <c r="E1350" s="105">
        <v>1.3064250275506875</v>
      </c>
      <c r="F1350" s="80" t="s">
        <v>3202</v>
      </c>
      <c r="G1350" s="80" t="b">
        <v>0</v>
      </c>
      <c r="H1350" s="80" t="b">
        <v>0</v>
      </c>
      <c r="I1350" s="80" t="b">
        <v>0</v>
      </c>
      <c r="J1350" s="80" t="b">
        <v>0</v>
      </c>
      <c r="K1350" s="80" t="b">
        <v>0</v>
      </c>
      <c r="L1350" s="80" t="b">
        <v>0</v>
      </c>
    </row>
    <row r="1351" spans="1:12" ht="15">
      <c r="A1351" s="81" t="s">
        <v>3512</v>
      </c>
      <c r="B1351" s="80" t="s">
        <v>3260</v>
      </c>
      <c r="C1351" s="80">
        <v>4</v>
      </c>
      <c r="D1351" s="105">
        <v>0.004507442465490996</v>
      </c>
      <c r="E1351" s="105">
        <v>1.209515014542631</v>
      </c>
      <c r="F1351" s="80" t="s">
        <v>3202</v>
      </c>
      <c r="G1351" s="80" t="b">
        <v>0</v>
      </c>
      <c r="H1351" s="80" t="b">
        <v>0</v>
      </c>
      <c r="I1351" s="80" t="b">
        <v>0</v>
      </c>
      <c r="J1351" s="80" t="b">
        <v>0</v>
      </c>
      <c r="K1351" s="80" t="b">
        <v>0</v>
      </c>
      <c r="L1351" s="80" t="b">
        <v>0</v>
      </c>
    </row>
    <row r="1352" spans="1:12" ht="15">
      <c r="A1352" s="81" t="s">
        <v>3410</v>
      </c>
      <c r="B1352" s="80" t="s">
        <v>3409</v>
      </c>
      <c r="C1352" s="80">
        <v>4</v>
      </c>
      <c r="D1352" s="105">
        <v>0</v>
      </c>
      <c r="E1352" s="105">
        <v>1.2041199826559248</v>
      </c>
      <c r="F1352" s="80" t="s">
        <v>3203</v>
      </c>
      <c r="G1352" s="80" t="b">
        <v>0</v>
      </c>
      <c r="H1352" s="80" t="b">
        <v>0</v>
      </c>
      <c r="I1352" s="80" t="b">
        <v>0</v>
      </c>
      <c r="J1352" s="80" t="b">
        <v>0</v>
      </c>
      <c r="K1352" s="80" t="b">
        <v>0</v>
      </c>
      <c r="L1352" s="80" t="b">
        <v>0</v>
      </c>
    </row>
    <row r="1353" spans="1:12" ht="15">
      <c r="A1353" s="81" t="s">
        <v>3409</v>
      </c>
      <c r="B1353" s="80" t="s">
        <v>3513</v>
      </c>
      <c r="C1353" s="80">
        <v>4</v>
      </c>
      <c r="D1353" s="105">
        <v>0</v>
      </c>
      <c r="E1353" s="105">
        <v>1.2041199826559248</v>
      </c>
      <c r="F1353" s="80" t="s">
        <v>3203</v>
      </c>
      <c r="G1353" s="80" t="b">
        <v>0</v>
      </c>
      <c r="H1353" s="80" t="b">
        <v>0</v>
      </c>
      <c r="I1353" s="80" t="b">
        <v>0</v>
      </c>
      <c r="J1353" s="80" t="b">
        <v>0</v>
      </c>
      <c r="K1353" s="80" t="b">
        <v>0</v>
      </c>
      <c r="L1353" s="80" t="b">
        <v>0</v>
      </c>
    </row>
    <row r="1354" spans="1:12" ht="15">
      <c r="A1354" s="81" t="s">
        <v>3513</v>
      </c>
      <c r="B1354" s="80" t="s">
        <v>3341</v>
      </c>
      <c r="C1354" s="80">
        <v>4</v>
      </c>
      <c r="D1354" s="105">
        <v>0</v>
      </c>
      <c r="E1354" s="105">
        <v>1.2041199826559248</v>
      </c>
      <c r="F1354" s="80" t="s">
        <v>3203</v>
      </c>
      <c r="G1354" s="80" t="b">
        <v>0</v>
      </c>
      <c r="H1354" s="80" t="b">
        <v>0</v>
      </c>
      <c r="I1354" s="80" t="b">
        <v>0</v>
      </c>
      <c r="J1354" s="80" t="b">
        <v>0</v>
      </c>
      <c r="K1354" s="80" t="b">
        <v>0</v>
      </c>
      <c r="L1354" s="80" t="b">
        <v>0</v>
      </c>
    </row>
    <row r="1355" spans="1:12" ht="15">
      <c r="A1355" s="81" t="s">
        <v>3341</v>
      </c>
      <c r="B1355" s="80" t="s">
        <v>3514</v>
      </c>
      <c r="C1355" s="80">
        <v>4</v>
      </c>
      <c r="D1355" s="105">
        <v>0</v>
      </c>
      <c r="E1355" s="105">
        <v>1.2041199826559248</v>
      </c>
      <c r="F1355" s="80" t="s">
        <v>3203</v>
      </c>
      <c r="G1355" s="80" t="b">
        <v>0</v>
      </c>
      <c r="H1355" s="80" t="b">
        <v>0</v>
      </c>
      <c r="I1355" s="80" t="b">
        <v>0</v>
      </c>
      <c r="J1355" s="80" t="b">
        <v>0</v>
      </c>
      <c r="K1355" s="80" t="b">
        <v>0</v>
      </c>
      <c r="L1355" s="80" t="b">
        <v>0</v>
      </c>
    </row>
    <row r="1356" spans="1:12" ht="15">
      <c r="A1356" s="81" t="s">
        <v>3514</v>
      </c>
      <c r="B1356" s="80" t="s">
        <v>3515</v>
      </c>
      <c r="C1356" s="80">
        <v>4</v>
      </c>
      <c r="D1356" s="105">
        <v>0</v>
      </c>
      <c r="E1356" s="105">
        <v>1.2041199826559248</v>
      </c>
      <c r="F1356" s="80" t="s">
        <v>3203</v>
      </c>
      <c r="G1356" s="80" t="b">
        <v>0</v>
      </c>
      <c r="H1356" s="80" t="b">
        <v>0</v>
      </c>
      <c r="I1356" s="80" t="b">
        <v>0</v>
      </c>
      <c r="J1356" s="80" t="b">
        <v>0</v>
      </c>
      <c r="K1356" s="80" t="b">
        <v>0</v>
      </c>
      <c r="L1356" s="80" t="b">
        <v>0</v>
      </c>
    </row>
    <row r="1357" spans="1:12" ht="15">
      <c r="A1357" s="81" t="s">
        <v>3515</v>
      </c>
      <c r="B1357" s="80" t="s">
        <v>3516</v>
      </c>
      <c r="C1357" s="80">
        <v>4</v>
      </c>
      <c r="D1357" s="105">
        <v>0</v>
      </c>
      <c r="E1357" s="105">
        <v>1.2041199826559248</v>
      </c>
      <c r="F1357" s="80" t="s">
        <v>3203</v>
      </c>
      <c r="G1357" s="80" t="b">
        <v>0</v>
      </c>
      <c r="H1357" s="80" t="b">
        <v>0</v>
      </c>
      <c r="I1357" s="80" t="b">
        <v>0</v>
      </c>
      <c r="J1357" s="80" t="b">
        <v>0</v>
      </c>
      <c r="K1357" s="80" t="b">
        <v>0</v>
      </c>
      <c r="L1357" s="80" t="b">
        <v>0</v>
      </c>
    </row>
    <row r="1358" spans="1:12" ht="15">
      <c r="A1358" s="81" t="s">
        <v>3516</v>
      </c>
      <c r="B1358" s="80" t="s">
        <v>3517</v>
      </c>
      <c r="C1358" s="80">
        <v>4</v>
      </c>
      <c r="D1358" s="105">
        <v>0</v>
      </c>
      <c r="E1358" s="105">
        <v>1.2041199826559248</v>
      </c>
      <c r="F1358" s="80" t="s">
        <v>3203</v>
      </c>
      <c r="G1358" s="80" t="b">
        <v>0</v>
      </c>
      <c r="H1358" s="80" t="b">
        <v>0</v>
      </c>
      <c r="I1358" s="80" t="b">
        <v>0</v>
      </c>
      <c r="J1358" s="80" t="b">
        <v>0</v>
      </c>
      <c r="K1358" s="80" t="b">
        <v>0</v>
      </c>
      <c r="L1358" s="80" t="b">
        <v>0</v>
      </c>
    </row>
    <row r="1359" spans="1:12" ht="15">
      <c r="A1359" s="81" t="s">
        <v>3517</v>
      </c>
      <c r="B1359" s="80" t="s">
        <v>3518</v>
      </c>
      <c r="C1359" s="80">
        <v>4</v>
      </c>
      <c r="D1359" s="105">
        <v>0</v>
      </c>
      <c r="E1359" s="105">
        <v>1.2041199826559248</v>
      </c>
      <c r="F1359" s="80" t="s">
        <v>3203</v>
      </c>
      <c r="G1359" s="80" t="b">
        <v>0</v>
      </c>
      <c r="H1359" s="80" t="b">
        <v>0</v>
      </c>
      <c r="I1359" s="80" t="b">
        <v>0</v>
      </c>
      <c r="J1359" s="80" t="b">
        <v>0</v>
      </c>
      <c r="K1359" s="80" t="b">
        <v>0</v>
      </c>
      <c r="L1359" s="80" t="b">
        <v>0</v>
      </c>
    </row>
    <row r="1360" spans="1:12" ht="15">
      <c r="A1360" s="81" t="s">
        <v>3518</v>
      </c>
      <c r="B1360" s="80" t="s">
        <v>3319</v>
      </c>
      <c r="C1360" s="80">
        <v>4</v>
      </c>
      <c r="D1360" s="105">
        <v>0</v>
      </c>
      <c r="E1360" s="105">
        <v>1.2041199826559248</v>
      </c>
      <c r="F1360" s="80" t="s">
        <v>3203</v>
      </c>
      <c r="G1360" s="80" t="b">
        <v>0</v>
      </c>
      <c r="H1360" s="80" t="b">
        <v>0</v>
      </c>
      <c r="I1360" s="80" t="b">
        <v>0</v>
      </c>
      <c r="J1360" s="80" t="b">
        <v>0</v>
      </c>
      <c r="K1360" s="80" t="b">
        <v>0</v>
      </c>
      <c r="L1360" s="80" t="b">
        <v>0</v>
      </c>
    </row>
    <row r="1361" spans="1:12" ht="15">
      <c r="A1361" s="81" t="s">
        <v>3319</v>
      </c>
      <c r="B1361" s="80" t="s">
        <v>3519</v>
      </c>
      <c r="C1361" s="80">
        <v>4</v>
      </c>
      <c r="D1361" s="105">
        <v>0</v>
      </c>
      <c r="E1361" s="105">
        <v>1.2041199826559248</v>
      </c>
      <c r="F1361" s="80" t="s">
        <v>3203</v>
      </c>
      <c r="G1361" s="80" t="b">
        <v>0</v>
      </c>
      <c r="H1361" s="80" t="b">
        <v>0</v>
      </c>
      <c r="I1361" s="80" t="b">
        <v>0</v>
      </c>
      <c r="J1361" s="80" t="b">
        <v>0</v>
      </c>
      <c r="K1361" s="80" t="b">
        <v>0</v>
      </c>
      <c r="L1361" s="80" t="b">
        <v>0</v>
      </c>
    </row>
    <row r="1362" spans="1:12" ht="15">
      <c r="A1362" s="81" t="s">
        <v>3519</v>
      </c>
      <c r="B1362" s="80" t="s">
        <v>3520</v>
      </c>
      <c r="C1362" s="80">
        <v>4</v>
      </c>
      <c r="D1362" s="105">
        <v>0</v>
      </c>
      <c r="E1362" s="105">
        <v>1.2041199826559248</v>
      </c>
      <c r="F1362" s="80" t="s">
        <v>3203</v>
      </c>
      <c r="G1362" s="80" t="b">
        <v>0</v>
      </c>
      <c r="H1362" s="80" t="b">
        <v>0</v>
      </c>
      <c r="I1362" s="80" t="b">
        <v>0</v>
      </c>
      <c r="J1362" s="80" t="b">
        <v>0</v>
      </c>
      <c r="K1362" s="80" t="b">
        <v>0</v>
      </c>
      <c r="L1362" s="80" t="b">
        <v>0</v>
      </c>
    </row>
    <row r="1363" spans="1:12" ht="15">
      <c r="A1363" s="81" t="s">
        <v>3520</v>
      </c>
      <c r="B1363" s="80" t="s">
        <v>3521</v>
      </c>
      <c r="C1363" s="80">
        <v>4</v>
      </c>
      <c r="D1363" s="105">
        <v>0</v>
      </c>
      <c r="E1363" s="105">
        <v>1.2041199826559248</v>
      </c>
      <c r="F1363" s="80" t="s">
        <v>3203</v>
      </c>
      <c r="G1363" s="80" t="b">
        <v>0</v>
      </c>
      <c r="H1363" s="80" t="b">
        <v>0</v>
      </c>
      <c r="I1363" s="80" t="b">
        <v>0</v>
      </c>
      <c r="J1363" s="80" t="b">
        <v>0</v>
      </c>
      <c r="K1363" s="80" t="b">
        <v>0</v>
      </c>
      <c r="L1363" s="80" t="b">
        <v>0</v>
      </c>
    </row>
    <row r="1364" spans="1:12" ht="15">
      <c r="A1364" s="81" t="s">
        <v>3521</v>
      </c>
      <c r="B1364" s="80" t="s">
        <v>3522</v>
      </c>
      <c r="C1364" s="80">
        <v>4</v>
      </c>
      <c r="D1364" s="105">
        <v>0</v>
      </c>
      <c r="E1364" s="105">
        <v>1.2041199826559248</v>
      </c>
      <c r="F1364" s="80" t="s">
        <v>3203</v>
      </c>
      <c r="G1364" s="80" t="b">
        <v>0</v>
      </c>
      <c r="H1364" s="80" t="b">
        <v>0</v>
      </c>
      <c r="I1364" s="80" t="b">
        <v>0</v>
      </c>
      <c r="J1364" s="80" t="b">
        <v>0</v>
      </c>
      <c r="K1364" s="80" t="b">
        <v>0</v>
      </c>
      <c r="L1364" s="80" t="b">
        <v>0</v>
      </c>
    </row>
    <row r="1365" spans="1:12" ht="15">
      <c r="A1365" s="81" t="s">
        <v>3522</v>
      </c>
      <c r="B1365" s="80" t="s">
        <v>3523</v>
      </c>
      <c r="C1365" s="80">
        <v>4</v>
      </c>
      <c r="D1365" s="105">
        <v>0</v>
      </c>
      <c r="E1365" s="105">
        <v>1.2041199826559248</v>
      </c>
      <c r="F1365" s="80" t="s">
        <v>3203</v>
      </c>
      <c r="G1365" s="80" t="b">
        <v>0</v>
      </c>
      <c r="H1365" s="80" t="b">
        <v>0</v>
      </c>
      <c r="I1365" s="80" t="b">
        <v>0</v>
      </c>
      <c r="J1365" s="80" t="b">
        <v>0</v>
      </c>
      <c r="K1365" s="80" t="b">
        <v>0</v>
      </c>
      <c r="L1365" s="80" t="b">
        <v>0</v>
      </c>
    </row>
    <row r="1366" spans="1:12" ht="15">
      <c r="A1366" s="81" t="s">
        <v>3523</v>
      </c>
      <c r="B1366" s="80" t="s">
        <v>3261</v>
      </c>
      <c r="C1366" s="80">
        <v>4</v>
      </c>
      <c r="D1366" s="105">
        <v>0</v>
      </c>
      <c r="E1366" s="105">
        <v>1.2041199826559248</v>
      </c>
      <c r="F1366" s="80" t="s">
        <v>3203</v>
      </c>
      <c r="G1366" s="80" t="b">
        <v>0</v>
      </c>
      <c r="H1366" s="80" t="b">
        <v>0</v>
      </c>
      <c r="I1366" s="80" t="b">
        <v>0</v>
      </c>
      <c r="J1366" s="80" t="b">
        <v>0</v>
      </c>
      <c r="K1366" s="80" t="b">
        <v>0</v>
      </c>
      <c r="L1366" s="80" t="b">
        <v>0</v>
      </c>
    </row>
    <row r="1367" spans="1:12" ht="15">
      <c r="A1367" s="81" t="s">
        <v>3261</v>
      </c>
      <c r="B1367" s="80" t="s">
        <v>3260</v>
      </c>
      <c r="C1367" s="80">
        <v>4</v>
      </c>
      <c r="D1367" s="105">
        <v>0</v>
      </c>
      <c r="E1367" s="105">
        <v>1.2041199826559248</v>
      </c>
      <c r="F1367" s="80" t="s">
        <v>3203</v>
      </c>
      <c r="G1367" s="80" t="b">
        <v>0</v>
      </c>
      <c r="H1367" s="80" t="b">
        <v>0</v>
      </c>
      <c r="I1367" s="80" t="b">
        <v>0</v>
      </c>
      <c r="J1367" s="80" t="b">
        <v>0</v>
      </c>
      <c r="K1367" s="80" t="b">
        <v>0</v>
      </c>
      <c r="L1367" s="80" t="b">
        <v>0</v>
      </c>
    </row>
    <row r="1368" spans="1:12" ht="15">
      <c r="A1368" s="81" t="s">
        <v>461</v>
      </c>
      <c r="B1368" s="80" t="s">
        <v>3850</v>
      </c>
      <c r="C1368" s="80">
        <v>2</v>
      </c>
      <c r="D1368" s="105">
        <v>0</v>
      </c>
      <c r="E1368" s="105">
        <v>1.0413926851582251</v>
      </c>
      <c r="F1368" s="80" t="s">
        <v>3213</v>
      </c>
      <c r="G1368" s="80" t="b">
        <v>0</v>
      </c>
      <c r="H1368" s="80" t="b">
        <v>0</v>
      </c>
      <c r="I1368" s="80" t="b">
        <v>0</v>
      </c>
      <c r="J1368" s="80" t="b">
        <v>0</v>
      </c>
      <c r="K1368" s="80" t="b">
        <v>0</v>
      </c>
      <c r="L1368" s="80" t="b">
        <v>0</v>
      </c>
    </row>
    <row r="1369" spans="1:12" ht="15">
      <c r="A1369" s="81" t="s">
        <v>3850</v>
      </c>
      <c r="B1369" s="80" t="s">
        <v>3851</v>
      </c>
      <c r="C1369" s="80">
        <v>2</v>
      </c>
      <c r="D1369" s="105">
        <v>0</v>
      </c>
      <c r="E1369" s="105">
        <v>1.0413926851582251</v>
      </c>
      <c r="F1369" s="80" t="s">
        <v>3213</v>
      </c>
      <c r="G1369" s="80" t="b">
        <v>0</v>
      </c>
      <c r="H1369" s="80" t="b">
        <v>0</v>
      </c>
      <c r="I1369" s="80" t="b">
        <v>0</v>
      </c>
      <c r="J1369" s="80" t="b">
        <v>0</v>
      </c>
      <c r="K1369" s="80" t="b">
        <v>0</v>
      </c>
      <c r="L1369" s="80" t="b">
        <v>0</v>
      </c>
    </row>
    <row r="1370" spans="1:12" ht="15">
      <c r="A1370" s="81" t="s">
        <v>3851</v>
      </c>
      <c r="B1370" s="80" t="s">
        <v>3852</v>
      </c>
      <c r="C1370" s="80">
        <v>2</v>
      </c>
      <c r="D1370" s="105">
        <v>0</v>
      </c>
      <c r="E1370" s="105">
        <v>1.0413926851582251</v>
      </c>
      <c r="F1370" s="80" t="s">
        <v>3213</v>
      </c>
      <c r="G1370" s="80" t="b">
        <v>0</v>
      </c>
      <c r="H1370" s="80" t="b">
        <v>0</v>
      </c>
      <c r="I1370" s="80" t="b">
        <v>0</v>
      </c>
      <c r="J1370" s="80" t="b">
        <v>0</v>
      </c>
      <c r="K1370" s="80" t="b">
        <v>0</v>
      </c>
      <c r="L1370" s="80" t="b">
        <v>0</v>
      </c>
    </row>
    <row r="1371" spans="1:12" ht="15">
      <c r="A1371" s="81" t="s">
        <v>3852</v>
      </c>
      <c r="B1371" s="80" t="s">
        <v>3853</v>
      </c>
      <c r="C1371" s="80">
        <v>2</v>
      </c>
      <c r="D1371" s="105">
        <v>0</v>
      </c>
      <c r="E1371" s="105">
        <v>1.0413926851582251</v>
      </c>
      <c r="F1371" s="80" t="s">
        <v>3213</v>
      </c>
      <c r="G1371" s="80" t="b">
        <v>0</v>
      </c>
      <c r="H1371" s="80" t="b">
        <v>0</v>
      </c>
      <c r="I1371" s="80" t="b">
        <v>0</v>
      </c>
      <c r="J1371" s="80" t="b">
        <v>0</v>
      </c>
      <c r="K1371" s="80" t="b">
        <v>0</v>
      </c>
      <c r="L1371" s="80" t="b">
        <v>0</v>
      </c>
    </row>
    <row r="1372" spans="1:12" ht="15">
      <c r="A1372" s="81" t="s">
        <v>3853</v>
      </c>
      <c r="B1372" s="80" t="s">
        <v>3854</v>
      </c>
      <c r="C1372" s="80">
        <v>2</v>
      </c>
      <c r="D1372" s="105">
        <v>0</v>
      </c>
      <c r="E1372" s="105">
        <v>1.0413926851582251</v>
      </c>
      <c r="F1372" s="80" t="s">
        <v>3213</v>
      </c>
      <c r="G1372" s="80" t="b">
        <v>0</v>
      </c>
      <c r="H1372" s="80" t="b">
        <v>0</v>
      </c>
      <c r="I1372" s="80" t="b">
        <v>0</v>
      </c>
      <c r="J1372" s="80" t="b">
        <v>0</v>
      </c>
      <c r="K1372" s="80" t="b">
        <v>0</v>
      </c>
      <c r="L1372" s="80" t="b">
        <v>0</v>
      </c>
    </row>
    <row r="1373" spans="1:12" ht="15">
      <c r="A1373" s="81" t="s">
        <v>3854</v>
      </c>
      <c r="B1373" s="80" t="s">
        <v>3855</v>
      </c>
      <c r="C1373" s="80">
        <v>2</v>
      </c>
      <c r="D1373" s="105">
        <v>0</v>
      </c>
      <c r="E1373" s="105">
        <v>1.0413926851582251</v>
      </c>
      <c r="F1373" s="80" t="s">
        <v>3213</v>
      </c>
      <c r="G1373" s="80" t="b">
        <v>0</v>
      </c>
      <c r="H1373" s="80" t="b">
        <v>0</v>
      </c>
      <c r="I1373" s="80" t="b">
        <v>0</v>
      </c>
      <c r="J1373" s="80" t="b">
        <v>0</v>
      </c>
      <c r="K1373" s="80" t="b">
        <v>0</v>
      </c>
      <c r="L1373" s="80" t="b">
        <v>0</v>
      </c>
    </row>
    <row r="1374" spans="1:12" ht="15">
      <c r="A1374" s="81" t="s">
        <v>3855</v>
      </c>
      <c r="B1374" s="80" t="s">
        <v>3856</v>
      </c>
      <c r="C1374" s="80">
        <v>2</v>
      </c>
      <c r="D1374" s="105">
        <v>0</v>
      </c>
      <c r="E1374" s="105">
        <v>1.0413926851582251</v>
      </c>
      <c r="F1374" s="80" t="s">
        <v>3213</v>
      </c>
      <c r="G1374" s="80" t="b">
        <v>0</v>
      </c>
      <c r="H1374" s="80" t="b">
        <v>0</v>
      </c>
      <c r="I1374" s="80" t="b">
        <v>0</v>
      </c>
      <c r="J1374" s="80" t="b">
        <v>0</v>
      </c>
      <c r="K1374" s="80" t="b">
        <v>0</v>
      </c>
      <c r="L1374" s="80" t="b">
        <v>0</v>
      </c>
    </row>
    <row r="1375" spans="1:12" ht="15">
      <c r="A1375" s="81" t="s">
        <v>3856</v>
      </c>
      <c r="B1375" s="80" t="s">
        <v>3857</v>
      </c>
      <c r="C1375" s="80">
        <v>2</v>
      </c>
      <c r="D1375" s="105">
        <v>0</v>
      </c>
      <c r="E1375" s="105">
        <v>1.0413926851582251</v>
      </c>
      <c r="F1375" s="80" t="s">
        <v>3213</v>
      </c>
      <c r="G1375" s="80" t="b">
        <v>0</v>
      </c>
      <c r="H1375" s="80" t="b">
        <v>0</v>
      </c>
      <c r="I1375" s="80" t="b">
        <v>0</v>
      </c>
      <c r="J1375" s="80" t="b">
        <v>0</v>
      </c>
      <c r="K1375" s="80" t="b">
        <v>0</v>
      </c>
      <c r="L1375" s="80" t="b">
        <v>0</v>
      </c>
    </row>
    <row r="1376" spans="1:12" ht="15">
      <c r="A1376" s="81" t="s">
        <v>3857</v>
      </c>
      <c r="B1376" s="80" t="s">
        <v>3858</v>
      </c>
      <c r="C1376" s="80">
        <v>2</v>
      </c>
      <c r="D1376" s="105">
        <v>0</v>
      </c>
      <c r="E1376" s="105">
        <v>1.0413926851582251</v>
      </c>
      <c r="F1376" s="80" t="s">
        <v>3213</v>
      </c>
      <c r="G1376" s="80" t="b">
        <v>0</v>
      </c>
      <c r="H1376" s="80" t="b">
        <v>0</v>
      </c>
      <c r="I1376" s="80" t="b">
        <v>0</v>
      </c>
      <c r="J1376" s="80" t="b">
        <v>0</v>
      </c>
      <c r="K1376" s="80" t="b">
        <v>0</v>
      </c>
      <c r="L1376" s="80" t="b">
        <v>0</v>
      </c>
    </row>
    <row r="1377" spans="1:12" ht="15">
      <c r="A1377" s="81" t="s">
        <v>3858</v>
      </c>
      <c r="B1377" s="80" t="s">
        <v>3260</v>
      </c>
      <c r="C1377" s="80">
        <v>2</v>
      </c>
      <c r="D1377" s="105">
        <v>0</v>
      </c>
      <c r="E1377" s="105">
        <v>1.0413926851582251</v>
      </c>
      <c r="F1377" s="80" t="s">
        <v>3213</v>
      </c>
      <c r="G1377" s="80" t="b">
        <v>0</v>
      </c>
      <c r="H1377" s="80" t="b">
        <v>0</v>
      </c>
      <c r="I1377" s="80" t="b">
        <v>0</v>
      </c>
      <c r="J1377" s="80" t="b">
        <v>0</v>
      </c>
      <c r="K1377" s="80" t="b">
        <v>0</v>
      </c>
      <c r="L1377" s="80" t="b">
        <v>0</v>
      </c>
    </row>
    <row r="1378" spans="1:12" ht="15">
      <c r="A1378" s="81" t="s">
        <v>3260</v>
      </c>
      <c r="B1378" s="80" t="s">
        <v>3859</v>
      </c>
      <c r="C1378" s="80">
        <v>2</v>
      </c>
      <c r="D1378" s="105">
        <v>0</v>
      </c>
      <c r="E1378" s="105">
        <v>1.0413926851582251</v>
      </c>
      <c r="F1378" s="80" t="s">
        <v>3213</v>
      </c>
      <c r="G1378" s="80" t="b">
        <v>0</v>
      </c>
      <c r="H1378" s="80" t="b">
        <v>0</v>
      </c>
      <c r="I1378" s="80" t="b">
        <v>0</v>
      </c>
      <c r="J1378" s="80" t="b">
        <v>0</v>
      </c>
      <c r="K1378" s="80" t="b">
        <v>0</v>
      </c>
      <c r="L1378" s="80" t="b">
        <v>0</v>
      </c>
    </row>
    <row r="1379" spans="1:12" ht="15">
      <c r="A1379" s="81" t="s">
        <v>3401</v>
      </c>
      <c r="B1379" s="80" t="s">
        <v>3628</v>
      </c>
      <c r="C1379" s="80">
        <v>2</v>
      </c>
      <c r="D1379" s="105">
        <v>0</v>
      </c>
      <c r="E1379" s="105">
        <v>0.7781512503836436</v>
      </c>
      <c r="F1379" s="80" t="s">
        <v>3216</v>
      </c>
      <c r="G1379" s="80" t="b">
        <v>1</v>
      </c>
      <c r="H1379" s="80" t="b">
        <v>0</v>
      </c>
      <c r="I1379" s="80" t="b">
        <v>0</v>
      </c>
      <c r="J1379" s="80" t="b">
        <v>1</v>
      </c>
      <c r="K1379" s="80" t="b">
        <v>0</v>
      </c>
      <c r="L1379" s="80" t="b">
        <v>0</v>
      </c>
    </row>
    <row r="1380" spans="1:12" ht="15">
      <c r="A1380" s="81" t="s">
        <v>3628</v>
      </c>
      <c r="B1380" s="80" t="s">
        <v>3729</v>
      </c>
      <c r="C1380" s="80">
        <v>2</v>
      </c>
      <c r="D1380" s="105">
        <v>0</v>
      </c>
      <c r="E1380" s="105">
        <v>0.7781512503836436</v>
      </c>
      <c r="F1380" s="80" t="s">
        <v>3216</v>
      </c>
      <c r="G1380" s="80" t="b">
        <v>1</v>
      </c>
      <c r="H1380" s="80" t="b">
        <v>0</v>
      </c>
      <c r="I1380" s="80" t="b">
        <v>0</v>
      </c>
      <c r="J1380" s="80" t="b">
        <v>0</v>
      </c>
      <c r="K1380" s="80" t="b">
        <v>0</v>
      </c>
      <c r="L1380" s="80" t="b">
        <v>0</v>
      </c>
    </row>
    <row r="1381" spans="1:12" ht="15">
      <c r="A1381" s="81" t="s">
        <v>3729</v>
      </c>
      <c r="B1381" s="80" t="s">
        <v>3305</v>
      </c>
      <c r="C1381" s="80">
        <v>2</v>
      </c>
      <c r="D1381" s="105">
        <v>0</v>
      </c>
      <c r="E1381" s="105">
        <v>0.7781512503836436</v>
      </c>
      <c r="F1381" s="80" t="s">
        <v>3216</v>
      </c>
      <c r="G1381" s="80" t="b">
        <v>0</v>
      </c>
      <c r="H1381" s="80" t="b">
        <v>0</v>
      </c>
      <c r="I1381" s="80" t="b">
        <v>0</v>
      </c>
      <c r="J1381" s="80" t="b">
        <v>0</v>
      </c>
      <c r="K1381" s="80" t="b">
        <v>0</v>
      </c>
      <c r="L1381" s="80" t="b">
        <v>0</v>
      </c>
    </row>
    <row r="1382" spans="1:12" ht="15">
      <c r="A1382" s="81" t="s">
        <v>3305</v>
      </c>
      <c r="B1382" s="80" t="s">
        <v>3260</v>
      </c>
      <c r="C1382" s="80">
        <v>2</v>
      </c>
      <c r="D1382" s="105">
        <v>0</v>
      </c>
      <c r="E1382" s="105">
        <v>0.7781512503836436</v>
      </c>
      <c r="F1382" s="80" t="s">
        <v>3216</v>
      </c>
      <c r="G1382" s="80" t="b">
        <v>0</v>
      </c>
      <c r="H1382" s="80" t="b">
        <v>0</v>
      </c>
      <c r="I1382" s="80" t="b">
        <v>0</v>
      </c>
      <c r="J1382" s="80" t="b">
        <v>0</v>
      </c>
      <c r="K1382" s="80" t="b">
        <v>0</v>
      </c>
      <c r="L1382" s="80" t="b">
        <v>0</v>
      </c>
    </row>
    <row r="1383" spans="1:12" ht="15">
      <c r="A1383" s="81" t="s">
        <v>3260</v>
      </c>
      <c r="B1383" s="80" t="s">
        <v>3730</v>
      </c>
      <c r="C1383" s="80">
        <v>2</v>
      </c>
      <c r="D1383" s="105">
        <v>0</v>
      </c>
      <c r="E1383" s="105">
        <v>0.7781512503836436</v>
      </c>
      <c r="F1383" s="80" t="s">
        <v>3216</v>
      </c>
      <c r="G1383" s="80" t="b">
        <v>0</v>
      </c>
      <c r="H1383" s="80" t="b">
        <v>0</v>
      </c>
      <c r="I1383" s="80" t="b">
        <v>0</v>
      </c>
      <c r="J1383" s="80" t="b">
        <v>0</v>
      </c>
      <c r="K1383" s="80" t="b">
        <v>0</v>
      </c>
      <c r="L1383" s="80" t="b">
        <v>0</v>
      </c>
    </row>
    <row r="1384" spans="1:12" ht="15">
      <c r="A1384" s="81" t="s">
        <v>3730</v>
      </c>
      <c r="B1384" s="80" t="s">
        <v>3731</v>
      </c>
      <c r="C1384" s="80">
        <v>2</v>
      </c>
      <c r="D1384" s="105">
        <v>0</v>
      </c>
      <c r="E1384" s="105">
        <v>0.7781512503836436</v>
      </c>
      <c r="F1384" s="80" t="s">
        <v>3216</v>
      </c>
      <c r="G1384" s="80" t="b">
        <v>0</v>
      </c>
      <c r="H1384" s="80" t="b">
        <v>0</v>
      </c>
      <c r="I1384" s="80" t="b">
        <v>0</v>
      </c>
      <c r="J1384" s="80" t="b">
        <v>0</v>
      </c>
      <c r="K1384" s="80" t="b">
        <v>0</v>
      </c>
      <c r="L1384" s="80" t="b">
        <v>0</v>
      </c>
    </row>
    <row r="1385" spans="1:12" ht="15">
      <c r="A1385" s="81" t="s">
        <v>3739</v>
      </c>
      <c r="B1385" s="80" t="s">
        <v>3740</v>
      </c>
      <c r="C1385" s="80">
        <v>2</v>
      </c>
      <c r="D1385" s="105">
        <v>0</v>
      </c>
      <c r="E1385" s="105">
        <v>1.146128035678238</v>
      </c>
      <c r="F1385" s="80" t="s">
        <v>3218</v>
      </c>
      <c r="G1385" s="80" t="b">
        <v>0</v>
      </c>
      <c r="H1385" s="80" t="b">
        <v>0</v>
      </c>
      <c r="I1385" s="80" t="b">
        <v>0</v>
      </c>
      <c r="J1385" s="80" t="b">
        <v>0</v>
      </c>
      <c r="K1385" s="80" t="b">
        <v>0</v>
      </c>
      <c r="L1385" s="80" t="b">
        <v>0</v>
      </c>
    </row>
    <row r="1386" spans="1:12" ht="15">
      <c r="A1386" s="81" t="s">
        <v>3740</v>
      </c>
      <c r="B1386" s="80" t="s">
        <v>3741</v>
      </c>
      <c r="C1386" s="80">
        <v>2</v>
      </c>
      <c r="D1386" s="105">
        <v>0</v>
      </c>
      <c r="E1386" s="105">
        <v>1.146128035678238</v>
      </c>
      <c r="F1386" s="80" t="s">
        <v>3218</v>
      </c>
      <c r="G1386" s="80" t="b">
        <v>0</v>
      </c>
      <c r="H1386" s="80" t="b">
        <v>0</v>
      </c>
      <c r="I1386" s="80" t="b">
        <v>0</v>
      </c>
      <c r="J1386" s="80" t="b">
        <v>0</v>
      </c>
      <c r="K1386" s="80" t="b">
        <v>0</v>
      </c>
      <c r="L1386" s="80" t="b">
        <v>0</v>
      </c>
    </row>
    <row r="1387" spans="1:12" ht="15">
      <c r="A1387" s="81" t="s">
        <v>3741</v>
      </c>
      <c r="B1387" s="80" t="s">
        <v>3742</v>
      </c>
      <c r="C1387" s="80">
        <v>2</v>
      </c>
      <c r="D1387" s="105">
        <v>0</v>
      </c>
      <c r="E1387" s="105">
        <v>1.146128035678238</v>
      </c>
      <c r="F1387" s="80" t="s">
        <v>3218</v>
      </c>
      <c r="G1387" s="80" t="b">
        <v>0</v>
      </c>
      <c r="H1387" s="80" t="b">
        <v>0</v>
      </c>
      <c r="I1387" s="80" t="b">
        <v>0</v>
      </c>
      <c r="J1387" s="80" t="b">
        <v>0</v>
      </c>
      <c r="K1387" s="80" t="b">
        <v>0</v>
      </c>
      <c r="L1387" s="80" t="b">
        <v>0</v>
      </c>
    </row>
    <row r="1388" spans="1:12" ht="15">
      <c r="A1388" s="81" t="s">
        <v>3742</v>
      </c>
      <c r="B1388" s="80" t="s">
        <v>1783</v>
      </c>
      <c r="C1388" s="80">
        <v>2</v>
      </c>
      <c r="D1388" s="105">
        <v>0</v>
      </c>
      <c r="E1388" s="105">
        <v>1.146128035678238</v>
      </c>
      <c r="F1388" s="80" t="s">
        <v>3218</v>
      </c>
      <c r="G1388" s="80" t="b">
        <v>0</v>
      </c>
      <c r="H1388" s="80" t="b">
        <v>0</v>
      </c>
      <c r="I1388" s="80" t="b">
        <v>0</v>
      </c>
      <c r="J1388" s="80" t="b">
        <v>0</v>
      </c>
      <c r="K1388" s="80" t="b">
        <v>0</v>
      </c>
      <c r="L1388" s="80" t="b">
        <v>0</v>
      </c>
    </row>
    <row r="1389" spans="1:12" ht="15">
      <c r="A1389" s="81" t="s">
        <v>1783</v>
      </c>
      <c r="B1389" s="80" t="s">
        <v>3743</v>
      </c>
      <c r="C1389" s="80">
        <v>2</v>
      </c>
      <c r="D1389" s="105">
        <v>0</v>
      </c>
      <c r="E1389" s="105">
        <v>1.146128035678238</v>
      </c>
      <c r="F1389" s="80" t="s">
        <v>3218</v>
      </c>
      <c r="G1389" s="80" t="b">
        <v>0</v>
      </c>
      <c r="H1389" s="80" t="b">
        <v>0</v>
      </c>
      <c r="I1389" s="80" t="b">
        <v>0</v>
      </c>
      <c r="J1389" s="80" t="b">
        <v>0</v>
      </c>
      <c r="K1389" s="80" t="b">
        <v>0</v>
      </c>
      <c r="L1389" s="80" t="b">
        <v>0</v>
      </c>
    </row>
    <row r="1390" spans="1:12" ht="15">
      <c r="A1390" s="81" t="s">
        <v>3743</v>
      </c>
      <c r="B1390" s="80" t="s">
        <v>3744</v>
      </c>
      <c r="C1390" s="80">
        <v>2</v>
      </c>
      <c r="D1390" s="105">
        <v>0</v>
      </c>
      <c r="E1390" s="105">
        <v>1.146128035678238</v>
      </c>
      <c r="F1390" s="80" t="s">
        <v>3218</v>
      </c>
      <c r="G1390" s="80" t="b">
        <v>0</v>
      </c>
      <c r="H1390" s="80" t="b">
        <v>0</v>
      </c>
      <c r="I1390" s="80" t="b">
        <v>0</v>
      </c>
      <c r="J1390" s="80" t="b">
        <v>0</v>
      </c>
      <c r="K1390" s="80" t="b">
        <v>0</v>
      </c>
      <c r="L1390" s="80" t="b">
        <v>0</v>
      </c>
    </row>
    <row r="1391" spans="1:12" ht="15">
      <c r="A1391" s="81" t="s">
        <v>3744</v>
      </c>
      <c r="B1391" s="80" t="s">
        <v>3745</v>
      </c>
      <c r="C1391" s="80">
        <v>2</v>
      </c>
      <c r="D1391" s="105">
        <v>0</v>
      </c>
      <c r="E1391" s="105">
        <v>1.146128035678238</v>
      </c>
      <c r="F1391" s="80" t="s">
        <v>3218</v>
      </c>
      <c r="G1391" s="80" t="b">
        <v>0</v>
      </c>
      <c r="H1391" s="80" t="b">
        <v>0</v>
      </c>
      <c r="I1391" s="80" t="b">
        <v>0</v>
      </c>
      <c r="J1391" s="80" t="b">
        <v>0</v>
      </c>
      <c r="K1391" s="80" t="b">
        <v>0</v>
      </c>
      <c r="L1391" s="80" t="b">
        <v>0</v>
      </c>
    </row>
    <row r="1392" spans="1:12" ht="15">
      <c r="A1392" s="81" t="s">
        <v>3745</v>
      </c>
      <c r="B1392" s="80" t="s">
        <v>3746</v>
      </c>
      <c r="C1392" s="80">
        <v>2</v>
      </c>
      <c r="D1392" s="105">
        <v>0</v>
      </c>
      <c r="E1392" s="105">
        <v>1.146128035678238</v>
      </c>
      <c r="F1392" s="80" t="s">
        <v>3218</v>
      </c>
      <c r="G1392" s="80" t="b">
        <v>0</v>
      </c>
      <c r="H1392" s="80" t="b">
        <v>0</v>
      </c>
      <c r="I1392" s="80" t="b">
        <v>0</v>
      </c>
      <c r="J1392" s="80" t="b">
        <v>0</v>
      </c>
      <c r="K1392" s="80" t="b">
        <v>0</v>
      </c>
      <c r="L1392" s="80" t="b">
        <v>0</v>
      </c>
    </row>
    <row r="1393" spans="1:12" ht="15">
      <c r="A1393" s="81" t="s">
        <v>3746</v>
      </c>
      <c r="B1393" s="80" t="s">
        <v>3310</v>
      </c>
      <c r="C1393" s="80">
        <v>2</v>
      </c>
      <c r="D1393" s="105">
        <v>0</v>
      </c>
      <c r="E1393" s="105">
        <v>1.146128035678238</v>
      </c>
      <c r="F1393" s="80" t="s">
        <v>3218</v>
      </c>
      <c r="G1393" s="80" t="b">
        <v>0</v>
      </c>
      <c r="H1393" s="80" t="b">
        <v>0</v>
      </c>
      <c r="I1393" s="80" t="b">
        <v>0</v>
      </c>
      <c r="J1393" s="80" t="b">
        <v>0</v>
      </c>
      <c r="K1393" s="80" t="b">
        <v>0</v>
      </c>
      <c r="L1393" s="80" t="b">
        <v>0</v>
      </c>
    </row>
    <row r="1394" spans="1:12" ht="15">
      <c r="A1394" s="81" t="s">
        <v>3310</v>
      </c>
      <c r="B1394" s="80" t="s">
        <v>3747</v>
      </c>
      <c r="C1394" s="80">
        <v>2</v>
      </c>
      <c r="D1394" s="105">
        <v>0</v>
      </c>
      <c r="E1394" s="105">
        <v>1.146128035678238</v>
      </c>
      <c r="F1394" s="80" t="s">
        <v>3218</v>
      </c>
      <c r="G1394" s="80" t="b">
        <v>0</v>
      </c>
      <c r="H1394" s="80" t="b">
        <v>0</v>
      </c>
      <c r="I1394" s="80" t="b">
        <v>0</v>
      </c>
      <c r="J1394" s="80" t="b">
        <v>0</v>
      </c>
      <c r="K1394" s="80" t="b">
        <v>0</v>
      </c>
      <c r="L1394" s="80" t="b">
        <v>0</v>
      </c>
    </row>
    <row r="1395" spans="1:12" ht="15">
      <c r="A1395" s="81" t="s">
        <v>3747</v>
      </c>
      <c r="B1395" s="80" t="s">
        <v>3748</v>
      </c>
      <c r="C1395" s="80">
        <v>2</v>
      </c>
      <c r="D1395" s="105">
        <v>0</v>
      </c>
      <c r="E1395" s="105">
        <v>1.146128035678238</v>
      </c>
      <c r="F1395" s="80" t="s">
        <v>3218</v>
      </c>
      <c r="G1395" s="80" t="b">
        <v>0</v>
      </c>
      <c r="H1395" s="80" t="b">
        <v>0</v>
      </c>
      <c r="I1395" s="80" t="b">
        <v>0</v>
      </c>
      <c r="J1395" s="80" t="b">
        <v>0</v>
      </c>
      <c r="K1395" s="80" t="b">
        <v>0</v>
      </c>
      <c r="L1395" s="80" t="b">
        <v>0</v>
      </c>
    </row>
    <row r="1396" spans="1:12" ht="15">
      <c r="A1396" s="81" t="s">
        <v>3748</v>
      </c>
      <c r="B1396" s="80" t="s">
        <v>3749</v>
      </c>
      <c r="C1396" s="80">
        <v>2</v>
      </c>
      <c r="D1396" s="105">
        <v>0</v>
      </c>
      <c r="E1396" s="105">
        <v>1.146128035678238</v>
      </c>
      <c r="F1396" s="80" t="s">
        <v>3218</v>
      </c>
      <c r="G1396" s="80" t="b">
        <v>0</v>
      </c>
      <c r="H1396" s="80" t="b">
        <v>0</v>
      </c>
      <c r="I1396" s="80" t="b">
        <v>0</v>
      </c>
      <c r="J1396" s="80" t="b">
        <v>0</v>
      </c>
      <c r="K1396" s="80" t="b">
        <v>0</v>
      </c>
      <c r="L1396" s="80" t="b">
        <v>0</v>
      </c>
    </row>
    <row r="1397" spans="1:12" ht="15">
      <c r="A1397" s="81" t="s">
        <v>3749</v>
      </c>
      <c r="B1397" s="80" t="s">
        <v>3750</v>
      </c>
      <c r="C1397" s="80">
        <v>2</v>
      </c>
      <c r="D1397" s="105">
        <v>0</v>
      </c>
      <c r="E1397" s="105">
        <v>1.146128035678238</v>
      </c>
      <c r="F1397" s="80" t="s">
        <v>3218</v>
      </c>
      <c r="G1397" s="80" t="b">
        <v>0</v>
      </c>
      <c r="H1397" s="80" t="b">
        <v>0</v>
      </c>
      <c r="I1397" s="80" t="b">
        <v>0</v>
      </c>
      <c r="J1397" s="80" t="b">
        <v>0</v>
      </c>
      <c r="K1397" s="80" t="b">
        <v>0</v>
      </c>
      <c r="L1397" s="80" t="b">
        <v>0</v>
      </c>
    </row>
    <row r="1398" spans="1:12" ht="15">
      <c r="A1398" s="81" t="s">
        <v>3750</v>
      </c>
      <c r="B1398" s="80" t="s">
        <v>3260</v>
      </c>
      <c r="C1398" s="80">
        <v>2</v>
      </c>
      <c r="D1398" s="105">
        <v>0</v>
      </c>
      <c r="E1398" s="105">
        <v>1.146128035678238</v>
      </c>
      <c r="F1398" s="80" t="s">
        <v>3218</v>
      </c>
      <c r="G1398" s="80" t="b">
        <v>0</v>
      </c>
      <c r="H1398" s="80" t="b">
        <v>0</v>
      </c>
      <c r="I1398" s="80" t="b">
        <v>0</v>
      </c>
      <c r="J1398" s="80" t="b">
        <v>0</v>
      </c>
      <c r="K1398" s="80" t="b">
        <v>0</v>
      </c>
      <c r="L1398" s="80" t="b">
        <v>0</v>
      </c>
    </row>
    <row r="1399" spans="1:12" ht="15">
      <c r="A1399" s="81" t="s">
        <v>3794</v>
      </c>
      <c r="B1399" s="80" t="s">
        <v>3795</v>
      </c>
      <c r="C1399" s="80">
        <v>2</v>
      </c>
      <c r="D1399" s="105">
        <v>0</v>
      </c>
      <c r="E1399" s="105">
        <v>1.462397997898956</v>
      </c>
      <c r="F1399" s="80" t="s">
        <v>3223</v>
      </c>
      <c r="G1399" s="80" t="b">
        <v>0</v>
      </c>
      <c r="H1399" s="80" t="b">
        <v>0</v>
      </c>
      <c r="I1399" s="80" t="b">
        <v>0</v>
      </c>
      <c r="J1399" s="80" t="b">
        <v>0</v>
      </c>
      <c r="K1399" s="80" t="b">
        <v>0</v>
      </c>
      <c r="L1399" s="80" t="b">
        <v>0</v>
      </c>
    </row>
    <row r="1400" spans="1:12" ht="15">
      <c r="A1400" s="81" t="s">
        <v>3795</v>
      </c>
      <c r="B1400" s="80" t="s">
        <v>3796</v>
      </c>
      <c r="C1400" s="80">
        <v>2</v>
      </c>
      <c r="D1400" s="105">
        <v>0</v>
      </c>
      <c r="E1400" s="105">
        <v>1.462397997898956</v>
      </c>
      <c r="F1400" s="80" t="s">
        <v>3223</v>
      </c>
      <c r="G1400" s="80" t="b">
        <v>0</v>
      </c>
      <c r="H1400" s="80" t="b">
        <v>0</v>
      </c>
      <c r="I1400" s="80" t="b">
        <v>0</v>
      </c>
      <c r="J1400" s="80" t="b">
        <v>0</v>
      </c>
      <c r="K1400" s="80" t="b">
        <v>0</v>
      </c>
      <c r="L1400" s="80" t="b">
        <v>0</v>
      </c>
    </row>
    <row r="1401" spans="1:12" ht="15">
      <c r="A1401" s="81" t="s">
        <v>3796</v>
      </c>
      <c r="B1401" s="80" t="s">
        <v>3362</v>
      </c>
      <c r="C1401" s="80">
        <v>2</v>
      </c>
      <c r="D1401" s="105">
        <v>0</v>
      </c>
      <c r="E1401" s="105">
        <v>1.462397997898956</v>
      </c>
      <c r="F1401" s="80" t="s">
        <v>3223</v>
      </c>
      <c r="G1401" s="80" t="b">
        <v>0</v>
      </c>
      <c r="H1401" s="80" t="b">
        <v>0</v>
      </c>
      <c r="I1401" s="80" t="b">
        <v>0</v>
      </c>
      <c r="J1401" s="80" t="b">
        <v>0</v>
      </c>
      <c r="K1401" s="80" t="b">
        <v>0</v>
      </c>
      <c r="L1401" s="80" t="b">
        <v>0</v>
      </c>
    </row>
    <row r="1402" spans="1:12" ht="15">
      <c r="A1402" s="81" t="s">
        <v>3362</v>
      </c>
      <c r="B1402" s="80" t="s">
        <v>3363</v>
      </c>
      <c r="C1402" s="80">
        <v>2</v>
      </c>
      <c r="D1402" s="105">
        <v>0</v>
      </c>
      <c r="E1402" s="105">
        <v>1.462397997898956</v>
      </c>
      <c r="F1402" s="80" t="s">
        <v>3223</v>
      </c>
      <c r="G1402" s="80" t="b">
        <v>0</v>
      </c>
      <c r="H1402" s="80" t="b">
        <v>0</v>
      </c>
      <c r="I1402" s="80" t="b">
        <v>0</v>
      </c>
      <c r="J1402" s="80" t="b">
        <v>0</v>
      </c>
      <c r="K1402" s="80" t="b">
        <v>0</v>
      </c>
      <c r="L1402" s="80" t="b">
        <v>0</v>
      </c>
    </row>
    <row r="1403" spans="1:12" ht="15">
      <c r="A1403" s="81" t="s">
        <v>3363</v>
      </c>
      <c r="B1403" s="80" t="s">
        <v>3797</v>
      </c>
      <c r="C1403" s="80">
        <v>2</v>
      </c>
      <c r="D1403" s="105">
        <v>0</v>
      </c>
      <c r="E1403" s="105">
        <v>1.462397997898956</v>
      </c>
      <c r="F1403" s="80" t="s">
        <v>3223</v>
      </c>
      <c r="G1403" s="80" t="b">
        <v>0</v>
      </c>
      <c r="H1403" s="80" t="b">
        <v>0</v>
      </c>
      <c r="I1403" s="80" t="b">
        <v>0</v>
      </c>
      <c r="J1403" s="80" t="b">
        <v>0</v>
      </c>
      <c r="K1403" s="80" t="b">
        <v>0</v>
      </c>
      <c r="L1403" s="80" t="b">
        <v>0</v>
      </c>
    </row>
    <row r="1404" spans="1:12" ht="15">
      <c r="A1404" s="81" t="s">
        <v>3797</v>
      </c>
      <c r="B1404" s="80" t="s">
        <v>3798</v>
      </c>
      <c r="C1404" s="80">
        <v>2</v>
      </c>
      <c r="D1404" s="105">
        <v>0</v>
      </c>
      <c r="E1404" s="105">
        <v>1.462397997898956</v>
      </c>
      <c r="F1404" s="80" t="s">
        <v>3223</v>
      </c>
      <c r="G1404" s="80" t="b">
        <v>0</v>
      </c>
      <c r="H1404" s="80" t="b">
        <v>0</v>
      </c>
      <c r="I1404" s="80" t="b">
        <v>0</v>
      </c>
      <c r="J1404" s="80" t="b">
        <v>0</v>
      </c>
      <c r="K1404" s="80" t="b">
        <v>0</v>
      </c>
      <c r="L1404" s="80" t="b">
        <v>0</v>
      </c>
    </row>
    <row r="1405" spans="1:12" ht="15">
      <c r="A1405" s="81" t="s">
        <v>3798</v>
      </c>
      <c r="B1405" s="80" t="s">
        <v>3262</v>
      </c>
      <c r="C1405" s="80">
        <v>2</v>
      </c>
      <c r="D1405" s="105">
        <v>0</v>
      </c>
      <c r="E1405" s="105">
        <v>0.6842467475153124</v>
      </c>
      <c r="F1405" s="80" t="s">
        <v>3223</v>
      </c>
      <c r="G1405" s="80" t="b">
        <v>0</v>
      </c>
      <c r="H1405" s="80" t="b">
        <v>0</v>
      </c>
      <c r="I1405" s="80" t="b">
        <v>0</v>
      </c>
      <c r="J1405" s="80" t="b">
        <v>0</v>
      </c>
      <c r="K1405" s="80" t="b">
        <v>0</v>
      </c>
      <c r="L1405" s="80" t="b">
        <v>0</v>
      </c>
    </row>
    <row r="1406" spans="1:12" ht="15">
      <c r="A1406" s="81" t="s">
        <v>3262</v>
      </c>
      <c r="B1406" s="80" t="s">
        <v>3322</v>
      </c>
      <c r="C1406" s="80">
        <v>2</v>
      </c>
      <c r="D1406" s="105">
        <v>0</v>
      </c>
      <c r="E1406" s="105">
        <v>0.6842467475153124</v>
      </c>
      <c r="F1406" s="80" t="s">
        <v>3223</v>
      </c>
      <c r="G1406" s="80" t="b">
        <v>0</v>
      </c>
      <c r="H1406" s="80" t="b">
        <v>0</v>
      </c>
      <c r="I1406" s="80" t="b">
        <v>0</v>
      </c>
      <c r="J1406" s="80" t="b">
        <v>0</v>
      </c>
      <c r="K1406" s="80" t="b">
        <v>0</v>
      </c>
      <c r="L1406" s="80" t="b">
        <v>0</v>
      </c>
    </row>
    <row r="1407" spans="1:12" ht="15">
      <c r="A1407" s="81" t="s">
        <v>3322</v>
      </c>
      <c r="B1407" s="80" t="s">
        <v>3262</v>
      </c>
      <c r="C1407" s="80">
        <v>2</v>
      </c>
      <c r="D1407" s="105">
        <v>0</v>
      </c>
      <c r="E1407" s="105">
        <v>0.6842467475153124</v>
      </c>
      <c r="F1407" s="80" t="s">
        <v>3223</v>
      </c>
      <c r="G1407" s="80" t="b">
        <v>0</v>
      </c>
      <c r="H1407" s="80" t="b">
        <v>0</v>
      </c>
      <c r="I1407" s="80" t="b">
        <v>0</v>
      </c>
      <c r="J1407" s="80" t="b">
        <v>0</v>
      </c>
      <c r="K1407" s="80" t="b">
        <v>0</v>
      </c>
      <c r="L1407" s="80" t="b">
        <v>0</v>
      </c>
    </row>
    <row r="1408" spans="1:12" ht="15">
      <c r="A1408" s="81" t="s">
        <v>3262</v>
      </c>
      <c r="B1408" s="80" t="s">
        <v>795</v>
      </c>
      <c r="C1408" s="80">
        <v>2</v>
      </c>
      <c r="D1408" s="105">
        <v>0</v>
      </c>
      <c r="E1408" s="105">
        <v>0.6842467475153124</v>
      </c>
      <c r="F1408" s="80" t="s">
        <v>3223</v>
      </c>
      <c r="G1408" s="80" t="b">
        <v>0</v>
      </c>
      <c r="H1408" s="80" t="b">
        <v>0</v>
      </c>
      <c r="I1408" s="80" t="b">
        <v>0</v>
      </c>
      <c r="J1408" s="80" t="b">
        <v>0</v>
      </c>
      <c r="K1408" s="80" t="b">
        <v>0</v>
      </c>
      <c r="L1408" s="80" t="b">
        <v>0</v>
      </c>
    </row>
    <row r="1409" spans="1:12" ht="15">
      <c r="A1409" s="81" t="s">
        <v>795</v>
      </c>
      <c r="B1409" s="80" t="s">
        <v>3262</v>
      </c>
      <c r="C1409" s="80">
        <v>2</v>
      </c>
      <c r="D1409" s="105">
        <v>0</v>
      </c>
      <c r="E1409" s="105">
        <v>0.6842467475153124</v>
      </c>
      <c r="F1409" s="80" t="s">
        <v>3223</v>
      </c>
      <c r="G1409" s="80" t="b">
        <v>0</v>
      </c>
      <c r="H1409" s="80" t="b">
        <v>0</v>
      </c>
      <c r="I1409" s="80" t="b">
        <v>0</v>
      </c>
      <c r="J1409" s="80" t="b">
        <v>0</v>
      </c>
      <c r="K1409" s="80" t="b">
        <v>0</v>
      </c>
      <c r="L1409" s="80" t="b">
        <v>0</v>
      </c>
    </row>
    <row r="1410" spans="1:12" ht="15">
      <c r="A1410" s="81" t="s">
        <v>3262</v>
      </c>
      <c r="B1410" s="80" t="s">
        <v>3320</v>
      </c>
      <c r="C1410" s="80">
        <v>2</v>
      </c>
      <c r="D1410" s="105">
        <v>0</v>
      </c>
      <c r="E1410" s="105">
        <v>0.6842467475153124</v>
      </c>
      <c r="F1410" s="80" t="s">
        <v>3223</v>
      </c>
      <c r="G1410" s="80" t="b">
        <v>0</v>
      </c>
      <c r="H1410" s="80" t="b">
        <v>0</v>
      </c>
      <c r="I1410" s="80" t="b">
        <v>0</v>
      </c>
      <c r="J1410" s="80" t="b">
        <v>0</v>
      </c>
      <c r="K1410" s="80" t="b">
        <v>0</v>
      </c>
      <c r="L1410" s="80" t="b">
        <v>0</v>
      </c>
    </row>
    <row r="1411" spans="1:12" ht="15">
      <c r="A1411" s="81" t="s">
        <v>3320</v>
      </c>
      <c r="B1411" s="80" t="s">
        <v>3262</v>
      </c>
      <c r="C1411" s="80">
        <v>2</v>
      </c>
      <c r="D1411" s="105">
        <v>0</v>
      </c>
      <c r="E1411" s="105">
        <v>0.6842467475153124</v>
      </c>
      <c r="F1411" s="80" t="s">
        <v>3223</v>
      </c>
      <c r="G1411" s="80" t="b">
        <v>0</v>
      </c>
      <c r="H1411" s="80" t="b">
        <v>0</v>
      </c>
      <c r="I1411" s="80" t="b">
        <v>0</v>
      </c>
      <c r="J1411" s="80" t="b">
        <v>0</v>
      </c>
      <c r="K1411" s="80" t="b">
        <v>0</v>
      </c>
      <c r="L1411" s="80" t="b">
        <v>0</v>
      </c>
    </row>
    <row r="1412" spans="1:12" ht="15">
      <c r="A1412" s="81" t="s">
        <v>3262</v>
      </c>
      <c r="B1412" s="80" t="s">
        <v>3323</v>
      </c>
      <c r="C1412" s="80">
        <v>2</v>
      </c>
      <c r="D1412" s="105">
        <v>0</v>
      </c>
      <c r="E1412" s="105">
        <v>0.6842467475153124</v>
      </c>
      <c r="F1412" s="80" t="s">
        <v>3223</v>
      </c>
      <c r="G1412" s="80" t="b">
        <v>0</v>
      </c>
      <c r="H1412" s="80" t="b">
        <v>0</v>
      </c>
      <c r="I1412" s="80" t="b">
        <v>0</v>
      </c>
      <c r="J1412" s="80" t="b">
        <v>0</v>
      </c>
      <c r="K1412" s="80" t="b">
        <v>0</v>
      </c>
      <c r="L1412" s="80" t="b">
        <v>0</v>
      </c>
    </row>
    <row r="1413" spans="1:12" ht="15">
      <c r="A1413" s="81" t="s">
        <v>3323</v>
      </c>
      <c r="B1413" s="80" t="s">
        <v>3262</v>
      </c>
      <c r="C1413" s="80">
        <v>2</v>
      </c>
      <c r="D1413" s="105">
        <v>0</v>
      </c>
      <c r="E1413" s="105">
        <v>0.6842467475153124</v>
      </c>
      <c r="F1413" s="80" t="s">
        <v>3223</v>
      </c>
      <c r="G1413" s="80" t="b">
        <v>0</v>
      </c>
      <c r="H1413" s="80" t="b">
        <v>0</v>
      </c>
      <c r="I1413" s="80" t="b">
        <v>0</v>
      </c>
      <c r="J1413" s="80" t="b">
        <v>0</v>
      </c>
      <c r="K1413" s="80" t="b">
        <v>0</v>
      </c>
      <c r="L1413" s="80" t="b">
        <v>0</v>
      </c>
    </row>
    <row r="1414" spans="1:12" ht="15">
      <c r="A1414" s="81" t="s">
        <v>3262</v>
      </c>
      <c r="B1414" s="80" t="s">
        <v>3358</v>
      </c>
      <c r="C1414" s="80">
        <v>2</v>
      </c>
      <c r="D1414" s="105">
        <v>0</v>
      </c>
      <c r="E1414" s="105">
        <v>0.6842467475153124</v>
      </c>
      <c r="F1414" s="80" t="s">
        <v>3223</v>
      </c>
      <c r="G1414" s="80" t="b">
        <v>0</v>
      </c>
      <c r="H1414" s="80" t="b">
        <v>0</v>
      </c>
      <c r="I1414" s="80" t="b">
        <v>0</v>
      </c>
      <c r="J1414" s="80" t="b">
        <v>0</v>
      </c>
      <c r="K1414" s="80" t="b">
        <v>0</v>
      </c>
      <c r="L1414" s="80" t="b">
        <v>0</v>
      </c>
    </row>
    <row r="1415" spans="1:12" ht="15">
      <c r="A1415" s="81" t="s">
        <v>3358</v>
      </c>
      <c r="B1415" s="80" t="s">
        <v>3262</v>
      </c>
      <c r="C1415" s="80">
        <v>2</v>
      </c>
      <c r="D1415" s="105">
        <v>0</v>
      </c>
      <c r="E1415" s="105">
        <v>0.6842467475153124</v>
      </c>
      <c r="F1415" s="80" t="s">
        <v>3223</v>
      </c>
      <c r="G1415" s="80" t="b">
        <v>0</v>
      </c>
      <c r="H1415" s="80" t="b">
        <v>0</v>
      </c>
      <c r="I1415" s="80" t="b">
        <v>0</v>
      </c>
      <c r="J1415" s="80" t="b">
        <v>0</v>
      </c>
      <c r="K1415" s="80" t="b">
        <v>0</v>
      </c>
      <c r="L1415" s="80" t="b">
        <v>0</v>
      </c>
    </row>
    <row r="1416" spans="1:12" ht="15">
      <c r="A1416" s="81" t="s">
        <v>3262</v>
      </c>
      <c r="B1416" s="80" t="s">
        <v>3359</v>
      </c>
      <c r="C1416" s="80">
        <v>2</v>
      </c>
      <c r="D1416" s="105">
        <v>0</v>
      </c>
      <c r="E1416" s="105">
        <v>0.6842467475153124</v>
      </c>
      <c r="F1416" s="80" t="s">
        <v>3223</v>
      </c>
      <c r="G1416" s="80" t="b">
        <v>0</v>
      </c>
      <c r="H1416" s="80" t="b">
        <v>0</v>
      </c>
      <c r="I1416" s="80" t="b">
        <v>0</v>
      </c>
      <c r="J1416" s="80" t="b">
        <v>0</v>
      </c>
      <c r="K1416" s="80" t="b">
        <v>0</v>
      </c>
      <c r="L1416" s="80" t="b">
        <v>0</v>
      </c>
    </row>
    <row r="1417" spans="1:12" ht="15">
      <c r="A1417" s="81" t="s">
        <v>3359</v>
      </c>
      <c r="B1417" s="80" t="s">
        <v>3495</v>
      </c>
      <c r="C1417" s="80">
        <v>2</v>
      </c>
      <c r="D1417" s="105">
        <v>0</v>
      </c>
      <c r="E1417" s="105">
        <v>1.161368002234975</v>
      </c>
      <c r="F1417" s="80" t="s">
        <v>3223</v>
      </c>
      <c r="G1417" s="80" t="b">
        <v>0</v>
      </c>
      <c r="H1417" s="80" t="b">
        <v>0</v>
      </c>
      <c r="I1417" s="80" t="b">
        <v>0</v>
      </c>
      <c r="J1417" s="80" t="b">
        <v>0</v>
      </c>
      <c r="K1417" s="80" t="b">
        <v>0</v>
      </c>
      <c r="L1417" s="80" t="b">
        <v>0</v>
      </c>
    </row>
    <row r="1418" spans="1:12" ht="15">
      <c r="A1418" s="81" t="s">
        <v>3495</v>
      </c>
      <c r="B1418" s="80" t="s">
        <v>3799</v>
      </c>
      <c r="C1418" s="80">
        <v>2</v>
      </c>
      <c r="D1418" s="105">
        <v>0</v>
      </c>
      <c r="E1418" s="105">
        <v>1.161368002234975</v>
      </c>
      <c r="F1418" s="80" t="s">
        <v>3223</v>
      </c>
      <c r="G1418" s="80" t="b">
        <v>0</v>
      </c>
      <c r="H1418" s="80" t="b">
        <v>0</v>
      </c>
      <c r="I1418" s="80" t="b">
        <v>0</v>
      </c>
      <c r="J1418" s="80" t="b">
        <v>0</v>
      </c>
      <c r="K1418" s="80" t="b">
        <v>0</v>
      </c>
      <c r="L1418" s="80" t="b">
        <v>0</v>
      </c>
    </row>
    <row r="1419" spans="1:12" ht="15">
      <c r="A1419" s="81" t="s">
        <v>3799</v>
      </c>
      <c r="B1419" s="80" t="s">
        <v>3800</v>
      </c>
      <c r="C1419" s="80">
        <v>2</v>
      </c>
      <c r="D1419" s="105">
        <v>0</v>
      </c>
      <c r="E1419" s="105">
        <v>1.462397997898956</v>
      </c>
      <c r="F1419" s="80" t="s">
        <v>3223</v>
      </c>
      <c r="G1419" s="80" t="b">
        <v>0</v>
      </c>
      <c r="H1419" s="80" t="b">
        <v>0</v>
      </c>
      <c r="I1419" s="80" t="b">
        <v>0</v>
      </c>
      <c r="J1419" s="80" t="b">
        <v>0</v>
      </c>
      <c r="K1419" s="80" t="b">
        <v>0</v>
      </c>
      <c r="L1419" s="80" t="b">
        <v>0</v>
      </c>
    </row>
    <row r="1420" spans="1:12" ht="15">
      <c r="A1420" s="81" t="s">
        <v>3800</v>
      </c>
      <c r="B1420" s="80" t="s">
        <v>3801</v>
      </c>
      <c r="C1420" s="80">
        <v>2</v>
      </c>
      <c r="D1420" s="105">
        <v>0</v>
      </c>
      <c r="E1420" s="105">
        <v>1.462397997898956</v>
      </c>
      <c r="F1420" s="80" t="s">
        <v>3223</v>
      </c>
      <c r="G1420" s="80" t="b">
        <v>0</v>
      </c>
      <c r="H1420" s="80" t="b">
        <v>0</v>
      </c>
      <c r="I1420" s="80" t="b">
        <v>0</v>
      </c>
      <c r="J1420" s="80" t="b">
        <v>0</v>
      </c>
      <c r="K1420" s="80" t="b">
        <v>0</v>
      </c>
      <c r="L1420" s="80" t="b">
        <v>0</v>
      </c>
    </row>
    <row r="1421" spans="1:12" ht="15">
      <c r="A1421" s="81" t="s">
        <v>3801</v>
      </c>
      <c r="B1421" s="80" t="s">
        <v>3386</v>
      </c>
      <c r="C1421" s="80">
        <v>2</v>
      </c>
      <c r="D1421" s="105">
        <v>0</v>
      </c>
      <c r="E1421" s="105">
        <v>1.462397997898956</v>
      </c>
      <c r="F1421" s="80" t="s">
        <v>3223</v>
      </c>
      <c r="G1421" s="80" t="b">
        <v>0</v>
      </c>
      <c r="H1421" s="80" t="b">
        <v>0</v>
      </c>
      <c r="I1421" s="80" t="b">
        <v>0</v>
      </c>
      <c r="J1421" s="80" t="b">
        <v>0</v>
      </c>
      <c r="K1421" s="80" t="b">
        <v>0</v>
      </c>
      <c r="L1421" s="80" t="b">
        <v>0</v>
      </c>
    </row>
    <row r="1422" spans="1:12" ht="15">
      <c r="A1422" s="81" t="s">
        <v>3386</v>
      </c>
      <c r="B1422" s="80" t="s">
        <v>3802</v>
      </c>
      <c r="C1422" s="80">
        <v>2</v>
      </c>
      <c r="D1422" s="105">
        <v>0</v>
      </c>
      <c r="E1422" s="105">
        <v>1.462397997898956</v>
      </c>
      <c r="F1422" s="80" t="s">
        <v>3223</v>
      </c>
      <c r="G1422" s="80" t="b">
        <v>0</v>
      </c>
      <c r="H1422" s="80" t="b">
        <v>0</v>
      </c>
      <c r="I1422" s="80" t="b">
        <v>0</v>
      </c>
      <c r="J1422" s="80" t="b">
        <v>0</v>
      </c>
      <c r="K1422" s="80" t="b">
        <v>0</v>
      </c>
      <c r="L1422" s="80" t="b">
        <v>0</v>
      </c>
    </row>
    <row r="1423" spans="1:12" ht="15">
      <c r="A1423" s="81" t="s">
        <v>3802</v>
      </c>
      <c r="B1423" s="80" t="s">
        <v>3803</v>
      </c>
      <c r="C1423" s="80">
        <v>2</v>
      </c>
      <c r="D1423" s="105">
        <v>0</v>
      </c>
      <c r="E1423" s="105">
        <v>1.462397997898956</v>
      </c>
      <c r="F1423" s="80" t="s">
        <v>3223</v>
      </c>
      <c r="G1423" s="80" t="b">
        <v>0</v>
      </c>
      <c r="H1423" s="80" t="b">
        <v>0</v>
      </c>
      <c r="I1423" s="80" t="b">
        <v>0</v>
      </c>
      <c r="J1423" s="80" t="b">
        <v>0</v>
      </c>
      <c r="K1423" s="80" t="b">
        <v>0</v>
      </c>
      <c r="L1423" s="80" t="b">
        <v>0</v>
      </c>
    </row>
    <row r="1424" spans="1:12" ht="15">
      <c r="A1424" s="81" t="s">
        <v>3803</v>
      </c>
      <c r="B1424" s="80" t="s">
        <v>3804</v>
      </c>
      <c r="C1424" s="80">
        <v>2</v>
      </c>
      <c r="D1424" s="105">
        <v>0</v>
      </c>
      <c r="E1424" s="105">
        <v>1.462397997898956</v>
      </c>
      <c r="F1424" s="80" t="s">
        <v>3223</v>
      </c>
      <c r="G1424" s="80" t="b">
        <v>0</v>
      </c>
      <c r="H1424" s="80" t="b">
        <v>0</v>
      </c>
      <c r="I1424" s="80" t="b">
        <v>0</v>
      </c>
      <c r="J1424" s="80" t="b">
        <v>0</v>
      </c>
      <c r="K1424" s="80" t="b">
        <v>0</v>
      </c>
      <c r="L1424" s="80" t="b">
        <v>0</v>
      </c>
    </row>
    <row r="1425" spans="1:12" ht="15">
      <c r="A1425" s="81" t="s">
        <v>3804</v>
      </c>
      <c r="B1425" s="80" t="s">
        <v>3805</v>
      </c>
      <c r="C1425" s="80">
        <v>2</v>
      </c>
      <c r="D1425" s="105">
        <v>0</v>
      </c>
      <c r="E1425" s="105">
        <v>1.462397997898956</v>
      </c>
      <c r="F1425" s="80" t="s">
        <v>3223</v>
      </c>
      <c r="G1425" s="80" t="b">
        <v>0</v>
      </c>
      <c r="H1425" s="80" t="b">
        <v>0</v>
      </c>
      <c r="I1425" s="80" t="b">
        <v>0</v>
      </c>
      <c r="J1425" s="80" t="b">
        <v>0</v>
      </c>
      <c r="K1425" s="80" t="b">
        <v>0</v>
      </c>
      <c r="L1425" s="80" t="b">
        <v>0</v>
      </c>
    </row>
    <row r="1426" spans="1:12" ht="15">
      <c r="A1426" s="81" t="s">
        <v>3805</v>
      </c>
      <c r="B1426" s="80" t="s">
        <v>3495</v>
      </c>
      <c r="C1426" s="80">
        <v>2</v>
      </c>
      <c r="D1426" s="105">
        <v>0</v>
      </c>
      <c r="E1426" s="105">
        <v>1.161368002234975</v>
      </c>
      <c r="F1426" s="80" t="s">
        <v>3223</v>
      </c>
      <c r="G1426" s="80" t="b">
        <v>0</v>
      </c>
      <c r="H1426" s="80" t="b">
        <v>0</v>
      </c>
      <c r="I1426" s="80" t="b">
        <v>0</v>
      </c>
      <c r="J1426" s="80" t="b">
        <v>0</v>
      </c>
      <c r="K1426" s="80" t="b">
        <v>0</v>
      </c>
      <c r="L1426" s="80" t="b">
        <v>0</v>
      </c>
    </row>
    <row r="1427" spans="1:12" ht="15">
      <c r="A1427" s="81" t="s">
        <v>3495</v>
      </c>
      <c r="B1427" s="80" t="s">
        <v>3806</v>
      </c>
      <c r="C1427" s="80">
        <v>2</v>
      </c>
      <c r="D1427" s="105">
        <v>0</v>
      </c>
      <c r="E1427" s="105">
        <v>1.161368002234975</v>
      </c>
      <c r="F1427" s="80" t="s">
        <v>3223</v>
      </c>
      <c r="G1427" s="80" t="b">
        <v>0</v>
      </c>
      <c r="H1427" s="80" t="b">
        <v>0</v>
      </c>
      <c r="I1427" s="80" t="b">
        <v>0</v>
      </c>
      <c r="J1427" s="80" t="b">
        <v>0</v>
      </c>
      <c r="K1427" s="80" t="b">
        <v>0</v>
      </c>
      <c r="L1427" s="80" t="b">
        <v>0</v>
      </c>
    </row>
    <row r="1428" spans="1:12" ht="15">
      <c r="A1428" s="81" t="s">
        <v>3844</v>
      </c>
      <c r="B1428" s="80" t="s">
        <v>3845</v>
      </c>
      <c r="C1428" s="80">
        <v>2</v>
      </c>
      <c r="D1428" s="105">
        <v>0</v>
      </c>
      <c r="E1428" s="105">
        <v>0.7781512503836436</v>
      </c>
      <c r="F1428" s="80" t="s">
        <v>3230</v>
      </c>
      <c r="G1428" s="80" t="b">
        <v>0</v>
      </c>
      <c r="H1428" s="80" t="b">
        <v>0</v>
      </c>
      <c r="I1428" s="80" t="b">
        <v>0</v>
      </c>
      <c r="J1428" s="80" t="b">
        <v>0</v>
      </c>
      <c r="K1428" s="80" t="b">
        <v>0</v>
      </c>
      <c r="L1428" s="80" t="b">
        <v>0</v>
      </c>
    </row>
    <row r="1429" spans="1:12" ht="15">
      <c r="A1429" s="81" t="s">
        <v>3845</v>
      </c>
      <c r="B1429" s="80" t="s">
        <v>3846</v>
      </c>
      <c r="C1429" s="80">
        <v>2</v>
      </c>
      <c r="D1429" s="105">
        <v>0</v>
      </c>
      <c r="E1429" s="105">
        <v>0.7781512503836436</v>
      </c>
      <c r="F1429" s="80" t="s">
        <v>3230</v>
      </c>
      <c r="G1429" s="80" t="b">
        <v>0</v>
      </c>
      <c r="H1429" s="80" t="b">
        <v>0</v>
      </c>
      <c r="I1429" s="80" t="b">
        <v>0</v>
      </c>
      <c r="J1429" s="80" t="b">
        <v>0</v>
      </c>
      <c r="K1429" s="80" t="b">
        <v>0</v>
      </c>
      <c r="L1429" s="80" t="b">
        <v>0</v>
      </c>
    </row>
    <row r="1430" spans="1:12" ht="15">
      <c r="A1430" s="81" t="s">
        <v>3846</v>
      </c>
      <c r="B1430" s="80" t="s">
        <v>3847</v>
      </c>
      <c r="C1430" s="80">
        <v>2</v>
      </c>
      <c r="D1430" s="105">
        <v>0</v>
      </c>
      <c r="E1430" s="105">
        <v>0.7781512503836436</v>
      </c>
      <c r="F1430" s="80" t="s">
        <v>3230</v>
      </c>
      <c r="G1430" s="80" t="b">
        <v>0</v>
      </c>
      <c r="H1430" s="80" t="b">
        <v>0</v>
      </c>
      <c r="I1430" s="80" t="b">
        <v>0</v>
      </c>
      <c r="J1430" s="80" t="b">
        <v>0</v>
      </c>
      <c r="K1430" s="80" t="b">
        <v>0</v>
      </c>
      <c r="L1430" s="80" t="b">
        <v>0</v>
      </c>
    </row>
    <row r="1431" spans="1:12" ht="15">
      <c r="A1431" s="81" t="s">
        <v>3847</v>
      </c>
      <c r="B1431" s="80" t="s">
        <v>3848</v>
      </c>
      <c r="C1431" s="80">
        <v>2</v>
      </c>
      <c r="D1431" s="105">
        <v>0</v>
      </c>
      <c r="E1431" s="105">
        <v>0.7781512503836436</v>
      </c>
      <c r="F1431" s="80" t="s">
        <v>3230</v>
      </c>
      <c r="G1431" s="80" t="b">
        <v>0</v>
      </c>
      <c r="H1431" s="80" t="b">
        <v>0</v>
      </c>
      <c r="I1431" s="80" t="b">
        <v>0</v>
      </c>
      <c r="J1431" s="80" t="b">
        <v>0</v>
      </c>
      <c r="K1431" s="80" t="b">
        <v>0</v>
      </c>
      <c r="L1431" s="80" t="b">
        <v>0</v>
      </c>
    </row>
    <row r="1432" spans="1:12" ht="15">
      <c r="A1432" s="81" t="s">
        <v>3848</v>
      </c>
      <c r="B1432" s="80" t="s">
        <v>3260</v>
      </c>
      <c r="C1432" s="80">
        <v>2</v>
      </c>
      <c r="D1432" s="105">
        <v>0</v>
      </c>
      <c r="E1432" s="105">
        <v>0.7781512503836436</v>
      </c>
      <c r="F1432" s="80" t="s">
        <v>3230</v>
      </c>
      <c r="G1432" s="80" t="b">
        <v>0</v>
      </c>
      <c r="H1432" s="80" t="b">
        <v>0</v>
      </c>
      <c r="I1432" s="80" t="b">
        <v>0</v>
      </c>
      <c r="J1432" s="80" t="b">
        <v>0</v>
      </c>
      <c r="K1432" s="80" t="b">
        <v>0</v>
      </c>
      <c r="L1432" s="80" t="b">
        <v>0</v>
      </c>
    </row>
    <row r="1433" spans="1:12" ht="15">
      <c r="A1433" s="81" t="s">
        <v>3260</v>
      </c>
      <c r="B1433" s="80" t="s">
        <v>3849</v>
      </c>
      <c r="C1433" s="80">
        <v>2</v>
      </c>
      <c r="D1433" s="105">
        <v>0</v>
      </c>
      <c r="E1433" s="105">
        <v>0.7781512503836436</v>
      </c>
      <c r="F1433" s="80" t="s">
        <v>3230</v>
      </c>
      <c r="G1433" s="80" t="b">
        <v>0</v>
      </c>
      <c r="H1433" s="80" t="b">
        <v>0</v>
      </c>
      <c r="I1433" s="80" t="b">
        <v>0</v>
      </c>
      <c r="J1433" s="80" t="b">
        <v>0</v>
      </c>
      <c r="K1433" s="80" t="b">
        <v>0</v>
      </c>
      <c r="L1433" s="80" t="b">
        <v>0</v>
      </c>
    </row>
    <row r="1434" spans="1:12" ht="15">
      <c r="A1434" s="81" t="s">
        <v>3883</v>
      </c>
      <c r="B1434" s="80" t="s">
        <v>3303</v>
      </c>
      <c r="C1434" s="80">
        <v>2</v>
      </c>
      <c r="D1434" s="105">
        <v>0.008165156422191797</v>
      </c>
      <c r="E1434" s="105">
        <v>1.8779469516291882</v>
      </c>
      <c r="F1434" s="80" t="s">
        <v>3234</v>
      </c>
      <c r="G1434" s="80" t="b">
        <v>0</v>
      </c>
      <c r="H1434" s="80" t="b">
        <v>1</v>
      </c>
      <c r="I1434" s="80" t="b">
        <v>0</v>
      </c>
      <c r="J1434" s="80" t="b">
        <v>0</v>
      </c>
      <c r="K1434" s="80" t="b">
        <v>0</v>
      </c>
      <c r="L1434" s="80" t="b">
        <v>0</v>
      </c>
    </row>
    <row r="1435" spans="1:12" ht="15">
      <c r="A1435" s="81" t="s">
        <v>3375</v>
      </c>
      <c r="B1435" s="80" t="s">
        <v>3882</v>
      </c>
      <c r="C1435" s="80">
        <v>2</v>
      </c>
      <c r="D1435" s="105">
        <v>0.008165156422191797</v>
      </c>
      <c r="E1435" s="105">
        <v>1.8779469516291882</v>
      </c>
      <c r="F1435" s="80" t="s">
        <v>3234</v>
      </c>
      <c r="G1435" s="80" t="b">
        <v>0</v>
      </c>
      <c r="H1435" s="80" t="b">
        <v>0</v>
      </c>
      <c r="I1435" s="80" t="b">
        <v>0</v>
      </c>
      <c r="J1435" s="80" t="b">
        <v>0</v>
      </c>
      <c r="K1435" s="80" t="b">
        <v>0</v>
      </c>
      <c r="L1435"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405F51-7745-44DB-BDAE-0B585700A94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Stedman</dc:creator>
  <cp:keywords/>
  <dc:description/>
  <cp:lastModifiedBy>Liz Stedman</cp:lastModifiedBy>
  <dcterms:created xsi:type="dcterms:W3CDTF">2008-01-30T00:41:58Z</dcterms:created>
  <dcterms:modified xsi:type="dcterms:W3CDTF">2022-09-15T20:25:16Z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